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showInkAnnotation="0"/>
  <mc:AlternateContent xmlns:mc="http://schemas.openxmlformats.org/markup-compatibility/2006">
    <mc:Choice Requires="x15">
      <x15ac:absPath xmlns:x15ac="http://schemas.microsoft.com/office/spreadsheetml/2010/11/ac" url="https://ingov-my.sharepoint.com/personal/nsinha_doe_in_gov/Documents/Documents/Projects/Indicator_4/"/>
    </mc:Choice>
  </mc:AlternateContent>
  <xr:revisionPtr revIDLastSave="3404" documentId="8_{D599488E-C72C-4506-B079-CDBE9EB65187}" xr6:coauthVersionLast="47" xr6:coauthVersionMax="47" xr10:uidLastSave="{40D60694-1A8C-4D48-8B84-445DFB8FFEAE}"/>
  <bookViews>
    <workbookView xWindow="-108" yWindow="-108" windowWidth="23256" windowHeight="12456" tabRatio="838" firstSheet="11" activeTab="3" xr2:uid="{00000000-000D-0000-FFFF-FFFF00000000}"/>
  </bookViews>
  <sheets>
    <sheet name="ReadMe" sheetId="15" r:id="rId1"/>
    <sheet name="Expulsion Suspension(Year 1)" sheetId="1" r:id="rId2"/>
    <sheet name="Expulsion Suspension(Year 2)" sheetId="2" r:id="rId3"/>
    <sheet name="Expulsion Suspension(Year 3)" sheetId="3" r:id="rId4"/>
    <sheet name="SPED Enrollment(Year 1)" sheetId="4" r:id="rId5"/>
    <sheet name="SPED Enrollment(Year 2)" sheetId="5" r:id="rId6"/>
    <sheet name="SPED Enrollment(Year 3)" sheetId="6" r:id="rId7"/>
    <sheet name="Pupil Enrollment(Year 1)" sheetId="7" r:id="rId8"/>
    <sheet name="Pupil Enrollment(Year 2)" sheetId="8" r:id="rId9"/>
    <sheet name="Pupil Enrollment(Year 3)" sheetId="9" r:id="rId10"/>
    <sheet name="Indicator 4A" sheetId="11" r:id="rId11"/>
    <sheet name="Indicator 4B" sheetId="12" r:id="rId12"/>
  </sheets>
  <definedNames>
    <definedName name="_xlnm._FilterDatabase" localSheetId="1" hidden="1">'Expulsion Suspension(Year 1)'!$A$2:$H$181</definedName>
    <definedName name="_xlnm._FilterDatabase" localSheetId="2" hidden="1">'Expulsion Suspension(Year 2)'!$A$2:$H$184</definedName>
    <definedName name="_xlnm._FilterDatabase" localSheetId="3" hidden="1">'Expulsion Suspension(Year 3)'!$A$2:$H$298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F7" i="11"/>
  <c r="E11" i="11"/>
  <c r="E7" i="11"/>
  <c r="F104" i="12"/>
  <c r="F99" i="12"/>
  <c r="F89" i="12"/>
  <c r="F84" i="12"/>
  <c r="F74" i="12"/>
  <c r="F69" i="12"/>
  <c r="F59" i="12"/>
  <c r="F54" i="12"/>
  <c r="F44" i="12"/>
  <c r="F39" i="12"/>
  <c r="F29" i="12"/>
  <c r="F24" i="12"/>
  <c r="F14" i="12"/>
  <c r="F9" i="12"/>
  <c r="E104" i="12"/>
  <c r="E99" i="12"/>
  <c r="E89" i="12"/>
  <c r="E84" i="12"/>
  <c r="E74" i="12"/>
  <c r="E69" i="12"/>
  <c r="E59" i="12"/>
  <c r="E54" i="12"/>
  <c r="E44" i="12"/>
  <c r="E39" i="12"/>
  <c r="E29" i="12"/>
  <c r="E24" i="12"/>
  <c r="E14" i="12"/>
  <c r="E9" i="12"/>
  <c r="B79" i="12"/>
  <c r="I184" i="2"/>
  <c r="J184" i="2" s="1"/>
  <c r="N184" i="2"/>
  <c r="K184" i="2" l="1"/>
  <c r="L184" i="2"/>
  <c r="I183" i="2"/>
  <c r="J183" i="2" s="1"/>
  <c r="N183" i="2"/>
  <c r="I182" i="2"/>
  <c r="J182" i="2" s="1"/>
  <c r="N182" i="2"/>
  <c r="I298" i="3"/>
  <c r="J298" i="3" s="1"/>
  <c r="N298" i="3"/>
  <c r="I3" i="1"/>
  <c r="B89" i="12"/>
  <c r="B84" i="12"/>
  <c r="B14" i="12"/>
  <c r="L183" i="2" l="1"/>
  <c r="L182" i="2"/>
  <c r="K183" i="2"/>
  <c r="K182" i="2"/>
  <c r="K298" i="3"/>
  <c r="I297" i="3"/>
  <c r="J297" i="3" s="1"/>
  <c r="L297" i="3" s="1"/>
  <c r="N297" i="3"/>
  <c r="I181" i="2"/>
  <c r="J181" i="2" s="1"/>
  <c r="L181" i="2" s="1"/>
  <c r="N181" i="2"/>
  <c r="I180" i="2"/>
  <c r="J180" i="2" s="1"/>
  <c r="N180" i="2"/>
  <c r="I296" i="3"/>
  <c r="J296" i="3" s="1"/>
  <c r="N296" i="3"/>
  <c r="I295" i="3"/>
  <c r="J295" i="3" s="1"/>
  <c r="N295" i="3"/>
  <c r="I5" i="3"/>
  <c r="J5" i="3" s="1"/>
  <c r="N5" i="3"/>
  <c r="I8" i="3"/>
  <c r="J8" i="3" s="1"/>
  <c r="N8" i="3"/>
  <c r="I9" i="3"/>
  <c r="J9" i="3" s="1"/>
  <c r="N9" i="3"/>
  <c r="I25" i="3"/>
  <c r="J25" i="3" s="1"/>
  <c r="M25" i="3" s="1" a="1"/>
  <c r="M25" i="3" s="1"/>
  <c r="N25" i="3"/>
  <c r="I30" i="3"/>
  <c r="J30" i="3" s="1"/>
  <c r="N30" i="3"/>
  <c r="I33" i="3"/>
  <c r="J33" i="3" s="1"/>
  <c r="M33" i="3" s="1" a="1"/>
  <c r="M33" i="3" s="1"/>
  <c r="N33" i="3"/>
  <c r="I34" i="3"/>
  <c r="J34" i="3" s="1"/>
  <c r="M34" i="3" s="1" a="1"/>
  <c r="M34" i="3" s="1"/>
  <c r="N34" i="3"/>
  <c r="I35" i="3"/>
  <c r="J35" i="3" s="1"/>
  <c r="M35" i="3" s="1" a="1"/>
  <c r="M35" i="3" s="1"/>
  <c r="N35" i="3"/>
  <c r="I36" i="3"/>
  <c r="J36" i="3" s="1"/>
  <c r="M36" i="3" s="1" a="1"/>
  <c r="M36" i="3" s="1"/>
  <c r="N36" i="3"/>
  <c r="I37" i="3"/>
  <c r="J37" i="3" s="1"/>
  <c r="M37" i="3" s="1" a="1"/>
  <c r="M37" i="3" s="1"/>
  <c r="N37" i="3"/>
  <c r="I41" i="3"/>
  <c r="J41" i="3" s="1"/>
  <c r="M41" i="3" s="1" a="1"/>
  <c r="M41" i="3" s="1"/>
  <c r="N41" i="3"/>
  <c r="I43" i="3"/>
  <c r="J43" i="3" s="1"/>
  <c r="M43" i="3" s="1" a="1"/>
  <c r="M43" i="3" s="1"/>
  <c r="N43" i="3"/>
  <c r="I47" i="3"/>
  <c r="J47" i="3" s="1"/>
  <c r="N47" i="3"/>
  <c r="I49" i="3"/>
  <c r="J49" i="3" s="1"/>
  <c r="M49" i="3" s="1" a="1"/>
  <c r="M49" i="3" s="1"/>
  <c r="N49" i="3"/>
  <c r="I57" i="3"/>
  <c r="J57" i="3" s="1"/>
  <c r="M57" i="3" s="1" a="1"/>
  <c r="M57" i="3" s="1"/>
  <c r="N57" i="3"/>
  <c r="I60" i="3"/>
  <c r="J60" i="3" s="1"/>
  <c r="M60" i="3" s="1" a="1"/>
  <c r="M60" i="3" s="1"/>
  <c r="N60" i="3"/>
  <c r="I61" i="3"/>
  <c r="J61" i="3" s="1"/>
  <c r="M61" i="3" s="1" a="1"/>
  <c r="M61" i="3" s="1"/>
  <c r="N61" i="3"/>
  <c r="I67" i="3"/>
  <c r="J67" i="3" s="1"/>
  <c r="M67" i="3" s="1" a="1"/>
  <c r="M67" i="3" s="1"/>
  <c r="N67" i="3"/>
  <c r="I73" i="3"/>
  <c r="J73" i="3" s="1"/>
  <c r="M73" i="3" s="1" a="1"/>
  <c r="M73" i="3" s="1"/>
  <c r="N73" i="3"/>
  <c r="I76" i="3"/>
  <c r="J76" i="3" s="1"/>
  <c r="M76" i="3" s="1" a="1"/>
  <c r="M76" i="3" s="1"/>
  <c r="N76" i="3"/>
  <c r="I77" i="3"/>
  <c r="J77" i="3" s="1"/>
  <c r="M77" i="3" s="1" a="1"/>
  <c r="M77" i="3" s="1"/>
  <c r="N77" i="3"/>
  <c r="I78" i="3"/>
  <c r="J78" i="3" s="1"/>
  <c r="M78" i="3" s="1" a="1"/>
  <c r="M78" i="3" s="1"/>
  <c r="N78" i="3"/>
  <c r="I79" i="3"/>
  <c r="J79" i="3" s="1"/>
  <c r="M79" i="3" s="1" a="1"/>
  <c r="M79" i="3" s="1"/>
  <c r="N79" i="3"/>
  <c r="I80" i="3"/>
  <c r="J80" i="3" s="1"/>
  <c r="M80" i="3" s="1" a="1"/>
  <c r="M80" i="3" s="1"/>
  <c r="N80" i="3"/>
  <c r="I81" i="3"/>
  <c r="J81" i="3" s="1"/>
  <c r="M81" i="3" s="1" a="1"/>
  <c r="M81" i="3" s="1"/>
  <c r="N81" i="3"/>
  <c r="I82" i="3"/>
  <c r="J82" i="3" s="1"/>
  <c r="M82" i="3" s="1" a="1"/>
  <c r="M82" i="3" s="1"/>
  <c r="N82" i="3"/>
  <c r="I83" i="3"/>
  <c r="J83" i="3" s="1"/>
  <c r="M83" i="3" s="1" a="1"/>
  <c r="M83" i="3" s="1"/>
  <c r="N83" i="3"/>
  <c r="I86" i="3"/>
  <c r="J86" i="3" s="1"/>
  <c r="M86" i="3" s="1" a="1"/>
  <c r="M86" i="3" s="1"/>
  <c r="N86" i="3"/>
  <c r="I87" i="3"/>
  <c r="J87" i="3" s="1"/>
  <c r="M87" i="3" s="1" a="1"/>
  <c r="M87" i="3" s="1"/>
  <c r="N87" i="3"/>
  <c r="I88" i="3"/>
  <c r="J88" i="3" s="1"/>
  <c r="M88" i="3" s="1" a="1"/>
  <c r="M88" i="3" s="1"/>
  <c r="N88" i="3"/>
  <c r="I91" i="3"/>
  <c r="J91" i="3" s="1"/>
  <c r="M91" i="3" s="1" a="1"/>
  <c r="M91" i="3" s="1"/>
  <c r="N91" i="3"/>
  <c r="I96" i="3"/>
  <c r="J96" i="3" s="1"/>
  <c r="M96" i="3" s="1" a="1"/>
  <c r="M96" i="3" s="1"/>
  <c r="N96" i="3"/>
  <c r="I97" i="3"/>
  <c r="J97" i="3" s="1"/>
  <c r="M97" i="3" s="1" a="1"/>
  <c r="M97" i="3" s="1"/>
  <c r="N97" i="3"/>
  <c r="I98" i="3"/>
  <c r="J98" i="3" s="1"/>
  <c r="M98" i="3" s="1" a="1"/>
  <c r="M98" i="3" s="1"/>
  <c r="N98" i="3"/>
  <c r="I100" i="3"/>
  <c r="J100" i="3" s="1"/>
  <c r="M100" i="3" s="1" a="1"/>
  <c r="M100" i="3" s="1"/>
  <c r="N100" i="3"/>
  <c r="I102" i="3"/>
  <c r="J102" i="3" s="1"/>
  <c r="M102" i="3" s="1" a="1"/>
  <c r="M102" i="3" s="1"/>
  <c r="N102" i="3"/>
  <c r="I103" i="3"/>
  <c r="J103" i="3" s="1"/>
  <c r="M103" i="3" s="1" a="1"/>
  <c r="M103" i="3" s="1"/>
  <c r="N103" i="3"/>
  <c r="I104" i="3"/>
  <c r="J104" i="3" s="1"/>
  <c r="M104" i="3" s="1" a="1"/>
  <c r="M104" i="3" s="1"/>
  <c r="N104" i="3"/>
  <c r="I105" i="3"/>
  <c r="J105" i="3" s="1"/>
  <c r="M105" i="3" s="1" a="1"/>
  <c r="M105" i="3" s="1"/>
  <c r="N105" i="3"/>
  <c r="I108" i="3"/>
  <c r="J108" i="3" s="1"/>
  <c r="N108" i="3"/>
  <c r="I109" i="3"/>
  <c r="J109" i="3" s="1"/>
  <c r="N109" i="3"/>
  <c r="I110" i="3"/>
  <c r="J110" i="3" s="1"/>
  <c r="M110" i="3" s="1" a="1"/>
  <c r="M110" i="3" s="1"/>
  <c r="N110" i="3"/>
  <c r="I111" i="3"/>
  <c r="J111" i="3" s="1"/>
  <c r="M111" i="3" s="1" a="1"/>
  <c r="M111" i="3" s="1"/>
  <c r="N111" i="3"/>
  <c r="I112" i="3"/>
  <c r="J112" i="3" s="1"/>
  <c r="M112" i="3" s="1" a="1"/>
  <c r="M112" i="3" s="1"/>
  <c r="N112" i="3"/>
  <c r="I116" i="3"/>
  <c r="J116" i="3" s="1"/>
  <c r="N116" i="3"/>
  <c r="I117" i="3"/>
  <c r="J117" i="3" s="1"/>
  <c r="M117" i="3" s="1" a="1"/>
  <c r="M117" i="3" s="1"/>
  <c r="N117" i="3"/>
  <c r="I118" i="3"/>
  <c r="J118" i="3" s="1"/>
  <c r="M118" i="3" s="1" a="1"/>
  <c r="M118" i="3" s="1"/>
  <c r="N118" i="3"/>
  <c r="I119" i="3"/>
  <c r="J119" i="3" s="1"/>
  <c r="M119" i="3" s="1" a="1"/>
  <c r="M119" i="3" s="1"/>
  <c r="N119" i="3"/>
  <c r="I122" i="3"/>
  <c r="J122" i="3" s="1"/>
  <c r="M122" i="3" s="1" a="1"/>
  <c r="M122" i="3" s="1"/>
  <c r="N122" i="3"/>
  <c r="I128" i="3"/>
  <c r="J128" i="3" s="1"/>
  <c r="M128" i="3" s="1" a="1"/>
  <c r="M128" i="3" s="1"/>
  <c r="N128" i="3"/>
  <c r="I129" i="3"/>
  <c r="J129" i="3" s="1"/>
  <c r="M129" i="3" s="1" a="1"/>
  <c r="M129" i="3" s="1"/>
  <c r="N129" i="3"/>
  <c r="I138" i="3"/>
  <c r="J138" i="3" s="1"/>
  <c r="M138" i="3" s="1" a="1"/>
  <c r="M138" i="3" s="1"/>
  <c r="N138" i="3"/>
  <c r="I140" i="3"/>
  <c r="J140" i="3" s="1"/>
  <c r="M140" i="3" s="1" a="1"/>
  <c r="M140" i="3" s="1"/>
  <c r="N140" i="3"/>
  <c r="I144" i="3"/>
  <c r="J144" i="3" s="1"/>
  <c r="N144" i="3"/>
  <c r="I145" i="3"/>
  <c r="J145" i="3" s="1"/>
  <c r="N145" i="3"/>
  <c r="I146" i="3"/>
  <c r="J146" i="3" s="1"/>
  <c r="N146" i="3"/>
  <c r="I150" i="3"/>
  <c r="J150" i="3" s="1"/>
  <c r="M150" i="3" s="1" a="1"/>
  <c r="M150" i="3" s="1"/>
  <c r="N150" i="3"/>
  <c r="I153" i="3"/>
  <c r="J153" i="3" s="1"/>
  <c r="M153" i="3" s="1" a="1"/>
  <c r="M153" i="3" s="1"/>
  <c r="N153" i="3"/>
  <c r="I156" i="3"/>
  <c r="J156" i="3" s="1"/>
  <c r="N156" i="3"/>
  <c r="I158" i="3"/>
  <c r="J158" i="3" s="1"/>
  <c r="M158" i="3" s="1" a="1"/>
  <c r="M158" i="3" s="1"/>
  <c r="N158" i="3"/>
  <c r="I162" i="3"/>
  <c r="J162" i="3" s="1"/>
  <c r="M162" i="3" s="1" a="1"/>
  <c r="M162" i="3" s="1"/>
  <c r="N162" i="3"/>
  <c r="I167" i="3"/>
  <c r="J167" i="3" s="1"/>
  <c r="N167" i="3"/>
  <c r="I169" i="3"/>
  <c r="J169" i="3" s="1"/>
  <c r="M169" i="3" s="1" a="1"/>
  <c r="M169" i="3" s="1"/>
  <c r="N169" i="3"/>
  <c r="I171" i="3"/>
  <c r="J171" i="3" s="1"/>
  <c r="M171" i="3" s="1" a="1"/>
  <c r="M171" i="3" s="1"/>
  <c r="N171" i="3"/>
  <c r="I172" i="3"/>
  <c r="J172" i="3" s="1"/>
  <c r="N172" i="3"/>
  <c r="I174" i="3"/>
  <c r="J174" i="3" s="1"/>
  <c r="N174" i="3"/>
  <c r="I175" i="3"/>
  <c r="J175" i="3" s="1"/>
  <c r="N175" i="3"/>
  <c r="I176" i="3"/>
  <c r="J176" i="3" s="1"/>
  <c r="N176" i="3"/>
  <c r="I177" i="3"/>
  <c r="J177" i="3" s="1"/>
  <c r="N177" i="3"/>
  <c r="I178" i="3"/>
  <c r="J178" i="3" s="1"/>
  <c r="M178" i="3" s="1" a="1"/>
  <c r="M178" i="3" s="1"/>
  <c r="N178" i="3"/>
  <c r="I182" i="3"/>
  <c r="J182" i="3" s="1"/>
  <c r="N182" i="3"/>
  <c r="I186" i="3"/>
  <c r="J186" i="3" s="1"/>
  <c r="N186" i="3"/>
  <c r="I188" i="3"/>
  <c r="J188" i="3" s="1"/>
  <c r="N188" i="3"/>
  <c r="I189" i="3"/>
  <c r="J189" i="3" s="1"/>
  <c r="N189" i="3"/>
  <c r="I195" i="3"/>
  <c r="J195" i="3" s="1"/>
  <c r="N195" i="3"/>
  <c r="I199" i="3"/>
  <c r="J199" i="3" s="1"/>
  <c r="M199" i="3" s="1" a="1"/>
  <c r="M199" i="3" s="1"/>
  <c r="N199" i="3"/>
  <c r="I200" i="3"/>
  <c r="J200" i="3" s="1"/>
  <c r="M200" i="3" s="1" a="1"/>
  <c r="M200" i="3" s="1"/>
  <c r="N200" i="3"/>
  <c r="I201" i="3"/>
  <c r="J201" i="3" s="1"/>
  <c r="N201" i="3"/>
  <c r="I204" i="3"/>
  <c r="J204" i="3" s="1"/>
  <c r="M204" i="3" s="1" a="1"/>
  <c r="M204" i="3" s="1"/>
  <c r="N204" i="3"/>
  <c r="I205" i="3"/>
  <c r="J205" i="3" s="1"/>
  <c r="N205" i="3"/>
  <c r="I206" i="3"/>
  <c r="J206" i="3" s="1"/>
  <c r="N206" i="3"/>
  <c r="I207" i="3"/>
  <c r="J207" i="3" s="1"/>
  <c r="N207" i="3"/>
  <c r="I208" i="3"/>
  <c r="J208" i="3" s="1"/>
  <c r="N208" i="3"/>
  <c r="I209" i="3"/>
  <c r="J209" i="3" s="1"/>
  <c r="M209" i="3" s="1" a="1"/>
  <c r="M209" i="3" s="1"/>
  <c r="N209" i="3"/>
  <c r="I210" i="3"/>
  <c r="J210" i="3" s="1"/>
  <c r="M210" i="3" s="1" a="1"/>
  <c r="M210" i="3" s="1"/>
  <c r="N210" i="3"/>
  <c r="I213" i="3"/>
  <c r="J213" i="3" s="1"/>
  <c r="M213" i="3" s="1" a="1"/>
  <c r="M213" i="3" s="1"/>
  <c r="N213" i="3"/>
  <c r="I214" i="3"/>
  <c r="J214" i="3" s="1"/>
  <c r="N214" i="3"/>
  <c r="I215" i="3"/>
  <c r="J215" i="3" s="1"/>
  <c r="N215" i="3"/>
  <c r="I216" i="3"/>
  <c r="J216" i="3" s="1"/>
  <c r="M216" i="3" s="1" a="1"/>
  <c r="M216" i="3" s="1"/>
  <c r="N216" i="3"/>
  <c r="I217" i="3"/>
  <c r="J217" i="3" s="1"/>
  <c r="N217" i="3"/>
  <c r="I218" i="3"/>
  <c r="J218" i="3" s="1"/>
  <c r="M218" i="3" s="1" a="1"/>
  <c r="M218" i="3" s="1"/>
  <c r="N218" i="3"/>
  <c r="I219" i="3"/>
  <c r="J219" i="3" s="1"/>
  <c r="M219" i="3" s="1" a="1"/>
  <c r="M219" i="3" s="1"/>
  <c r="N219" i="3"/>
  <c r="I220" i="3"/>
  <c r="J220" i="3" s="1"/>
  <c r="M220" i="3" s="1" a="1"/>
  <c r="M220" i="3" s="1"/>
  <c r="N220" i="3"/>
  <c r="I222" i="3"/>
  <c r="J222" i="3" s="1"/>
  <c r="N222" i="3"/>
  <c r="I226" i="3"/>
  <c r="J226" i="3" s="1"/>
  <c r="N226" i="3"/>
  <c r="I230" i="3"/>
  <c r="J230" i="3" s="1"/>
  <c r="N230" i="3"/>
  <c r="I233" i="3"/>
  <c r="J233" i="3" s="1"/>
  <c r="M233" i="3" s="1" a="1"/>
  <c r="M233" i="3" s="1"/>
  <c r="N233" i="3"/>
  <c r="I242" i="3"/>
  <c r="J242" i="3" s="1"/>
  <c r="M242" i="3" s="1" a="1"/>
  <c r="M242" i="3" s="1"/>
  <c r="N242" i="3"/>
  <c r="I244" i="3"/>
  <c r="J244" i="3" s="1"/>
  <c r="N244" i="3"/>
  <c r="I248" i="3"/>
  <c r="J248" i="3" s="1"/>
  <c r="N248" i="3"/>
  <c r="I249" i="3"/>
  <c r="J249" i="3" s="1"/>
  <c r="N249" i="3"/>
  <c r="I250" i="3"/>
  <c r="J250" i="3" s="1"/>
  <c r="N250" i="3"/>
  <c r="I252" i="3"/>
  <c r="J252" i="3" s="1"/>
  <c r="N252" i="3"/>
  <c r="I254" i="3"/>
  <c r="J254" i="3" s="1"/>
  <c r="N254" i="3"/>
  <c r="I267" i="3"/>
  <c r="J267" i="3" s="1"/>
  <c r="M267" i="3" s="1" a="1"/>
  <c r="M267" i="3" s="1"/>
  <c r="N267" i="3"/>
  <c r="I269" i="3"/>
  <c r="J269" i="3" s="1"/>
  <c r="M269" i="3" s="1" a="1"/>
  <c r="M269" i="3" s="1"/>
  <c r="N269" i="3"/>
  <c r="I270" i="3"/>
  <c r="J270" i="3" s="1"/>
  <c r="M270" i="3" s="1" a="1"/>
  <c r="M270" i="3" s="1"/>
  <c r="N270" i="3"/>
  <c r="I272" i="3"/>
  <c r="J272" i="3" s="1"/>
  <c r="N272" i="3"/>
  <c r="I276" i="3"/>
  <c r="J276" i="3" s="1"/>
  <c r="M276" i="3" s="1" a="1"/>
  <c r="M276" i="3" s="1"/>
  <c r="N276" i="3"/>
  <c r="I278" i="3"/>
  <c r="J278" i="3" s="1"/>
  <c r="M278" i="3" s="1" a="1"/>
  <c r="M278" i="3" s="1"/>
  <c r="N278" i="3"/>
  <c r="I279" i="3"/>
  <c r="J279" i="3" s="1"/>
  <c r="N279" i="3"/>
  <c r="I292" i="3"/>
  <c r="J292" i="3" s="1"/>
  <c r="M292" i="3" s="1" a="1"/>
  <c r="M292" i="3" s="1"/>
  <c r="N292" i="3"/>
  <c r="I293" i="3"/>
  <c r="J293" i="3" s="1"/>
  <c r="M293" i="3" s="1" a="1"/>
  <c r="M293" i="3" s="1"/>
  <c r="N293" i="3"/>
  <c r="I179" i="2"/>
  <c r="J179" i="2" s="1"/>
  <c r="N179" i="2"/>
  <c r="I181" i="1"/>
  <c r="J181" i="1" s="1"/>
  <c r="L181" i="1" s="1"/>
  <c r="N181" i="1"/>
  <c r="Q104" i="1"/>
  <c r="Q106" i="1"/>
  <c r="Q112" i="1"/>
  <c r="Q114" i="1"/>
  <c r="Q120" i="1"/>
  <c r="Q122" i="1"/>
  <c r="Q128" i="1"/>
  <c r="Q130" i="1"/>
  <c r="Q136" i="1"/>
  <c r="Q138" i="1"/>
  <c r="Q144" i="1"/>
  <c r="Q146" i="1"/>
  <c r="Q152" i="1"/>
  <c r="Q154" i="1"/>
  <c r="Q160" i="1"/>
  <c r="Q162" i="1"/>
  <c r="Q168" i="1"/>
  <c r="Q170" i="1"/>
  <c r="Q176" i="1"/>
  <c r="Q178" i="1"/>
  <c r="J3" i="1"/>
  <c r="D99" i="12"/>
  <c r="D84" i="12"/>
  <c r="D69" i="12"/>
  <c r="D54" i="12"/>
  <c r="D39" i="12"/>
  <c r="D24" i="12"/>
  <c r="D9" i="12"/>
  <c r="D7" i="11"/>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433" i="8"/>
  <c r="E434" i="8"/>
  <c r="E435" i="8"/>
  <c r="E436" i="8"/>
  <c r="E437" i="8"/>
  <c r="E438" i="8"/>
  <c r="E439" i="8"/>
  <c r="E440" i="8"/>
  <c r="E441" i="8"/>
  <c r="E442" i="8"/>
  <c r="E443" i="8"/>
  <c r="E444" i="8"/>
  <c r="E445" i="8"/>
  <c r="E446" i="8"/>
  <c r="E447" i="8"/>
  <c r="E448" i="8"/>
  <c r="E449" i="8"/>
  <c r="E450" i="8"/>
  <c r="E451" i="8"/>
  <c r="E452" i="8"/>
  <c r="E453" i="8"/>
  <c r="E454" i="8"/>
  <c r="E455" i="8"/>
  <c r="E456" i="8"/>
  <c r="E457" i="8"/>
  <c r="E458" i="8"/>
  <c r="E459" i="8"/>
  <c r="E460" i="8"/>
  <c r="E461" i="8"/>
  <c r="E462" i="8"/>
  <c r="E463" i="8"/>
  <c r="E464" i="8"/>
  <c r="E465" i="8"/>
  <c r="E466" i="8"/>
  <c r="E467" i="8"/>
  <c r="E468" i="8"/>
  <c r="E469" i="8"/>
  <c r="E470" i="8"/>
  <c r="E471" i="8"/>
  <c r="E472" i="8"/>
  <c r="E473" i="8"/>
  <c r="E474" i="8"/>
  <c r="E475" i="8"/>
  <c r="E476" i="8"/>
  <c r="E477" i="8"/>
  <c r="E478" i="8"/>
  <c r="E479" i="8"/>
  <c r="E480" i="8"/>
  <c r="E481" i="8"/>
  <c r="E482" i="8"/>
  <c r="E483" i="8"/>
  <c r="E484" i="8"/>
  <c r="E485" i="8"/>
  <c r="E486" i="8"/>
  <c r="E487" i="8"/>
  <c r="E488" i="8"/>
  <c r="E489" i="8"/>
  <c r="E490" i="8"/>
  <c r="E491" i="8"/>
  <c r="E492" i="8"/>
  <c r="E493" i="8"/>
  <c r="E494" i="8"/>
  <c r="E495" i="8"/>
  <c r="E496" i="8"/>
  <c r="E497" i="8"/>
  <c r="E498" i="8"/>
  <c r="E499" i="8"/>
  <c r="E500" i="8"/>
  <c r="E501" i="8"/>
  <c r="E502" i="8"/>
  <c r="E503" i="8"/>
  <c r="E504" i="8"/>
  <c r="E505" i="8"/>
  <c r="E506" i="8"/>
  <c r="E507" i="8"/>
  <c r="E508" i="8"/>
  <c r="E509" i="8"/>
  <c r="E510" i="8"/>
  <c r="E511" i="8"/>
  <c r="E512" i="8"/>
  <c r="E513" i="8"/>
  <c r="E514" i="8"/>
  <c r="E515" i="8"/>
  <c r="E516" i="8"/>
  <c r="E517" i="8"/>
  <c r="E518" i="8"/>
  <c r="E519" i="8"/>
  <c r="E520" i="8"/>
  <c r="E521" i="8"/>
  <c r="E522" i="8"/>
  <c r="E523" i="8"/>
  <c r="E524" i="8"/>
  <c r="E525" i="8"/>
  <c r="E526" i="8"/>
  <c r="E527" i="8"/>
  <c r="E528" i="8"/>
  <c r="E529" i="8"/>
  <c r="E530" i="8"/>
  <c r="E531" i="8"/>
  <c r="E532" i="8"/>
  <c r="E533" i="8"/>
  <c r="E534" i="8"/>
  <c r="E535" i="8"/>
  <c r="E536" i="8"/>
  <c r="E537" i="8"/>
  <c r="E538" i="8"/>
  <c r="E539" i="8"/>
  <c r="E540" i="8"/>
  <c r="E541" i="8"/>
  <c r="E542" i="8"/>
  <c r="E543" i="8"/>
  <c r="E544" i="8"/>
  <c r="E545" i="8"/>
  <c r="E546" i="8"/>
  <c r="E547" i="8"/>
  <c r="E548" i="8"/>
  <c r="E549" i="8"/>
  <c r="E550" i="8"/>
  <c r="E551" i="8"/>
  <c r="E552" i="8"/>
  <c r="E553" i="8"/>
  <c r="E554" i="8"/>
  <c r="E555" i="8"/>
  <c r="E556" i="8"/>
  <c r="E557" i="8"/>
  <c r="E558" i="8"/>
  <c r="E559" i="8"/>
  <c r="E560" i="8"/>
  <c r="E561" i="8"/>
  <c r="E562" i="8"/>
  <c r="E563" i="8"/>
  <c r="E564" i="8"/>
  <c r="E565" i="8"/>
  <c r="E566" i="8"/>
  <c r="E567" i="8"/>
  <c r="E568" i="8"/>
  <c r="E569" i="8"/>
  <c r="E570" i="8"/>
  <c r="E571" i="8"/>
  <c r="E572" i="8"/>
  <c r="E573" i="8"/>
  <c r="E574" i="8"/>
  <c r="E575" i="8"/>
  <c r="E576" i="8"/>
  <c r="E577" i="8"/>
  <c r="E578" i="8"/>
  <c r="E579" i="8"/>
  <c r="E580" i="8"/>
  <c r="E581" i="8"/>
  <c r="E582" i="8"/>
  <c r="E583" i="8"/>
  <c r="E584" i="8"/>
  <c r="E585" i="8"/>
  <c r="E586" i="8"/>
  <c r="E587" i="8"/>
  <c r="E588" i="8"/>
  <c r="E589" i="8"/>
  <c r="E590" i="8"/>
  <c r="E591" i="8"/>
  <c r="E592" i="8"/>
  <c r="E593" i="8"/>
  <c r="E594" i="8"/>
  <c r="E595" i="8"/>
  <c r="E596" i="8"/>
  <c r="E597" i="8"/>
  <c r="E598" i="8"/>
  <c r="E599" i="8"/>
  <c r="E600" i="8"/>
  <c r="E601" i="8"/>
  <c r="E602" i="8"/>
  <c r="E603" i="8"/>
  <c r="E604" i="8"/>
  <c r="E605" i="8"/>
  <c r="E606" i="8"/>
  <c r="E607" i="8"/>
  <c r="E608" i="8"/>
  <c r="E609" i="8"/>
  <c r="E610" i="8"/>
  <c r="E611" i="8"/>
  <c r="E612" i="8"/>
  <c r="E613" i="8"/>
  <c r="E614" i="8"/>
  <c r="E615" i="8"/>
  <c r="E616" i="8"/>
  <c r="E617" i="8"/>
  <c r="E618" i="8"/>
  <c r="E619" i="8"/>
  <c r="E620" i="8"/>
  <c r="E621" i="8"/>
  <c r="E622" i="8"/>
  <c r="E623" i="8"/>
  <c r="E624" i="8"/>
  <c r="E625" i="8"/>
  <c r="E626" i="8"/>
  <c r="E627" i="8"/>
  <c r="E628" i="8"/>
  <c r="E629" i="8"/>
  <c r="E630" i="8"/>
  <c r="E631" i="8"/>
  <c r="E632" i="8"/>
  <c r="E633" i="8"/>
  <c r="E634" i="8"/>
  <c r="E635" i="8"/>
  <c r="E636" i="8"/>
  <c r="E637" i="8"/>
  <c r="E638" i="8"/>
  <c r="E639" i="8"/>
  <c r="E640" i="8"/>
  <c r="E641" i="8"/>
  <c r="E642" i="8"/>
  <c r="E643" i="8"/>
  <c r="E644" i="8"/>
  <c r="E645" i="8"/>
  <c r="E646" i="8"/>
  <c r="E647" i="8"/>
  <c r="E648" i="8"/>
  <c r="E649" i="8"/>
  <c r="E650" i="8"/>
  <c r="E651" i="8"/>
  <c r="E652" i="8"/>
  <c r="E653" i="8"/>
  <c r="E654" i="8"/>
  <c r="E655" i="8"/>
  <c r="E656" i="8"/>
  <c r="E657" i="8"/>
  <c r="E658" i="8"/>
  <c r="E659" i="8"/>
  <c r="E660" i="8"/>
  <c r="E661" i="8"/>
  <c r="E662" i="8"/>
  <c r="E663" i="8"/>
  <c r="E664" i="8"/>
  <c r="E665" i="8"/>
  <c r="E666" i="8"/>
  <c r="E667" i="8"/>
  <c r="E668" i="8"/>
  <c r="E669" i="8"/>
  <c r="E670" i="8"/>
  <c r="E671" i="8"/>
  <c r="E672" i="8"/>
  <c r="E673" i="8"/>
  <c r="E674" i="8"/>
  <c r="E675" i="8"/>
  <c r="E676" i="8"/>
  <c r="E677" i="8"/>
  <c r="E678" i="8"/>
  <c r="E679" i="8"/>
  <c r="E680" i="8"/>
  <c r="E681" i="8"/>
  <c r="E682" i="8"/>
  <c r="E683" i="8"/>
  <c r="E684" i="8"/>
  <c r="E685" i="8"/>
  <c r="E686" i="8"/>
  <c r="E687" i="8"/>
  <c r="E688" i="8"/>
  <c r="E689" i="8"/>
  <c r="E690" i="8"/>
  <c r="E691" i="8"/>
  <c r="E692" i="8"/>
  <c r="E693" i="8"/>
  <c r="E694" i="8"/>
  <c r="E695" i="8"/>
  <c r="E696" i="8"/>
  <c r="E697" i="8"/>
  <c r="E698" i="8"/>
  <c r="E699" i="8"/>
  <c r="E700" i="8"/>
  <c r="E701" i="8"/>
  <c r="E702" i="8"/>
  <c r="E703" i="8"/>
  <c r="E704" i="8"/>
  <c r="E705" i="8"/>
  <c r="E706" i="8"/>
  <c r="E707" i="8"/>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L298" i="3" l="1"/>
  <c r="D79" i="12"/>
  <c r="D64" i="12"/>
  <c r="D4" i="12"/>
  <c r="D34" i="12"/>
  <c r="D94" i="12"/>
  <c r="D49" i="12"/>
  <c r="M3" i="1" a="1"/>
  <c r="M3" i="1" s="1"/>
  <c r="L180" i="2"/>
  <c r="K205" i="3"/>
  <c r="M205" i="3" a="1"/>
  <c r="M205" i="3" s="1"/>
  <c r="K208" i="3"/>
  <c r="M208" i="3" a="1"/>
  <c r="M208" i="3" s="1"/>
  <c r="K195" i="3"/>
  <c r="M195" i="3" a="1"/>
  <c r="M195" i="3" s="1"/>
  <c r="K175" i="3"/>
  <c r="M175" i="3" a="1"/>
  <c r="M175" i="3" s="1"/>
  <c r="K145" i="3"/>
  <c r="M145" i="3" a="1"/>
  <c r="M145" i="3" s="1"/>
  <c r="K9" i="3"/>
  <c r="M9" i="3" a="1"/>
  <c r="M9" i="3" s="1"/>
  <c r="K254" i="3"/>
  <c r="M254" i="3" a="1"/>
  <c r="M254" i="3" s="1"/>
  <c r="K215" i="3"/>
  <c r="M215" i="3" a="1"/>
  <c r="M215" i="3" s="1"/>
  <c r="K279" i="3"/>
  <c r="M279" i="3" a="1"/>
  <c r="M279" i="3" s="1"/>
  <c r="K252" i="3"/>
  <c r="M252" i="3" a="1"/>
  <c r="M252" i="3" s="1"/>
  <c r="K226" i="3"/>
  <c r="M226" i="3" a="1"/>
  <c r="M226" i="3" s="1"/>
  <c r="K214" i="3"/>
  <c r="M214" i="3" a="1"/>
  <c r="M214" i="3" s="1"/>
  <c r="K182" i="3"/>
  <c r="M182" i="3" a="1"/>
  <c r="M182" i="3" s="1"/>
  <c r="K156" i="3"/>
  <c r="M156" i="3" a="1"/>
  <c r="M156" i="3" s="1"/>
  <c r="K186" i="3"/>
  <c r="M186" i="3" a="1"/>
  <c r="M186" i="3" s="1"/>
  <c r="K108" i="3"/>
  <c r="M108" i="3" a="1"/>
  <c r="M108" i="3" s="1"/>
  <c r="K217" i="3"/>
  <c r="M217" i="3" a="1"/>
  <c r="M217" i="3" s="1"/>
  <c r="K207" i="3"/>
  <c r="M207" i="3" a="1"/>
  <c r="M207" i="3" s="1"/>
  <c r="K189" i="3"/>
  <c r="M189" i="3" a="1"/>
  <c r="M189" i="3" s="1"/>
  <c r="K174" i="3"/>
  <c r="M174" i="3" a="1"/>
  <c r="M174" i="3" s="1"/>
  <c r="K230" i="3"/>
  <c r="M230" i="3" a="1"/>
  <c r="M230" i="3" s="1"/>
  <c r="K222" i="3"/>
  <c r="M222" i="3" a="1"/>
  <c r="M222" i="3" s="1"/>
  <c r="K201" i="3"/>
  <c r="M201" i="3" a="1"/>
  <c r="M201" i="3" s="1"/>
  <c r="K167" i="3"/>
  <c r="M167" i="3" a="1"/>
  <c r="M167" i="3" s="1"/>
  <c r="K144" i="3"/>
  <c r="M144" i="3" a="1"/>
  <c r="M144" i="3" s="1"/>
  <c r="K8" i="3"/>
  <c r="M8" i="3" a="1"/>
  <c r="M8" i="3" s="1"/>
  <c r="K176" i="3"/>
  <c r="M176" i="3" a="1"/>
  <c r="M176" i="3" s="1"/>
  <c r="K249" i="3"/>
  <c r="K206" i="3"/>
  <c r="M206" i="3" a="1"/>
  <c r="M206" i="3" s="1"/>
  <c r="K188" i="3"/>
  <c r="M188" i="3" a="1"/>
  <c r="M188" i="3" s="1"/>
  <c r="K172" i="3"/>
  <c r="M172" i="3" a="1"/>
  <c r="M172" i="3" s="1"/>
  <c r="K116" i="3"/>
  <c r="M116" i="3" a="1"/>
  <c r="M116" i="3" s="1"/>
  <c r="K109" i="3"/>
  <c r="M109" i="3" a="1"/>
  <c r="M109" i="3" s="1"/>
  <c r="K47" i="3"/>
  <c r="M47" i="3" a="1"/>
  <c r="M47" i="3" s="1"/>
  <c r="K5" i="3"/>
  <c r="M5" i="3" a="1"/>
  <c r="M5" i="3" s="1"/>
  <c r="K248" i="3"/>
  <c r="K146" i="3"/>
  <c r="M146" i="3" a="1"/>
  <c r="M146" i="3" s="1"/>
  <c r="K177" i="3"/>
  <c r="M177" i="3" a="1"/>
  <c r="M177" i="3" s="1"/>
  <c r="L3" i="1"/>
  <c r="L179" i="2"/>
  <c r="K267" i="3"/>
  <c r="L267" i="3"/>
  <c r="K200" i="3"/>
  <c r="L200" i="3"/>
  <c r="K272" i="3"/>
  <c r="K171" i="3"/>
  <c r="L171" i="3"/>
  <c r="K119" i="3"/>
  <c r="L119" i="3"/>
  <c r="K112" i="3"/>
  <c r="L112" i="3"/>
  <c r="K102" i="3"/>
  <c r="L102" i="3"/>
  <c r="K86" i="3"/>
  <c r="L86" i="3"/>
  <c r="K76" i="3"/>
  <c r="L76" i="3"/>
  <c r="K43" i="3"/>
  <c r="L43" i="3"/>
  <c r="K35" i="3"/>
  <c r="L35" i="3"/>
  <c r="K25" i="3"/>
  <c r="L25" i="3"/>
  <c r="K220" i="3"/>
  <c r="L220" i="3"/>
  <c r="K162" i="3"/>
  <c r="L162" i="3"/>
  <c r="K219" i="3"/>
  <c r="L219" i="3"/>
  <c r="K209" i="3"/>
  <c r="L209" i="3"/>
  <c r="K199" i="3"/>
  <c r="L199" i="3"/>
  <c r="K158" i="3"/>
  <c r="L158" i="3"/>
  <c r="K138" i="3"/>
  <c r="L138" i="3"/>
  <c r="K96" i="3"/>
  <c r="L96" i="3"/>
  <c r="K80" i="3"/>
  <c r="L80" i="3"/>
  <c r="K60" i="3"/>
  <c r="L60" i="3"/>
  <c r="K233" i="3"/>
  <c r="L233" i="3"/>
  <c r="K270" i="3"/>
  <c r="L270" i="3"/>
  <c r="K244" i="3"/>
  <c r="K218" i="3"/>
  <c r="L218" i="3"/>
  <c r="K118" i="3"/>
  <c r="L118" i="3"/>
  <c r="K105" i="3"/>
  <c r="L105" i="3"/>
  <c r="K91" i="3"/>
  <c r="L91" i="3"/>
  <c r="K79" i="3"/>
  <c r="L79" i="3"/>
  <c r="K57" i="3"/>
  <c r="L57" i="3"/>
  <c r="K34" i="3"/>
  <c r="L34" i="3"/>
  <c r="K216" i="3"/>
  <c r="L216" i="3"/>
  <c r="K204" i="3"/>
  <c r="L204" i="3"/>
  <c r="K169" i="3"/>
  <c r="L169" i="3"/>
  <c r="K129" i="3"/>
  <c r="L129" i="3"/>
  <c r="K111" i="3"/>
  <c r="L111" i="3"/>
  <c r="K100" i="3"/>
  <c r="L100" i="3"/>
  <c r="K83" i="3"/>
  <c r="L83" i="3"/>
  <c r="K73" i="3"/>
  <c r="L73" i="3"/>
  <c r="K41" i="3"/>
  <c r="L41" i="3"/>
  <c r="K276" i="3"/>
  <c r="L276" i="3"/>
  <c r="K269" i="3"/>
  <c r="L269" i="3"/>
  <c r="K242" i="3"/>
  <c r="L242" i="3"/>
  <c r="K153" i="3"/>
  <c r="L153" i="3"/>
  <c r="K128" i="3"/>
  <c r="L128" i="3"/>
  <c r="K110" i="3"/>
  <c r="L110" i="3"/>
  <c r="K98" i="3"/>
  <c r="L98" i="3"/>
  <c r="K82" i="3"/>
  <c r="L82" i="3"/>
  <c r="K67" i="3"/>
  <c r="L67" i="3"/>
  <c r="K37" i="3"/>
  <c r="L37" i="3"/>
  <c r="K293" i="3"/>
  <c r="L293" i="3"/>
  <c r="K210" i="3"/>
  <c r="L210" i="3"/>
  <c r="K292" i="3"/>
  <c r="L292" i="3"/>
  <c r="K278" i="3"/>
  <c r="L278" i="3"/>
  <c r="K250" i="3"/>
  <c r="K213" i="3"/>
  <c r="L213" i="3"/>
  <c r="K178" i="3"/>
  <c r="L178" i="3"/>
  <c r="K117" i="3"/>
  <c r="L117" i="3"/>
  <c r="K104" i="3"/>
  <c r="L104" i="3"/>
  <c r="K88" i="3"/>
  <c r="L88" i="3"/>
  <c r="K78" i="3"/>
  <c r="L78" i="3"/>
  <c r="K49" i="3"/>
  <c r="L49" i="3"/>
  <c r="K33" i="3"/>
  <c r="L33" i="3"/>
  <c r="K150" i="3"/>
  <c r="L150" i="3"/>
  <c r="K140" i="3"/>
  <c r="L140" i="3"/>
  <c r="K122" i="3"/>
  <c r="L122" i="3"/>
  <c r="K103" i="3"/>
  <c r="L103" i="3"/>
  <c r="K97" i="3"/>
  <c r="L97" i="3"/>
  <c r="K87" i="3"/>
  <c r="L87" i="3"/>
  <c r="K81" i="3"/>
  <c r="L81" i="3"/>
  <c r="K77" i="3"/>
  <c r="L77" i="3"/>
  <c r="K61" i="3"/>
  <c r="L61" i="3"/>
  <c r="K36" i="3"/>
  <c r="L36" i="3"/>
  <c r="K30" i="3"/>
  <c r="K179" i="2"/>
  <c r="K180" i="2"/>
  <c r="K3" i="1"/>
  <c r="K181" i="1"/>
  <c r="K295" i="3"/>
  <c r="D59" i="12"/>
  <c r="D44" i="12"/>
  <c r="D104" i="12"/>
  <c r="D29" i="12"/>
  <c r="D74" i="12"/>
  <c r="D89" i="12"/>
  <c r="D14" i="12"/>
  <c r="K297" i="3"/>
  <c r="K181" i="2"/>
  <c r="K296" i="3"/>
  <c r="L146" i="3"/>
  <c r="L144" i="3"/>
  <c r="L226" i="3"/>
  <c r="L208" i="3"/>
  <c r="L186" i="3"/>
  <c r="L8" i="3"/>
  <c r="L217" i="3"/>
  <c r="L201" i="3"/>
  <c r="L177" i="3"/>
  <c r="L145" i="3"/>
  <c r="L9" i="3"/>
  <c r="L279" i="3"/>
  <c r="L215" i="3"/>
  <c r="L207" i="3"/>
  <c r="L175" i="3"/>
  <c r="L167" i="3"/>
  <c r="L47" i="3"/>
  <c r="L254" i="3"/>
  <c r="L230" i="3"/>
  <c r="L222" i="3"/>
  <c r="L214" i="3"/>
  <c r="L206" i="3"/>
  <c r="L182" i="3"/>
  <c r="L174" i="3"/>
  <c r="L205" i="3"/>
  <c r="L189" i="3"/>
  <c r="L109" i="3"/>
  <c r="L5" i="3"/>
  <c r="L176" i="3"/>
  <c r="L252" i="3"/>
  <c r="L188" i="3"/>
  <c r="L172" i="3"/>
  <c r="L156" i="3"/>
  <c r="L116" i="3"/>
  <c r="L108" i="3"/>
  <c r="L195" i="3"/>
  <c r="Q175" i="1"/>
  <c r="Q167" i="1"/>
  <c r="Q159" i="1"/>
  <c r="Q151" i="1"/>
  <c r="Q143" i="1"/>
  <c r="Q135" i="1"/>
  <c r="Q127" i="1"/>
  <c r="Q119" i="1"/>
  <c r="Q111" i="1"/>
  <c r="Q103" i="1"/>
  <c r="Q174" i="1"/>
  <c r="Q166" i="1"/>
  <c r="Q158" i="1"/>
  <c r="Q150" i="1"/>
  <c r="Q142" i="1"/>
  <c r="Q134" i="1"/>
  <c r="Q126" i="1"/>
  <c r="Q118" i="1"/>
  <c r="Q110" i="1"/>
  <c r="Q102" i="1"/>
  <c r="Q173" i="1"/>
  <c r="Q165" i="1"/>
  <c r="Q157" i="1"/>
  <c r="Q149" i="1"/>
  <c r="Q141" i="1"/>
  <c r="Q133" i="1"/>
  <c r="Q125" i="1"/>
  <c r="Q117" i="1"/>
  <c r="Q109" i="1"/>
  <c r="Q101" i="1"/>
  <c r="Q180" i="1"/>
  <c r="Q172" i="1"/>
  <c r="Q164" i="1"/>
  <c r="Q156" i="1"/>
  <c r="Q148" i="1"/>
  <c r="Q140" i="1"/>
  <c r="Q132" i="1"/>
  <c r="Q124" i="1"/>
  <c r="Q116" i="1"/>
  <c r="Q108" i="1"/>
  <c r="Q100" i="1"/>
  <c r="Q179" i="1"/>
  <c r="Q171" i="1"/>
  <c r="Q163" i="1"/>
  <c r="Q155" i="1"/>
  <c r="Q147" i="1"/>
  <c r="Q139" i="1"/>
  <c r="Q131" i="1"/>
  <c r="Q123" i="1"/>
  <c r="Q115" i="1"/>
  <c r="Q107" i="1"/>
  <c r="Q99" i="1"/>
  <c r="Q177" i="1"/>
  <c r="Q169" i="1"/>
  <c r="Q161" i="1"/>
  <c r="Q153" i="1"/>
  <c r="Q145" i="1"/>
  <c r="Q137" i="1"/>
  <c r="Q129" i="1"/>
  <c r="Q121" i="1"/>
  <c r="Q113" i="1"/>
  <c r="Q105" i="1"/>
  <c r="S177" i="1"/>
  <c r="R177" i="1"/>
  <c r="S169" i="1"/>
  <c r="R169" i="1"/>
  <c r="S161" i="1"/>
  <c r="R161" i="1"/>
  <c r="S153" i="1"/>
  <c r="R153" i="1"/>
  <c r="S145" i="1"/>
  <c r="R145" i="1"/>
  <c r="S137" i="1"/>
  <c r="R137" i="1"/>
  <c r="S129" i="1"/>
  <c r="R129" i="1"/>
  <c r="S121" i="1"/>
  <c r="R121" i="1"/>
  <c r="S113" i="1"/>
  <c r="R113" i="1"/>
  <c r="S105" i="1"/>
  <c r="R105" i="1"/>
  <c r="R176" i="1"/>
  <c r="S176" i="1"/>
  <c r="R168" i="1"/>
  <c r="S168" i="1"/>
  <c r="R160" i="1"/>
  <c r="S160" i="1"/>
  <c r="R152" i="1"/>
  <c r="S152" i="1"/>
  <c r="R144" i="1"/>
  <c r="S144" i="1"/>
  <c r="R136" i="1"/>
  <c r="S136" i="1"/>
  <c r="R128" i="1"/>
  <c r="S128" i="1"/>
  <c r="R120" i="1"/>
  <c r="S120" i="1"/>
  <c r="R112" i="1"/>
  <c r="S112" i="1"/>
  <c r="R104" i="1"/>
  <c r="S104" i="1"/>
  <c r="R174" i="1"/>
  <c r="S174" i="1"/>
  <c r="R166" i="1"/>
  <c r="S166" i="1"/>
  <c r="R158" i="1"/>
  <c r="S158" i="1"/>
  <c r="R150" i="1"/>
  <c r="S150" i="1"/>
  <c r="R142" i="1"/>
  <c r="S142" i="1"/>
  <c r="R134" i="1"/>
  <c r="S134" i="1"/>
  <c r="R126" i="1"/>
  <c r="S126" i="1"/>
  <c r="R118" i="1"/>
  <c r="S118" i="1"/>
  <c r="R110" i="1"/>
  <c r="S110" i="1"/>
  <c r="R102" i="1"/>
  <c r="S102" i="1"/>
  <c r="R173" i="1"/>
  <c r="S173" i="1"/>
  <c r="R165" i="1"/>
  <c r="S165" i="1"/>
  <c r="R157" i="1"/>
  <c r="S157" i="1"/>
  <c r="R149" i="1"/>
  <c r="S149" i="1"/>
  <c r="R141" i="1"/>
  <c r="S141" i="1"/>
  <c r="R133" i="1"/>
  <c r="S133" i="1"/>
  <c r="R125" i="1"/>
  <c r="S125" i="1"/>
  <c r="R117" i="1"/>
  <c r="S117" i="1"/>
  <c r="R109" i="1"/>
  <c r="S109" i="1"/>
  <c r="R101" i="1"/>
  <c r="S101" i="1"/>
  <c r="R180" i="1"/>
  <c r="S180" i="1"/>
  <c r="S172" i="1"/>
  <c r="R172" i="1"/>
  <c r="R164" i="1"/>
  <c r="S164" i="1"/>
  <c r="S156" i="1"/>
  <c r="R156" i="1"/>
  <c r="S148" i="1"/>
  <c r="R148" i="1"/>
  <c r="S140" i="1"/>
  <c r="R140" i="1"/>
  <c r="R132" i="1"/>
  <c r="S132" i="1"/>
  <c r="S124" i="1"/>
  <c r="R124" i="1"/>
  <c r="S116" i="1"/>
  <c r="R116" i="1"/>
  <c r="S108" i="1"/>
  <c r="R108" i="1"/>
  <c r="R100" i="1"/>
  <c r="S100" i="1"/>
  <c r="S179" i="1"/>
  <c r="R179" i="1"/>
  <c r="S171" i="1"/>
  <c r="R171" i="1"/>
  <c r="S163" i="1"/>
  <c r="R163" i="1"/>
  <c r="S155" i="1"/>
  <c r="R155" i="1"/>
  <c r="S147" i="1"/>
  <c r="R147" i="1"/>
  <c r="S139" i="1"/>
  <c r="R139" i="1"/>
  <c r="S131" i="1"/>
  <c r="R131" i="1"/>
  <c r="S123" i="1"/>
  <c r="R123" i="1"/>
  <c r="S115" i="1"/>
  <c r="R115" i="1"/>
  <c r="S107" i="1"/>
  <c r="R107" i="1"/>
  <c r="S99" i="1"/>
  <c r="R99" i="1"/>
  <c r="R175" i="1"/>
  <c r="S175" i="1"/>
  <c r="R167" i="1"/>
  <c r="S167" i="1"/>
  <c r="S159" i="1"/>
  <c r="R159" i="1"/>
  <c r="S151" i="1"/>
  <c r="R151" i="1"/>
  <c r="R143" i="1"/>
  <c r="S143" i="1"/>
  <c r="R135" i="1"/>
  <c r="S135" i="1"/>
  <c r="R127" i="1"/>
  <c r="S127" i="1"/>
  <c r="S119" i="1"/>
  <c r="R119" i="1"/>
  <c r="R111" i="1"/>
  <c r="S111" i="1"/>
  <c r="R103" i="1"/>
  <c r="S103" i="1"/>
  <c r="R178" i="1"/>
  <c r="S178" i="1"/>
  <c r="R170" i="1"/>
  <c r="S170" i="1"/>
  <c r="S162" i="1"/>
  <c r="R162" i="1"/>
  <c r="R154" i="1"/>
  <c r="S154" i="1"/>
  <c r="R146" i="1"/>
  <c r="S146" i="1"/>
  <c r="R138" i="1"/>
  <c r="S138" i="1"/>
  <c r="R130" i="1"/>
  <c r="S130" i="1"/>
  <c r="R122" i="1"/>
  <c r="S122" i="1"/>
  <c r="R114" i="1"/>
  <c r="S114" i="1"/>
  <c r="S106" i="1"/>
  <c r="R106" i="1"/>
  <c r="D19" i="12"/>
  <c r="D3" i="11"/>
  <c r="D11" i="11"/>
  <c r="I114" i="2" l="1"/>
  <c r="I115" i="2"/>
  <c r="I117" i="2"/>
  <c r="I118" i="2"/>
  <c r="J118" i="2" s="1"/>
  <c r="M118" i="2" s="1" a="1"/>
  <c r="M118" i="2" s="1"/>
  <c r="I119" i="2"/>
  <c r="J119" i="2" s="1"/>
  <c r="M119" i="2" s="1" a="1"/>
  <c r="M119" i="2" s="1"/>
  <c r="I120" i="2"/>
  <c r="J120" i="2" s="1"/>
  <c r="M120" i="2" s="1" a="1"/>
  <c r="M120" i="2" s="1"/>
  <c r="I60" i="2"/>
  <c r="I84" i="2"/>
  <c r="I97" i="2"/>
  <c r="I126" i="2"/>
  <c r="I127" i="2"/>
  <c r="J127" i="2" s="1"/>
  <c r="M127" i="2" s="1" a="1"/>
  <c r="M127" i="2" s="1"/>
  <c r="I128" i="2"/>
  <c r="J128" i="2" s="1"/>
  <c r="M128" i="2" s="1" a="1"/>
  <c r="M128" i="2" s="1"/>
  <c r="I139" i="2"/>
  <c r="I148" i="2"/>
  <c r="I156" i="2"/>
  <c r="I157" i="2"/>
  <c r="I158" i="2"/>
  <c r="J158" i="2" s="1"/>
  <c r="M158" i="2" s="1" a="1"/>
  <c r="M158" i="2" s="1"/>
  <c r="I159" i="2"/>
  <c r="J159" i="2" s="1"/>
  <c r="M159" i="2" s="1" a="1"/>
  <c r="M159" i="2" s="1"/>
  <c r="I116" i="2"/>
  <c r="I123" i="2"/>
  <c r="I124" i="2"/>
  <c r="J124" i="2" s="1"/>
  <c r="M124" i="2" s="1" a="1"/>
  <c r="M124" i="2" s="1"/>
  <c r="I6" i="2"/>
  <c r="I21" i="2"/>
  <c r="I45" i="2"/>
  <c r="I46" i="2"/>
  <c r="J46" i="2" s="1"/>
  <c r="M46" i="2" s="1" a="1"/>
  <c r="M46" i="2" s="1"/>
  <c r="I61" i="2"/>
  <c r="I71" i="2"/>
  <c r="I17" i="2"/>
  <c r="I30" i="2"/>
  <c r="I31" i="2"/>
  <c r="J31" i="2" s="1"/>
  <c r="M31" i="2" s="1" a="1"/>
  <c r="M31" i="2" s="1"/>
  <c r="I32" i="2"/>
  <c r="J32" i="2" s="1"/>
  <c r="M32" i="2" s="1" a="1"/>
  <c r="M32" i="2" s="1"/>
  <c r="I47" i="2"/>
  <c r="I48" i="2"/>
  <c r="J48" i="2" s="1"/>
  <c r="M48" i="2" s="1" a="1"/>
  <c r="M48" i="2" s="1"/>
  <c r="I26" i="2"/>
  <c r="I36" i="2"/>
  <c r="I37" i="2"/>
  <c r="J37" i="2" s="1"/>
  <c r="M37" i="2" s="1" a="1"/>
  <c r="M37" i="2" s="1"/>
  <c r="I38" i="2"/>
  <c r="J38" i="2" s="1"/>
  <c r="M38" i="2" s="1" a="1"/>
  <c r="M38" i="2" s="1"/>
  <c r="I39" i="2"/>
  <c r="J39" i="2" s="1"/>
  <c r="M39" i="2" s="1" a="1"/>
  <c r="M39" i="2" s="1"/>
  <c r="I40" i="2"/>
  <c r="J40" i="2" s="1"/>
  <c r="M40" i="2" s="1" a="1"/>
  <c r="M40" i="2" s="1"/>
  <c r="I69" i="2"/>
  <c r="I103" i="2"/>
  <c r="I106" i="2"/>
  <c r="I8" i="2"/>
  <c r="I9" i="2"/>
  <c r="J9" i="2" s="1"/>
  <c r="M9" i="2" s="1" a="1"/>
  <c r="M9" i="2" s="1"/>
  <c r="I10" i="2"/>
  <c r="J10" i="2" s="1"/>
  <c r="M10" i="2" s="1" a="1"/>
  <c r="M10" i="2" s="1"/>
  <c r="I41" i="2"/>
  <c r="I49" i="2"/>
  <c r="I50" i="2"/>
  <c r="J50" i="2" s="1"/>
  <c r="M50" i="2" s="1" a="1"/>
  <c r="M50" i="2" s="1"/>
  <c r="I51" i="2"/>
  <c r="J51" i="2" s="1"/>
  <c r="M51" i="2" s="1" a="1"/>
  <c r="M51" i="2" s="1"/>
  <c r="I74" i="2"/>
  <c r="I75" i="2"/>
  <c r="J75" i="2" s="1"/>
  <c r="M75" i="2" s="1" a="1"/>
  <c r="M75" i="2" s="1"/>
  <c r="I76" i="2"/>
  <c r="J76" i="2" s="1"/>
  <c r="M76" i="2" s="1" a="1"/>
  <c r="M76" i="2" s="1"/>
  <c r="I77" i="2"/>
  <c r="J77" i="2" s="1"/>
  <c r="M77" i="2" s="1" a="1"/>
  <c r="M77" i="2" s="1"/>
  <c r="I78" i="2"/>
  <c r="J78" i="2" s="1"/>
  <c r="M78" i="2" s="1" a="1"/>
  <c r="M78" i="2" s="1"/>
  <c r="I85" i="2"/>
  <c r="I86" i="2"/>
  <c r="J86" i="2" s="1"/>
  <c r="M86" i="2" s="1" a="1"/>
  <c r="M86" i="2" s="1"/>
  <c r="I107" i="2"/>
  <c r="I108" i="2"/>
  <c r="J108" i="2" s="1"/>
  <c r="M108" i="2" s="1" a="1"/>
  <c r="M108" i="2" s="1"/>
  <c r="I109" i="2"/>
  <c r="J109" i="2" s="1"/>
  <c r="M109" i="2" s="1" a="1"/>
  <c r="M109" i="2" s="1"/>
  <c r="I110" i="2"/>
  <c r="J110" i="2" s="1"/>
  <c r="M110" i="2" s="1" a="1"/>
  <c r="M110" i="2" s="1"/>
  <c r="I15" i="2"/>
  <c r="I16" i="2"/>
  <c r="J16" i="2" s="1"/>
  <c r="M16" i="2" s="1" a="1"/>
  <c r="M16" i="2" s="1"/>
  <c r="I95" i="2"/>
  <c r="I25" i="2"/>
  <c r="I35" i="2"/>
  <c r="I64" i="2"/>
  <c r="I70" i="2"/>
  <c r="I73" i="2"/>
  <c r="I7" i="2"/>
  <c r="I34" i="2"/>
  <c r="I53" i="2"/>
  <c r="I83" i="2"/>
  <c r="I102" i="2"/>
  <c r="I5" i="2"/>
  <c r="I11" i="2"/>
  <c r="I20" i="2"/>
  <c r="I23" i="2"/>
  <c r="I33" i="2"/>
  <c r="I52" i="2"/>
  <c r="I62" i="2"/>
  <c r="I65" i="2"/>
  <c r="I66" i="2"/>
  <c r="J66" i="2" s="1"/>
  <c r="M66" i="2" s="1" a="1"/>
  <c r="M66" i="2" s="1"/>
  <c r="I67" i="2"/>
  <c r="J67" i="2" s="1"/>
  <c r="M67" i="2" s="1" a="1"/>
  <c r="M67" i="2" s="1"/>
  <c r="I68" i="2"/>
  <c r="J68" i="2" s="1"/>
  <c r="M68" i="2" s="1" a="1"/>
  <c r="M68" i="2" s="1"/>
  <c r="I125" i="2"/>
  <c r="J125" i="2" s="1"/>
  <c r="M125" i="2" s="1" a="1"/>
  <c r="M125" i="2" s="1"/>
  <c r="I98" i="2"/>
  <c r="J98" i="2" s="1"/>
  <c r="I99" i="2"/>
  <c r="J99" i="2" s="1"/>
  <c r="I100" i="2"/>
  <c r="J100" i="2" s="1"/>
  <c r="I101" i="2"/>
  <c r="J101" i="2" s="1"/>
  <c r="I138" i="2"/>
  <c r="I140" i="2"/>
  <c r="I161" i="2"/>
  <c r="I162" i="2"/>
  <c r="J162" i="2" s="1"/>
  <c r="M162" i="2" s="1" a="1"/>
  <c r="M162" i="2" s="1"/>
  <c r="I163" i="2"/>
  <c r="J163" i="2" s="1"/>
  <c r="M163" i="2" s="1" a="1"/>
  <c r="M163" i="2" s="1"/>
  <c r="I164" i="2"/>
  <c r="J164" i="2" s="1"/>
  <c r="M164" i="2" s="1" a="1"/>
  <c r="M164" i="2" s="1"/>
  <c r="I167" i="2"/>
  <c r="I168" i="2"/>
  <c r="I169" i="2"/>
  <c r="J169" i="2" s="1"/>
  <c r="M169" i="2" s="1" a="1"/>
  <c r="M169" i="2" s="1"/>
  <c r="I170" i="2"/>
  <c r="J170" i="2" s="1"/>
  <c r="M170" i="2" s="1" a="1"/>
  <c r="M170" i="2" s="1"/>
  <c r="I171" i="2"/>
  <c r="J171" i="2" s="1"/>
  <c r="M171" i="2" s="1" a="1"/>
  <c r="M171" i="2" s="1"/>
  <c r="I172" i="2"/>
  <c r="J172" i="2" s="1"/>
  <c r="M172" i="2" s="1" a="1"/>
  <c r="M172" i="2" s="1"/>
  <c r="I173" i="2"/>
  <c r="J173" i="2" s="1"/>
  <c r="M173" i="2" s="1" a="1"/>
  <c r="M173" i="2" s="1"/>
  <c r="I174" i="2"/>
  <c r="I175" i="2"/>
  <c r="J175" i="2" s="1"/>
  <c r="M175" i="2" s="1" a="1"/>
  <c r="M175" i="2" s="1"/>
  <c r="I176" i="2"/>
  <c r="I24" i="2"/>
  <c r="I44" i="2"/>
  <c r="I54" i="2"/>
  <c r="I55" i="2"/>
  <c r="J55" i="2" s="1"/>
  <c r="M55" i="2" s="1" a="1"/>
  <c r="M55" i="2" s="1"/>
  <c r="I56" i="2"/>
  <c r="J56" i="2" s="1"/>
  <c r="M56" i="2" s="1" a="1"/>
  <c r="M56" i="2" s="1"/>
  <c r="I57" i="2"/>
  <c r="J57" i="2" s="1"/>
  <c r="M57" i="2" s="1" a="1"/>
  <c r="M57" i="2" s="1"/>
  <c r="I58" i="2"/>
  <c r="J58" i="2" s="1"/>
  <c r="M58" i="2" s="1" a="1"/>
  <c r="M58" i="2" s="1"/>
  <c r="I59" i="2"/>
  <c r="J59" i="2" s="1"/>
  <c r="M59" i="2" s="1" a="1"/>
  <c r="M59" i="2" s="1"/>
  <c r="I63" i="2"/>
  <c r="I72" i="2"/>
  <c r="I79" i="2"/>
  <c r="I80" i="2"/>
  <c r="J80" i="2" s="1"/>
  <c r="M80" i="2" s="1" a="1"/>
  <c r="M80" i="2" s="1"/>
  <c r="I81" i="2"/>
  <c r="J81" i="2" s="1"/>
  <c r="M81" i="2" s="1" a="1"/>
  <c r="M81" i="2" s="1"/>
  <c r="I82" i="2"/>
  <c r="J82" i="2" s="1"/>
  <c r="M82" i="2" s="1" a="1"/>
  <c r="M82" i="2" s="1"/>
  <c r="I129" i="2"/>
  <c r="I111" i="2"/>
  <c r="I112" i="2"/>
  <c r="J112" i="2" s="1"/>
  <c r="M112" i="2" s="1" a="1"/>
  <c r="M112" i="2" s="1"/>
  <c r="I121" i="2"/>
  <c r="I122" i="2"/>
  <c r="I105" i="2"/>
  <c r="I113" i="2"/>
  <c r="I96" i="2"/>
  <c r="J96" i="2" s="1"/>
  <c r="M96" i="2" s="1" a="1"/>
  <c r="M96" i="2" s="1"/>
  <c r="I104" i="2"/>
  <c r="J104" i="2" s="1"/>
  <c r="M104" i="2" s="1" a="1"/>
  <c r="M104" i="2" s="1"/>
  <c r="I12" i="2"/>
  <c r="I13" i="2"/>
  <c r="J13" i="2" s="1"/>
  <c r="M13" i="2" s="1" a="1"/>
  <c r="M13" i="2" s="1"/>
  <c r="I14" i="2"/>
  <c r="J14" i="2" s="1"/>
  <c r="M14" i="2" s="1" a="1"/>
  <c r="M14" i="2" s="1"/>
  <c r="I3" i="2"/>
  <c r="I4" i="2"/>
  <c r="J4" i="2" s="1"/>
  <c r="M4" i="2" s="1" a="1"/>
  <c r="M4" i="2" s="1"/>
  <c r="I27" i="2"/>
  <c r="I28" i="2"/>
  <c r="J28" i="2" s="1"/>
  <c r="M28" i="2" s="1" a="1"/>
  <c r="M28" i="2" s="1"/>
  <c r="I29" i="2"/>
  <c r="J29" i="2" s="1"/>
  <c r="M29" i="2" s="1" a="1"/>
  <c r="M29" i="2" s="1"/>
  <c r="I87" i="2"/>
  <c r="I88" i="2"/>
  <c r="J88" i="2" s="1"/>
  <c r="I89" i="2"/>
  <c r="J89" i="2" s="1"/>
  <c r="I90" i="2"/>
  <c r="J90" i="2" s="1"/>
  <c r="I91" i="2"/>
  <c r="J91" i="2" s="1"/>
  <c r="I92" i="2"/>
  <c r="J92" i="2" s="1"/>
  <c r="I93" i="2"/>
  <c r="J93" i="2" s="1"/>
  <c r="I94" i="2"/>
  <c r="J94" i="2" s="1"/>
  <c r="I42" i="2"/>
  <c r="I165" i="2"/>
  <c r="I166" i="2"/>
  <c r="J166" i="2" s="1"/>
  <c r="M166" i="2" s="1" a="1"/>
  <c r="M166" i="2" s="1"/>
  <c r="I177" i="2"/>
  <c r="I178" i="2"/>
  <c r="J178" i="2" s="1"/>
  <c r="M178" i="2" s="1" a="1"/>
  <c r="M178" i="2" s="1"/>
  <c r="I130" i="2"/>
  <c r="I131" i="2"/>
  <c r="J131" i="2" s="1"/>
  <c r="M131" i="2" s="1" a="1"/>
  <c r="M131" i="2" s="1"/>
  <c r="I132" i="2"/>
  <c r="J132" i="2" s="1"/>
  <c r="M132" i="2" s="1" a="1"/>
  <c r="M132" i="2" s="1"/>
  <c r="I133" i="2"/>
  <c r="J133" i="2" s="1"/>
  <c r="M133" i="2" s="1" a="1"/>
  <c r="M133" i="2" s="1"/>
  <c r="I134" i="2"/>
  <c r="J134" i="2" s="1"/>
  <c r="M134" i="2" s="1" a="1"/>
  <c r="M134" i="2" s="1"/>
  <c r="I135" i="2"/>
  <c r="I136" i="2"/>
  <c r="J136" i="2" s="1"/>
  <c r="M136" i="2" s="1" a="1"/>
  <c r="M136" i="2" s="1"/>
  <c r="I142" i="2"/>
  <c r="I143" i="2"/>
  <c r="I144" i="2"/>
  <c r="I145" i="2"/>
  <c r="J145" i="2" s="1"/>
  <c r="M145" i="2" s="1" a="1"/>
  <c r="M145" i="2" s="1"/>
  <c r="I146" i="2"/>
  <c r="J146" i="2" s="1"/>
  <c r="M146" i="2" s="1" a="1"/>
  <c r="M146" i="2" s="1"/>
  <c r="I147" i="2"/>
  <c r="I149" i="2"/>
  <c r="I150" i="2"/>
  <c r="J150" i="2" s="1"/>
  <c r="M150" i="2" s="1" a="1"/>
  <c r="M150" i="2" s="1"/>
  <c r="I151" i="2"/>
  <c r="J151" i="2" s="1"/>
  <c r="M151" i="2" s="1" a="1"/>
  <c r="M151" i="2" s="1"/>
  <c r="I152" i="2"/>
  <c r="J152" i="2" s="1"/>
  <c r="M152" i="2" s="1" a="1"/>
  <c r="M152" i="2" s="1"/>
  <c r="I153" i="2"/>
  <c r="J153" i="2" s="1"/>
  <c r="M153" i="2" s="1" a="1"/>
  <c r="M153" i="2" s="1"/>
  <c r="I154" i="2"/>
  <c r="I155" i="2"/>
  <c r="I160" i="2"/>
  <c r="I18" i="2"/>
  <c r="I19" i="2"/>
  <c r="J19" i="2" s="1"/>
  <c r="M19" i="2" s="1" a="1"/>
  <c r="M19" i="2" s="1"/>
  <c r="I22" i="2"/>
  <c r="I43" i="2"/>
  <c r="I137" i="2"/>
  <c r="I141" i="2"/>
  <c r="I3" i="3"/>
  <c r="I4" i="1"/>
  <c r="I5" i="1"/>
  <c r="I6" i="1"/>
  <c r="I7" i="1"/>
  <c r="I8" i="1"/>
  <c r="I9" i="1"/>
  <c r="J9" i="1" s="1"/>
  <c r="I10" i="1"/>
  <c r="J10" i="1" s="1"/>
  <c r="I11" i="1"/>
  <c r="I12" i="1"/>
  <c r="I13" i="1"/>
  <c r="J13" i="1" s="1"/>
  <c r="I14" i="1"/>
  <c r="J14" i="1" s="1"/>
  <c r="I15" i="1"/>
  <c r="I16" i="1"/>
  <c r="J16" i="1" s="1"/>
  <c r="I17" i="1"/>
  <c r="I18" i="1"/>
  <c r="I19" i="1"/>
  <c r="J19" i="1" s="1"/>
  <c r="I20" i="1"/>
  <c r="I21" i="1"/>
  <c r="I22" i="1"/>
  <c r="I23" i="1"/>
  <c r="I24" i="1"/>
  <c r="I25" i="1"/>
  <c r="I26" i="1"/>
  <c r="I27" i="1"/>
  <c r="I28" i="1"/>
  <c r="J28" i="1" s="1"/>
  <c r="I29" i="1"/>
  <c r="J29" i="1" s="1"/>
  <c r="I30" i="1"/>
  <c r="I31" i="1"/>
  <c r="J31" i="1" s="1"/>
  <c r="I32" i="1"/>
  <c r="J32" i="1" s="1"/>
  <c r="I33" i="1"/>
  <c r="I34" i="1"/>
  <c r="I35" i="1"/>
  <c r="I36" i="1"/>
  <c r="I37" i="1"/>
  <c r="J37" i="1" s="1"/>
  <c r="I38" i="1"/>
  <c r="J38" i="1" s="1"/>
  <c r="I39" i="1"/>
  <c r="J39" i="1" s="1"/>
  <c r="I40" i="1"/>
  <c r="J40" i="1" s="1"/>
  <c r="I41" i="1"/>
  <c r="I42" i="1"/>
  <c r="I43" i="1"/>
  <c r="I44" i="1"/>
  <c r="I45" i="1"/>
  <c r="I46" i="1"/>
  <c r="J46" i="1" s="1"/>
  <c r="I47" i="1"/>
  <c r="I48" i="1"/>
  <c r="J48" i="1" s="1"/>
  <c r="I49" i="1"/>
  <c r="I50" i="1"/>
  <c r="J50" i="1" s="1"/>
  <c r="I51" i="1"/>
  <c r="J51" i="1" s="1"/>
  <c r="I52" i="1"/>
  <c r="I53" i="1"/>
  <c r="I54" i="1"/>
  <c r="I55" i="1"/>
  <c r="J55" i="1" s="1"/>
  <c r="I56" i="1"/>
  <c r="J56" i="1" s="1"/>
  <c r="I57" i="1"/>
  <c r="J57" i="1" s="1"/>
  <c r="I58" i="1"/>
  <c r="J58" i="1" s="1"/>
  <c r="I59" i="1"/>
  <c r="J59" i="1" s="1"/>
  <c r="I60" i="1"/>
  <c r="I61" i="1"/>
  <c r="I62" i="1"/>
  <c r="I63" i="1"/>
  <c r="I64" i="1"/>
  <c r="I65" i="1"/>
  <c r="I66" i="1"/>
  <c r="J66" i="1" s="1"/>
  <c r="I67" i="1"/>
  <c r="J67" i="1" s="1"/>
  <c r="I68" i="1"/>
  <c r="J68" i="1" s="1"/>
  <c r="I69" i="1"/>
  <c r="I70" i="1"/>
  <c r="I71" i="1"/>
  <c r="I72" i="1"/>
  <c r="I73" i="1"/>
  <c r="I74" i="1"/>
  <c r="I75" i="1"/>
  <c r="J75" i="1" s="1"/>
  <c r="I76" i="1"/>
  <c r="J76" i="1" s="1"/>
  <c r="I77" i="1"/>
  <c r="J77" i="1" s="1"/>
  <c r="I78" i="1"/>
  <c r="J78" i="1" s="1"/>
  <c r="I79" i="1"/>
  <c r="I80" i="1"/>
  <c r="J80" i="1" s="1"/>
  <c r="I81" i="1"/>
  <c r="J81" i="1" s="1"/>
  <c r="I82" i="1"/>
  <c r="J82" i="1" s="1"/>
  <c r="I83" i="1"/>
  <c r="I84" i="1"/>
  <c r="I85" i="1"/>
  <c r="I86" i="1"/>
  <c r="J86" i="1" s="1"/>
  <c r="I87" i="1"/>
  <c r="I88" i="1"/>
  <c r="J88" i="1" s="1"/>
  <c r="I89" i="1"/>
  <c r="J89" i="1" s="1"/>
  <c r="I90" i="1"/>
  <c r="J90" i="1" s="1"/>
  <c r="I91" i="1"/>
  <c r="J91" i="1" s="1"/>
  <c r="I92" i="1"/>
  <c r="J92" i="1" s="1"/>
  <c r="I93" i="1"/>
  <c r="J93" i="1" s="1"/>
  <c r="I94" i="1"/>
  <c r="J94" i="1" s="1"/>
  <c r="I95" i="1"/>
  <c r="I96" i="1"/>
  <c r="J96" i="1" s="1"/>
  <c r="I97" i="1"/>
  <c r="I98" i="1"/>
  <c r="J98" i="1" s="1"/>
  <c r="I99" i="1"/>
  <c r="J99" i="1" s="1"/>
  <c r="I100" i="1"/>
  <c r="J100" i="1" s="1"/>
  <c r="I101" i="1"/>
  <c r="J101" i="1" s="1"/>
  <c r="I102" i="1"/>
  <c r="I103" i="1"/>
  <c r="I104" i="1"/>
  <c r="J104" i="1" s="1"/>
  <c r="I105" i="1"/>
  <c r="I106" i="1"/>
  <c r="I107" i="1"/>
  <c r="I108" i="1"/>
  <c r="J108" i="1" s="1"/>
  <c r="I109" i="1"/>
  <c r="J109" i="1" s="1"/>
  <c r="I110" i="1"/>
  <c r="J110" i="1" s="1"/>
  <c r="I111" i="1"/>
  <c r="I112" i="1"/>
  <c r="J112" i="1" s="1"/>
  <c r="I113" i="1"/>
  <c r="I114" i="1"/>
  <c r="I115" i="1"/>
  <c r="I116" i="1"/>
  <c r="I117" i="1"/>
  <c r="I118" i="1"/>
  <c r="J118" i="1" s="1"/>
  <c r="I119" i="1"/>
  <c r="J119" i="1" s="1"/>
  <c r="I120" i="1"/>
  <c r="J120" i="1" s="1"/>
  <c r="I121" i="1"/>
  <c r="I122" i="1"/>
  <c r="I123" i="1"/>
  <c r="I124" i="1"/>
  <c r="J124" i="1" s="1"/>
  <c r="I125" i="1"/>
  <c r="J125" i="1" s="1"/>
  <c r="I126" i="1"/>
  <c r="I127" i="1"/>
  <c r="J127" i="1" s="1"/>
  <c r="I128" i="1"/>
  <c r="J128" i="1" s="1"/>
  <c r="I129" i="1"/>
  <c r="I130" i="1"/>
  <c r="I131" i="1"/>
  <c r="J131" i="1" s="1"/>
  <c r="I132" i="1"/>
  <c r="J132" i="1" s="1"/>
  <c r="I133" i="1"/>
  <c r="J133" i="1" s="1"/>
  <c r="I134" i="1"/>
  <c r="J134" i="1" s="1"/>
  <c r="I135" i="1"/>
  <c r="I136" i="1"/>
  <c r="J136" i="1" s="1"/>
  <c r="I137" i="1"/>
  <c r="I138" i="1"/>
  <c r="I139" i="1"/>
  <c r="I140" i="1"/>
  <c r="I141" i="1"/>
  <c r="I142" i="1"/>
  <c r="I143" i="1"/>
  <c r="I144" i="1"/>
  <c r="I145" i="1"/>
  <c r="J145" i="1" s="1"/>
  <c r="I146" i="1"/>
  <c r="J146" i="1" s="1"/>
  <c r="I147" i="1"/>
  <c r="I148" i="1"/>
  <c r="I149" i="1"/>
  <c r="I150" i="1"/>
  <c r="J150" i="1" s="1"/>
  <c r="I151" i="1"/>
  <c r="J151" i="1" s="1"/>
  <c r="I152" i="1"/>
  <c r="J152" i="1" s="1"/>
  <c r="I153" i="1"/>
  <c r="J153" i="1" s="1"/>
  <c r="I154" i="1"/>
  <c r="I155" i="1"/>
  <c r="I156" i="1"/>
  <c r="I157" i="1"/>
  <c r="I158" i="1"/>
  <c r="I159" i="1"/>
  <c r="I160" i="1"/>
  <c r="J160" i="1" s="1"/>
  <c r="I161" i="1"/>
  <c r="J161" i="1" s="1"/>
  <c r="I162" i="1"/>
  <c r="I163" i="1"/>
  <c r="I164" i="1"/>
  <c r="J164" i="1" s="1"/>
  <c r="I165" i="1"/>
  <c r="J165" i="1" s="1"/>
  <c r="I166" i="1"/>
  <c r="J166" i="1" s="1"/>
  <c r="I167" i="1"/>
  <c r="I168" i="1"/>
  <c r="J168" i="1" s="1"/>
  <c r="I169" i="1"/>
  <c r="I170" i="1"/>
  <c r="I171" i="1"/>
  <c r="J171" i="1" s="1"/>
  <c r="I172" i="1"/>
  <c r="J172" i="1" s="1"/>
  <c r="I173" i="1"/>
  <c r="J173" i="1" s="1"/>
  <c r="I174" i="1"/>
  <c r="J174" i="1" s="1"/>
  <c r="I175" i="1"/>
  <c r="J175" i="1" s="1"/>
  <c r="I176" i="1"/>
  <c r="I177" i="1"/>
  <c r="J177" i="1" s="1"/>
  <c r="I178" i="1"/>
  <c r="I179" i="1"/>
  <c r="I180" i="1"/>
  <c r="J180" i="1" s="1"/>
  <c r="I4" i="3"/>
  <c r="I6" i="3"/>
  <c r="I7" i="3"/>
  <c r="I10" i="3"/>
  <c r="I11" i="3"/>
  <c r="I12" i="3"/>
  <c r="I13" i="3"/>
  <c r="I14" i="3"/>
  <c r="I15" i="3"/>
  <c r="I16" i="3"/>
  <c r="I17" i="3"/>
  <c r="I18" i="3"/>
  <c r="I19" i="3"/>
  <c r="I20" i="3"/>
  <c r="I21" i="3"/>
  <c r="I22" i="3"/>
  <c r="I23" i="3"/>
  <c r="I24" i="3"/>
  <c r="I26" i="3"/>
  <c r="I27" i="3"/>
  <c r="I28" i="3"/>
  <c r="I29" i="3"/>
  <c r="I31" i="3"/>
  <c r="I32" i="3"/>
  <c r="I38" i="3"/>
  <c r="I39" i="3"/>
  <c r="I40" i="3"/>
  <c r="I42" i="3"/>
  <c r="I44" i="3"/>
  <c r="I45" i="3"/>
  <c r="I46" i="3"/>
  <c r="I48" i="3"/>
  <c r="I50" i="3"/>
  <c r="I51" i="3"/>
  <c r="I52" i="3"/>
  <c r="I53" i="3"/>
  <c r="I54" i="3"/>
  <c r="I55" i="3"/>
  <c r="I56" i="3"/>
  <c r="I58" i="3"/>
  <c r="I59" i="3"/>
  <c r="I62" i="3"/>
  <c r="I63" i="3"/>
  <c r="I64" i="3"/>
  <c r="I65" i="3"/>
  <c r="I66" i="3"/>
  <c r="I68" i="3"/>
  <c r="I69" i="3"/>
  <c r="I70" i="3"/>
  <c r="I71" i="3"/>
  <c r="I72" i="3"/>
  <c r="I74" i="3"/>
  <c r="I75" i="3"/>
  <c r="I84" i="3"/>
  <c r="I85" i="3"/>
  <c r="I89" i="3"/>
  <c r="I90" i="3"/>
  <c r="I92" i="3"/>
  <c r="I93" i="3"/>
  <c r="I94" i="3"/>
  <c r="I95" i="3"/>
  <c r="I99" i="3"/>
  <c r="I101" i="3"/>
  <c r="I106" i="3"/>
  <c r="I107" i="3"/>
  <c r="I113" i="3"/>
  <c r="I114" i="3"/>
  <c r="I115" i="3"/>
  <c r="I120" i="3"/>
  <c r="I121" i="3"/>
  <c r="I123" i="3"/>
  <c r="I124" i="3"/>
  <c r="I125" i="3"/>
  <c r="I126" i="3"/>
  <c r="I127" i="3"/>
  <c r="I130" i="3"/>
  <c r="I131" i="3"/>
  <c r="I132" i="3"/>
  <c r="I133" i="3"/>
  <c r="I134" i="3"/>
  <c r="I135" i="3"/>
  <c r="I136" i="3"/>
  <c r="I137" i="3"/>
  <c r="I139" i="3"/>
  <c r="I141" i="3"/>
  <c r="I142" i="3"/>
  <c r="I143" i="3"/>
  <c r="I147" i="3"/>
  <c r="I148" i="3"/>
  <c r="I149" i="3"/>
  <c r="I151" i="3"/>
  <c r="I152" i="3"/>
  <c r="I154" i="3"/>
  <c r="I155" i="3"/>
  <c r="I157" i="3"/>
  <c r="I159" i="3"/>
  <c r="I160" i="3"/>
  <c r="I161" i="3"/>
  <c r="I163" i="3"/>
  <c r="I164" i="3"/>
  <c r="I165" i="3"/>
  <c r="I166" i="3"/>
  <c r="I168" i="3"/>
  <c r="I170" i="3"/>
  <c r="I173" i="3"/>
  <c r="I179" i="3"/>
  <c r="I180" i="3"/>
  <c r="I181" i="3"/>
  <c r="I183" i="3"/>
  <c r="I184" i="3"/>
  <c r="I185" i="3"/>
  <c r="I187" i="3"/>
  <c r="I190" i="3"/>
  <c r="I191" i="3"/>
  <c r="I192" i="3"/>
  <c r="I193" i="3"/>
  <c r="I194" i="3"/>
  <c r="I196" i="3"/>
  <c r="I197" i="3"/>
  <c r="I198" i="3"/>
  <c r="I202" i="3"/>
  <c r="I203" i="3"/>
  <c r="I211" i="3"/>
  <c r="I212" i="3"/>
  <c r="I221" i="3"/>
  <c r="I223" i="3"/>
  <c r="I224" i="3"/>
  <c r="I225" i="3"/>
  <c r="I227" i="3"/>
  <c r="I228" i="3"/>
  <c r="I229" i="3"/>
  <c r="I231" i="3"/>
  <c r="I232" i="3"/>
  <c r="I234" i="3"/>
  <c r="I235" i="3"/>
  <c r="I236" i="3"/>
  <c r="I237" i="3"/>
  <c r="I238" i="3"/>
  <c r="I239" i="3"/>
  <c r="I240" i="3"/>
  <c r="I241" i="3"/>
  <c r="I243" i="3"/>
  <c r="I245" i="3"/>
  <c r="I246" i="3"/>
  <c r="I247" i="3"/>
  <c r="I251" i="3"/>
  <c r="I253" i="3"/>
  <c r="I255" i="3"/>
  <c r="I256" i="3"/>
  <c r="I257" i="3"/>
  <c r="I258" i="3"/>
  <c r="I259" i="3"/>
  <c r="I260" i="3"/>
  <c r="I261" i="3"/>
  <c r="I262" i="3"/>
  <c r="I263" i="3"/>
  <c r="I264" i="3"/>
  <c r="I265" i="3"/>
  <c r="I266" i="3"/>
  <c r="I268" i="3"/>
  <c r="I271" i="3"/>
  <c r="I273" i="3"/>
  <c r="I274" i="3"/>
  <c r="I275" i="3"/>
  <c r="I277" i="3"/>
  <c r="I280" i="3"/>
  <c r="I281" i="3"/>
  <c r="I282" i="3"/>
  <c r="I283" i="3"/>
  <c r="I284" i="3"/>
  <c r="I285" i="3"/>
  <c r="I286" i="3"/>
  <c r="I287" i="3"/>
  <c r="I288" i="3"/>
  <c r="I289" i="3"/>
  <c r="I290" i="3"/>
  <c r="I291" i="3"/>
  <c r="I294" i="3"/>
  <c r="L119" i="2" l="1"/>
  <c r="L163" i="2"/>
  <c r="L162" i="2"/>
  <c r="L77" i="2"/>
  <c r="L124" i="2"/>
  <c r="L19" i="2"/>
  <c r="L150" i="2"/>
  <c r="L136" i="2"/>
  <c r="L171" i="2"/>
  <c r="L68" i="2"/>
  <c r="L110" i="2"/>
  <c r="L76" i="2"/>
  <c r="L9" i="2"/>
  <c r="L37" i="2"/>
  <c r="L128" i="2"/>
  <c r="L118" i="2"/>
  <c r="L31" i="2"/>
  <c r="L166" i="2"/>
  <c r="L14" i="2"/>
  <c r="L170" i="2"/>
  <c r="L67" i="2"/>
  <c r="L109" i="2"/>
  <c r="L75" i="2"/>
  <c r="L127" i="2"/>
  <c r="L152" i="2"/>
  <c r="L81" i="2"/>
  <c r="L151" i="2"/>
  <c r="L4" i="2"/>
  <c r="L172" i="2"/>
  <c r="L134" i="2"/>
  <c r="L13" i="2"/>
  <c r="L112" i="2"/>
  <c r="L169" i="2"/>
  <c r="L66" i="2"/>
  <c r="L108" i="2"/>
  <c r="L159" i="2"/>
  <c r="L173" i="2"/>
  <c r="L78" i="2"/>
  <c r="L120" i="2"/>
  <c r="L55" i="2"/>
  <c r="L38" i="2"/>
  <c r="L146" i="2"/>
  <c r="L133" i="2"/>
  <c r="L59" i="2"/>
  <c r="L51" i="2"/>
  <c r="L48" i="2"/>
  <c r="L46" i="2"/>
  <c r="L158" i="2"/>
  <c r="L56" i="2"/>
  <c r="L16" i="2"/>
  <c r="L178" i="2"/>
  <c r="L80" i="2"/>
  <c r="L125" i="2"/>
  <c r="L10" i="2"/>
  <c r="L145" i="2"/>
  <c r="L132" i="2"/>
  <c r="L29" i="2"/>
  <c r="L104" i="2"/>
  <c r="L58" i="2"/>
  <c r="L175" i="2"/>
  <c r="L86" i="2"/>
  <c r="L50" i="2"/>
  <c r="L39" i="2"/>
  <c r="L153" i="2"/>
  <c r="L131" i="2"/>
  <c r="L28" i="2"/>
  <c r="L96" i="2"/>
  <c r="L82" i="2"/>
  <c r="L57" i="2"/>
  <c r="L164" i="2"/>
  <c r="L40" i="2"/>
  <c r="L32" i="2"/>
  <c r="M168" i="1" a="1"/>
  <c r="M168" i="1" s="1"/>
  <c r="L168" i="1"/>
  <c r="M136" i="1" a="1"/>
  <c r="M136" i="1" s="1"/>
  <c r="L136" i="1"/>
  <c r="M128" i="1" a="1"/>
  <c r="M128" i="1" s="1"/>
  <c r="L128" i="1"/>
  <c r="M120" i="1" a="1"/>
  <c r="M120" i="1" s="1"/>
  <c r="L120" i="1"/>
  <c r="M112" i="1" a="1"/>
  <c r="M112" i="1" s="1"/>
  <c r="L112" i="1"/>
  <c r="M104" i="1" a="1"/>
  <c r="M104" i="1" s="1"/>
  <c r="L104" i="1"/>
  <c r="M96" i="1" a="1"/>
  <c r="M96" i="1" s="1"/>
  <c r="L96" i="1"/>
  <c r="M88" i="1" a="1"/>
  <c r="M88" i="1" s="1"/>
  <c r="L88" i="1"/>
  <c r="M56" i="1" a="1"/>
  <c r="M56" i="1" s="1"/>
  <c r="L56" i="1"/>
  <c r="M48" i="1" a="1"/>
  <c r="M48" i="1" s="1"/>
  <c r="L48" i="1"/>
  <c r="M40" i="1" a="1"/>
  <c r="M40" i="1" s="1"/>
  <c r="L40" i="1"/>
  <c r="M32" i="1" a="1"/>
  <c r="M32" i="1" s="1"/>
  <c r="L32" i="1"/>
  <c r="M16" i="1" a="1"/>
  <c r="M16" i="1" s="1"/>
  <c r="L16" i="1"/>
  <c r="M175" i="1" a="1"/>
  <c r="M175" i="1" s="1"/>
  <c r="L175" i="1"/>
  <c r="M127" i="1" a="1"/>
  <c r="M127" i="1" s="1"/>
  <c r="L127" i="1"/>
  <c r="M119" i="1" a="1"/>
  <c r="M119" i="1" s="1"/>
  <c r="L119" i="1"/>
  <c r="M55" i="1" a="1"/>
  <c r="M55" i="1" s="1"/>
  <c r="L55" i="1"/>
  <c r="M39" i="1" a="1"/>
  <c r="M39" i="1" s="1"/>
  <c r="L39" i="1"/>
  <c r="M31" i="1" a="1"/>
  <c r="M31" i="1" s="1"/>
  <c r="L31" i="1"/>
  <c r="M177" i="1" a="1"/>
  <c r="M177" i="1" s="1"/>
  <c r="L177" i="1"/>
  <c r="M166" i="1" a="1"/>
  <c r="M166" i="1" s="1"/>
  <c r="L166" i="1"/>
  <c r="M134" i="1" a="1"/>
  <c r="M134" i="1" s="1"/>
  <c r="L134" i="1"/>
  <c r="M118" i="1" a="1"/>
  <c r="M118" i="1" s="1"/>
  <c r="L118" i="1"/>
  <c r="M110" i="1" a="1"/>
  <c r="M110" i="1" s="1"/>
  <c r="L110" i="1"/>
  <c r="M94" i="1" a="1"/>
  <c r="M94" i="1" s="1"/>
  <c r="L94" i="1"/>
  <c r="M86" i="1" a="1"/>
  <c r="M86" i="1" s="1"/>
  <c r="L86" i="1"/>
  <c r="M78" i="1" a="1"/>
  <c r="M78" i="1" s="1"/>
  <c r="L78" i="1"/>
  <c r="M46" i="1" a="1"/>
  <c r="M46" i="1" s="1"/>
  <c r="L46" i="1"/>
  <c r="M38" i="1" a="1"/>
  <c r="M38" i="1" s="1"/>
  <c r="L38" i="1"/>
  <c r="M14" i="1" a="1"/>
  <c r="M14" i="1" s="1"/>
  <c r="L14" i="1"/>
  <c r="M174" i="1" a="1"/>
  <c r="M174" i="1" s="1"/>
  <c r="L174" i="1"/>
  <c r="M173" i="1" a="1"/>
  <c r="M173" i="1" s="1"/>
  <c r="L173" i="1"/>
  <c r="M165" i="1" a="1"/>
  <c r="M165" i="1" s="1"/>
  <c r="L165" i="1"/>
  <c r="M133" i="1" a="1"/>
  <c r="M133" i="1" s="1"/>
  <c r="L133" i="1"/>
  <c r="M125" i="1" a="1"/>
  <c r="M125" i="1" s="1"/>
  <c r="L125" i="1"/>
  <c r="M109" i="1" a="1"/>
  <c r="M109" i="1" s="1"/>
  <c r="L109" i="1"/>
  <c r="M101" i="1" a="1"/>
  <c r="M101" i="1" s="1"/>
  <c r="L101" i="1"/>
  <c r="M93" i="1" a="1"/>
  <c r="M93" i="1" s="1"/>
  <c r="L93" i="1"/>
  <c r="M77" i="1" a="1"/>
  <c r="M77" i="1" s="1"/>
  <c r="L77" i="1"/>
  <c r="M37" i="1" a="1"/>
  <c r="M37" i="1" s="1"/>
  <c r="L37" i="1"/>
  <c r="M29" i="1" a="1"/>
  <c r="M29" i="1" s="1"/>
  <c r="L29" i="1"/>
  <c r="M13" i="1" a="1"/>
  <c r="M13" i="1" s="1"/>
  <c r="L13" i="1"/>
  <c r="M172" i="1" a="1"/>
  <c r="M172" i="1" s="1"/>
  <c r="L172" i="1"/>
  <c r="M164" i="1" a="1"/>
  <c r="M164" i="1" s="1"/>
  <c r="L164" i="1"/>
  <c r="M132" i="1" a="1"/>
  <c r="M132" i="1" s="1"/>
  <c r="L132" i="1"/>
  <c r="M124" i="1" a="1"/>
  <c r="M124" i="1" s="1"/>
  <c r="L124" i="1"/>
  <c r="M108" i="1" a="1"/>
  <c r="M108" i="1" s="1"/>
  <c r="L108" i="1"/>
  <c r="M100" i="1" a="1"/>
  <c r="M100" i="1" s="1"/>
  <c r="L100" i="1"/>
  <c r="M92" i="1" a="1"/>
  <c r="M92" i="1" s="1"/>
  <c r="L92" i="1"/>
  <c r="M76" i="1" a="1"/>
  <c r="M76" i="1" s="1"/>
  <c r="L76" i="1"/>
  <c r="M68" i="1" a="1"/>
  <c r="M68" i="1" s="1"/>
  <c r="L68" i="1"/>
  <c r="M28" i="1" a="1"/>
  <c r="M28" i="1" s="1"/>
  <c r="L28" i="1"/>
  <c r="M171" i="1" a="1"/>
  <c r="M171" i="1" s="1"/>
  <c r="L171" i="1"/>
  <c r="M131" i="1" a="1"/>
  <c r="M131" i="1" s="1"/>
  <c r="L131" i="1"/>
  <c r="M99" i="1" a="1"/>
  <c r="M99" i="1" s="1"/>
  <c r="L99" i="1"/>
  <c r="M91" i="1" a="1"/>
  <c r="M91" i="1" s="1"/>
  <c r="L91" i="1"/>
  <c r="M75" i="1" a="1"/>
  <c r="M75" i="1" s="1"/>
  <c r="L75" i="1"/>
  <c r="M67" i="1" a="1"/>
  <c r="M67" i="1" s="1"/>
  <c r="L67" i="1"/>
  <c r="M59" i="1" a="1"/>
  <c r="M59" i="1" s="1"/>
  <c r="L59" i="1"/>
  <c r="M51" i="1" a="1"/>
  <c r="M51" i="1" s="1"/>
  <c r="L51" i="1"/>
  <c r="M19" i="1" a="1"/>
  <c r="M19" i="1" s="1"/>
  <c r="L19" i="1"/>
  <c r="M146" i="1" a="1"/>
  <c r="M146" i="1" s="1"/>
  <c r="L146" i="1"/>
  <c r="M98" i="1" a="1"/>
  <c r="M98" i="1" s="1"/>
  <c r="L98" i="1"/>
  <c r="M90" i="1" a="1"/>
  <c r="M90" i="1" s="1"/>
  <c r="L90" i="1"/>
  <c r="M66" i="1" a="1"/>
  <c r="M66" i="1" s="1"/>
  <c r="L66" i="1"/>
  <c r="M58" i="1" a="1"/>
  <c r="M58" i="1" s="1"/>
  <c r="L58" i="1"/>
  <c r="M50" i="1" a="1"/>
  <c r="M50" i="1" s="1"/>
  <c r="L50" i="1"/>
  <c r="M10" i="1" a="1"/>
  <c r="M10" i="1" s="1"/>
  <c r="L10" i="1"/>
  <c r="M180" i="1" a="1"/>
  <c r="M180" i="1" s="1"/>
  <c r="L180" i="1"/>
  <c r="M145" i="1" a="1"/>
  <c r="M145" i="1" s="1"/>
  <c r="L145" i="1"/>
  <c r="M89" i="1" a="1"/>
  <c r="M89" i="1" s="1"/>
  <c r="L89" i="1"/>
  <c r="M57" i="1" a="1"/>
  <c r="M57" i="1" s="1"/>
  <c r="L57" i="1"/>
  <c r="M9" i="1" a="1"/>
  <c r="M9" i="1" s="1"/>
  <c r="L9" i="1"/>
  <c r="K151" i="1"/>
  <c r="K55" i="1"/>
  <c r="K168" i="1"/>
  <c r="K120" i="1"/>
  <c r="K80" i="1"/>
  <c r="K32" i="1"/>
  <c r="K127" i="1"/>
  <c r="K39" i="1"/>
  <c r="K174" i="1"/>
  <c r="K166" i="1"/>
  <c r="K150" i="1"/>
  <c r="K134" i="1"/>
  <c r="K118" i="1"/>
  <c r="K110" i="1"/>
  <c r="K94" i="1"/>
  <c r="K86" i="1"/>
  <c r="K78" i="1"/>
  <c r="K46" i="1"/>
  <c r="K38" i="1"/>
  <c r="K14" i="1"/>
  <c r="K160" i="1"/>
  <c r="K112" i="1"/>
  <c r="K40" i="1"/>
  <c r="K175" i="1"/>
  <c r="K119" i="1"/>
  <c r="K31" i="1"/>
  <c r="K173" i="1"/>
  <c r="K165" i="1"/>
  <c r="K133" i="1"/>
  <c r="K125" i="1"/>
  <c r="K109" i="1"/>
  <c r="K101" i="1"/>
  <c r="K93" i="1"/>
  <c r="K77" i="1"/>
  <c r="K37" i="1"/>
  <c r="K29" i="1"/>
  <c r="K13" i="1"/>
  <c r="K136" i="1"/>
  <c r="K96" i="1"/>
  <c r="K56" i="1"/>
  <c r="K16" i="1"/>
  <c r="K172" i="1"/>
  <c r="K132" i="1"/>
  <c r="K124" i="1"/>
  <c r="K108" i="1"/>
  <c r="K100" i="1"/>
  <c r="K92" i="1"/>
  <c r="K76" i="1"/>
  <c r="K68" i="1"/>
  <c r="K28" i="1"/>
  <c r="K104" i="1"/>
  <c r="K180" i="1"/>
  <c r="K164" i="1"/>
  <c r="K171" i="1"/>
  <c r="K131" i="1"/>
  <c r="K99" i="1"/>
  <c r="K91" i="1"/>
  <c r="K75" i="1"/>
  <c r="K67" i="1"/>
  <c r="K59" i="1"/>
  <c r="K51" i="1"/>
  <c r="K19" i="1"/>
  <c r="K152" i="1"/>
  <c r="K146" i="1"/>
  <c r="K98" i="1"/>
  <c r="K90" i="1"/>
  <c r="K82" i="1"/>
  <c r="K66" i="1"/>
  <c r="K58" i="1"/>
  <c r="K50" i="1"/>
  <c r="K10" i="1"/>
  <c r="K128" i="1"/>
  <c r="K88" i="1"/>
  <c r="K48" i="1"/>
  <c r="K177" i="1"/>
  <c r="K161" i="1"/>
  <c r="K153" i="1"/>
  <c r="K145" i="1"/>
  <c r="K89" i="1"/>
  <c r="K81" i="1"/>
  <c r="K57" i="1"/>
  <c r="K9" i="1"/>
  <c r="K152" i="2"/>
  <c r="K92" i="2"/>
  <c r="K56" i="2"/>
  <c r="K16" i="2"/>
  <c r="K80" i="2"/>
  <c r="K38" i="2"/>
  <c r="K68" i="2"/>
  <c r="K9" i="2"/>
  <c r="K128" i="2"/>
  <c r="K166" i="2"/>
  <c r="K170" i="2"/>
  <c r="K67" i="2"/>
  <c r="K109" i="2"/>
  <c r="K75" i="2"/>
  <c r="K127" i="2"/>
  <c r="K163" i="2"/>
  <c r="K120" i="2"/>
  <c r="K178" i="2"/>
  <c r="K55" i="2"/>
  <c r="K150" i="2"/>
  <c r="K14" i="2"/>
  <c r="K134" i="2"/>
  <c r="K88" i="2"/>
  <c r="K13" i="2"/>
  <c r="K112" i="2"/>
  <c r="K169" i="2"/>
  <c r="K66" i="2"/>
  <c r="K108" i="2"/>
  <c r="K159" i="2"/>
  <c r="K81" i="2"/>
  <c r="K39" i="2"/>
  <c r="K91" i="2"/>
  <c r="K172" i="2"/>
  <c r="K136" i="2"/>
  <c r="K37" i="2"/>
  <c r="K146" i="2"/>
  <c r="K133" i="2"/>
  <c r="K59" i="2"/>
  <c r="K101" i="2"/>
  <c r="K51" i="2"/>
  <c r="K48" i="2"/>
  <c r="K46" i="2"/>
  <c r="K158" i="2"/>
  <c r="K173" i="2"/>
  <c r="K31" i="2"/>
  <c r="K151" i="2"/>
  <c r="K4" i="2"/>
  <c r="K125" i="2"/>
  <c r="K77" i="2"/>
  <c r="K124" i="2"/>
  <c r="K19" i="2"/>
  <c r="K76" i="2"/>
  <c r="K118" i="2"/>
  <c r="K89" i="2"/>
  <c r="K145" i="2"/>
  <c r="K132" i="2"/>
  <c r="K94" i="2"/>
  <c r="K29" i="2"/>
  <c r="K104" i="2"/>
  <c r="K58" i="2"/>
  <c r="K175" i="2"/>
  <c r="K100" i="2"/>
  <c r="K86" i="2"/>
  <c r="K50" i="2"/>
  <c r="K98" i="2"/>
  <c r="K78" i="2"/>
  <c r="K162" i="2"/>
  <c r="K10" i="2"/>
  <c r="K119" i="2"/>
  <c r="K90" i="2"/>
  <c r="K171" i="2"/>
  <c r="K110" i="2"/>
  <c r="K153" i="2"/>
  <c r="K131" i="2"/>
  <c r="K93" i="2"/>
  <c r="K28" i="2"/>
  <c r="K96" i="2"/>
  <c r="K82" i="2"/>
  <c r="K57" i="2"/>
  <c r="K164" i="2"/>
  <c r="K99" i="2"/>
  <c r="K40" i="2"/>
  <c r="K32" i="2"/>
  <c r="J7" i="3"/>
  <c r="J184" i="3"/>
  <c r="J136" i="3"/>
  <c r="J40" i="3"/>
  <c r="J231" i="3"/>
  <c r="J183" i="3"/>
  <c r="J135" i="3"/>
  <c r="J39" i="3"/>
  <c r="J246" i="3"/>
  <c r="J238" i="3"/>
  <c r="J198" i="3"/>
  <c r="J190" i="3"/>
  <c r="J166" i="3"/>
  <c r="J142" i="3"/>
  <c r="J134" i="3"/>
  <c r="J126" i="3"/>
  <c r="J94" i="3"/>
  <c r="J70" i="3"/>
  <c r="J62" i="3"/>
  <c r="J54" i="3"/>
  <c r="J46" i="3"/>
  <c r="J38" i="3"/>
  <c r="J22" i="3"/>
  <c r="J14" i="3"/>
  <c r="J6" i="3"/>
  <c r="J168" i="3"/>
  <c r="J120" i="3"/>
  <c r="J56" i="3"/>
  <c r="J24" i="3"/>
  <c r="J255" i="3"/>
  <c r="J159" i="3"/>
  <c r="J55" i="3"/>
  <c r="J15" i="3"/>
  <c r="J262" i="3"/>
  <c r="J277" i="3"/>
  <c r="J261" i="3"/>
  <c r="J253" i="3"/>
  <c r="J245" i="3"/>
  <c r="J237" i="3"/>
  <c r="J229" i="3"/>
  <c r="J221" i="3"/>
  <c r="J197" i="3"/>
  <c r="J181" i="3"/>
  <c r="J173" i="3"/>
  <c r="J165" i="3"/>
  <c r="J157" i="3"/>
  <c r="J149" i="3"/>
  <c r="J141" i="3"/>
  <c r="J133" i="3"/>
  <c r="L296" i="3" s="1"/>
  <c r="J125" i="3"/>
  <c r="J101" i="3"/>
  <c r="J93" i="3"/>
  <c r="J85" i="3"/>
  <c r="J69" i="3"/>
  <c r="J53" i="3"/>
  <c r="J45" i="3"/>
  <c r="J29" i="3"/>
  <c r="J21" i="3"/>
  <c r="J13" i="3"/>
  <c r="J288" i="3"/>
  <c r="J240" i="3"/>
  <c r="J192" i="3"/>
  <c r="J48" i="3"/>
  <c r="J287" i="3"/>
  <c r="J239" i="3"/>
  <c r="J191" i="3"/>
  <c r="J143" i="3"/>
  <c r="J95" i="3"/>
  <c r="J286" i="3"/>
  <c r="J284" i="3"/>
  <c r="J268" i="3"/>
  <c r="J260" i="3"/>
  <c r="J236" i="3"/>
  <c r="J228" i="3"/>
  <c r="J212" i="3"/>
  <c r="J196" i="3"/>
  <c r="J180" i="3"/>
  <c r="J164" i="3"/>
  <c r="J148" i="3"/>
  <c r="J132" i="3"/>
  <c r="J124" i="3"/>
  <c r="J92" i="3"/>
  <c r="J84" i="3"/>
  <c r="J68" i="3"/>
  <c r="J52" i="3"/>
  <c r="J44" i="3"/>
  <c r="J28" i="3"/>
  <c r="J20" i="3"/>
  <c r="J12" i="3"/>
  <c r="J4" i="3"/>
  <c r="J256" i="3"/>
  <c r="J160" i="3"/>
  <c r="J64" i="3"/>
  <c r="J247" i="3"/>
  <c r="J151" i="3"/>
  <c r="J63" i="3"/>
  <c r="J23" i="3"/>
  <c r="J285" i="3"/>
  <c r="J283" i="3"/>
  <c r="J275" i="3"/>
  <c r="J259" i="3"/>
  <c r="J251" i="3"/>
  <c r="J243" i="3"/>
  <c r="J235" i="3"/>
  <c r="J227" i="3"/>
  <c r="J211" i="3"/>
  <c r="J203" i="3"/>
  <c r="J187" i="3"/>
  <c r="J179" i="3"/>
  <c r="J163" i="3"/>
  <c r="J155" i="3"/>
  <c r="J147" i="3"/>
  <c r="J139" i="3"/>
  <c r="J131" i="3"/>
  <c r="J123" i="3"/>
  <c r="J115" i="3"/>
  <c r="J107" i="3"/>
  <c r="J99" i="3"/>
  <c r="J75" i="3"/>
  <c r="J59" i="3"/>
  <c r="J51" i="3"/>
  <c r="J27" i="3"/>
  <c r="J19" i="3"/>
  <c r="J11" i="3"/>
  <c r="J280" i="3"/>
  <c r="J232" i="3"/>
  <c r="J152" i="3"/>
  <c r="J16" i="3"/>
  <c r="J263" i="3"/>
  <c r="J223" i="3"/>
  <c r="J127" i="3"/>
  <c r="J31" i="3"/>
  <c r="J294" i="3"/>
  <c r="L295" i="3" s="1"/>
  <c r="J291" i="3"/>
  <c r="J290" i="3"/>
  <c r="J282" i="3"/>
  <c r="J274" i="3"/>
  <c r="J266" i="3"/>
  <c r="J258" i="3"/>
  <c r="J234" i="3"/>
  <c r="J202" i="3"/>
  <c r="J194" i="3"/>
  <c r="J170" i="3"/>
  <c r="J154" i="3"/>
  <c r="J130" i="3"/>
  <c r="J114" i="3"/>
  <c r="J106" i="3"/>
  <c r="J90" i="3"/>
  <c r="J74" i="3"/>
  <c r="J66" i="3"/>
  <c r="J58" i="3"/>
  <c r="J50" i="3"/>
  <c r="J42" i="3"/>
  <c r="J26" i="3"/>
  <c r="J18" i="3"/>
  <c r="J10" i="3"/>
  <c r="J264" i="3"/>
  <c r="J224" i="3"/>
  <c r="J72" i="3"/>
  <c r="J32" i="3"/>
  <c r="J271" i="3"/>
  <c r="J71" i="3"/>
  <c r="J289" i="3"/>
  <c r="J281" i="3"/>
  <c r="J273" i="3"/>
  <c r="J265" i="3"/>
  <c r="J257" i="3"/>
  <c r="J241" i="3"/>
  <c r="J225" i="3"/>
  <c r="J193" i="3"/>
  <c r="J185" i="3"/>
  <c r="J161" i="3"/>
  <c r="J137" i="3"/>
  <c r="J121" i="3"/>
  <c r="J113" i="3"/>
  <c r="J89" i="3"/>
  <c r="J65" i="3"/>
  <c r="J17" i="3"/>
  <c r="J3" i="3"/>
  <c r="J142" i="2"/>
  <c r="M142" i="2" s="1" a="1"/>
  <c r="M142" i="2" s="1"/>
  <c r="J7" i="2"/>
  <c r="M7" i="2" s="1" a="1"/>
  <c r="M7" i="2" s="1"/>
  <c r="J87" i="2"/>
  <c r="J174" i="2"/>
  <c r="M174" i="2" s="1" a="1"/>
  <c r="M174" i="2" s="1"/>
  <c r="J52" i="2"/>
  <c r="M52" i="2" s="1" a="1"/>
  <c r="M52" i="2" s="1"/>
  <c r="J53" i="2"/>
  <c r="M53" i="2" s="1" a="1"/>
  <c r="M53" i="2" s="1"/>
  <c r="J95" i="2"/>
  <c r="M95" i="2" s="1" a="1"/>
  <c r="M95" i="2" s="1"/>
  <c r="J85" i="2"/>
  <c r="M85" i="2" s="1" a="1"/>
  <c r="M85" i="2" s="1"/>
  <c r="J49" i="2"/>
  <c r="M49" i="2" s="1" a="1"/>
  <c r="M49" i="2" s="1"/>
  <c r="J21" i="2"/>
  <c r="M21" i="2" s="1" a="1"/>
  <c r="M21" i="2" s="1"/>
  <c r="J156" i="2"/>
  <c r="M156" i="2" s="1" a="1"/>
  <c r="M156" i="2" s="1"/>
  <c r="J60" i="2"/>
  <c r="M60" i="2" s="1" a="1"/>
  <c r="M60" i="2" s="1"/>
  <c r="J105" i="2"/>
  <c r="M105" i="2" s="1" a="1"/>
  <c r="M105" i="2" s="1"/>
  <c r="J12" i="2"/>
  <c r="M12" i="2" s="1" a="1"/>
  <c r="M12" i="2" s="1"/>
  <c r="J137" i="2"/>
  <c r="M137" i="2" s="1" a="1"/>
  <c r="M137" i="2" s="1"/>
  <c r="J144" i="2"/>
  <c r="M144" i="2" s="1" a="1"/>
  <c r="M144" i="2" s="1"/>
  <c r="J43" i="2"/>
  <c r="M43" i="2" s="1" a="1"/>
  <c r="M43" i="2" s="1"/>
  <c r="J143" i="2"/>
  <c r="M143" i="2" s="1" a="1"/>
  <c r="M143" i="2" s="1"/>
  <c r="J130" i="2"/>
  <c r="M130" i="2" s="1" a="1"/>
  <c r="M130" i="2" s="1"/>
  <c r="J27" i="2"/>
  <c r="M27" i="2" s="1" a="1"/>
  <c r="M27" i="2" s="1"/>
  <c r="J113" i="2"/>
  <c r="M113" i="2" s="1" a="1"/>
  <c r="M113" i="2" s="1"/>
  <c r="J33" i="2"/>
  <c r="M33" i="2" s="1" a="1"/>
  <c r="M33" i="2" s="1"/>
  <c r="J34" i="2"/>
  <c r="M34" i="2" s="1" a="1"/>
  <c r="M34" i="2" s="1"/>
  <c r="J41" i="2"/>
  <c r="M41" i="2" s="1" a="1"/>
  <c r="M41" i="2" s="1"/>
  <c r="J6" i="2"/>
  <c r="M6" i="2" s="1" a="1"/>
  <c r="M6" i="2" s="1"/>
  <c r="J148" i="2"/>
  <c r="M148" i="2" s="1" a="1"/>
  <c r="M148" i="2" s="1"/>
  <c r="J22" i="2"/>
  <c r="M22" i="2" s="1" a="1"/>
  <c r="M22" i="2" s="1"/>
  <c r="J177" i="2"/>
  <c r="M177" i="2" s="1" a="1"/>
  <c r="M177" i="2" s="1"/>
  <c r="J3" i="2"/>
  <c r="J79" i="2"/>
  <c r="M79" i="2" s="1" a="1"/>
  <c r="M79" i="2" s="1"/>
  <c r="J17" i="2"/>
  <c r="M17" i="2" s="1" a="1"/>
  <c r="M17" i="2" s="1"/>
  <c r="J18" i="2"/>
  <c r="M18" i="2" s="1" a="1"/>
  <c r="M18" i="2" s="1"/>
  <c r="J135" i="2"/>
  <c r="M135" i="2" s="1" a="1"/>
  <c r="M135" i="2" s="1"/>
  <c r="J121" i="2"/>
  <c r="M121" i="2" s="1" a="1"/>
  <c r="M121" i="2" s="1"/>
  <c r="J140" i="2"/>
  <c r="M140" i="2" s="1" a="1"/>
  <c r="M140" i="2" s="1"/>
  <c r="J11" i="2"/>
  <c r="M11" i="2" s="1" a="1"/>
  <c r="M11" i="2" s="1"/>
  <c r="J70" i="2"/>
  <c r="M70" i="2" s="1" a="1"/>
  <c r="M70" i="2" s="1"/>
  <c r="J8" i="2"/>
  <c r="M8" i="2" s="1" a="1"/>
  <c r="M8" i="2" s="1"/>
  <c r="J36" i="2"/>
  <c r="M36" i="2" s="1" a="1"/>
  <c r="M36" i="2" s="1"/>
  <c r="J71" i="2"/>
  <c r="M71" i="2" s="1" a="1"/>
  <c r="M71" i="2" s="1"/>
  <c r="J116" i="2"/>
  <c r="M116" i="2" s="1" a="1"/>
  <c r="M116" i="2" s="1"/>
  <c r="J117" i="2"/>
  <c r="M117" i="2" s="1" a="1"/>
  <c r="M117" i="2" s="1"/>
  <c r="J23" i="2"/>
  <c r="M23" i="2" s="1" a="1"/>
  <c r="M23" i="2" s="1"/>
  <c r="J30" i="2"/>
  <c r="M30" i="2" s="1" a="1"/>
  <c r="M30" i="2" s="1"/>
  <c r="J139" i="2"/>
  <c r="M139" i="2" s="1" a="1"/>
  <c r="M139" i="2" s="1"/>
  <c r="J122" i="2"/>
  <c r="M122" i="2" s="1" a="1"/>
  <c r="M122" i="2" s="1"/>
  <c r="J54" i="2"/>
  <c r="M54" i="2" s="1" a="1"/>
  <c r="M54" i="2" s="1"/>
  <c r="J161" i="2"/>
  <c r="M161" i="2" s="1" a="1"/>
  <c r="M161" i="2" s="1"/>
  <c r="J20" i="2"/>
  <c r="M20" i="2" s="1" a="1"/>
  <c r="M20" i="2" s="1"/>
  <c r="J73" i="2"/>
  <c r="M73" i="2" s="1" a="1"/>
  <c r="M73" i="2" s="1"/>
  <c r="J123" i="2"/>
  <c r="M123" i="2" s="1" a="1"/>
  <c r="M123" i="2" s="1"/>
  <c r="J149" i="2"/>
  <c r="M149" i="2" s="1" a="1"/>
  <c r="M149" i="2" s="1"/>
  <c r="J72" i="2"/>
  <c r="M72" i="2" s="1" a="1"/>
  <c r="M72" i="2" s="1"/>
  <c r="J44" i="2"/>
  <c r="M44" i="2" s="1" a="1"/>
  <c r="M44" i="2" s="1"/>
  <c r="J160" i="2"/>
  <c r="M160" i="2" s="1" a="1"/>
  <c r="M160" i="2" s="1"/>
  <c r="J147" i="2"/>
  <c r="M147" i="2" s="1" a="1"/>
  <c r="M147" i="2" s="1"/>
  <c r="J165" i="2"/>
  <c r="M165" i="2" s="1" a="1"/>
  <c r="M165" i="2" s="1"/>
  <c r="J63" i="2"/>
  <c r="M63" i="2" s="1" a="1"/>
  <c r="M63" i="2" s="1"/>
  <c r="J24" i="2"/>
  <c r="M24" i="2" s="1" a="1"/>
  <c r="M24" i="2" s="1"/>
  <c r="J138" i="2"/>
  <c r="M138" i="2" s="1" a="1"/>
  <c r="M138" i="2" s="1"/>
  <c r="J5" i="2"/>
  <c r="M5" i="2" s="1" a="1"/>
  <c r="M5" i="2" s="1"/>
  <c r="J64" i="2"/>
  <c r="M64" i="2" s="1" a="1"/>
  <c r="M64" i="2" s="1"/>
  <c r="J74" i="2"/>
  <c r="M74" i="2" s="1" a="1"/>
  <c r="M74" i="2" s="1"/>
  <c r="J106" i="2"/>
  <c r="M106" i="2" s="1" a="1"/>
  <c r="M106" i="2" s="1"/>
  <c r="J26" i="2"/>
  <c r="M26" i="2" s="1" a="1"/>
  <c r="M26" i="2" s="1"/>
  <c r="J61" i="2"/>
  <c r="M61" i="2" s="1" a="1"/>
  <c r="M61" i="2" s="1"/>
  <c r="J126" i="2"/>
  <c r="M126" i="2" s="1" a="1"/>
  <c r="M126" i="2" s="1"/>
  <c r="J115" i="2"/>
  <c r="M115" i="2" s="1" a="1"/>
  <c r="M115" i="2" s="1"/>
  <c r="J15" i="2"/>
  <c r="M15" i="2" s="1" a="1"/>
  <c r="M15" i="2" s="1"/>
  <c r="J155" i="2"/>
  <c r="M155" i="2" s="1" a="1"/>
  <c r="M155" i="2" s="1"/>
  <c r="J42" i="2"/>
  <c r="M42" i="2" s="1" a="1"/>
  <c r="M42" i="2" s="1"/>
  <c r="J111" i="2"/>
  <c r="M111" i="2" s="1" a="1"/>
  <c r="M111" i="2" s="1"/>
  <c r="J176" i="2"/>
  <c r="M176" i="2" s="1" a="1"/>
  <c r="M176" i="2" s="1"/>
  <c r="J168" i="2"/>
  <c r="M168" i="2" s="1" a="1"/>
  <c r="M168" i="2" s="1"/>
  <c r="J65" i="2"/>
  <c r="M65" i="2" s="1" a="1"/>
  <c r="M65" i="2" s="1"/>
  <c r="J102" i="2"/>
  <c r="M102" i="2" s="1" a="1"/>
  <c r="M102" i="2" s="1"/>
  <c r="J35" i="2"/>
  <c r="M35" i="2" s="1" a="1"/>
  <c r="M35" i="2" s="1"/>
  <c r="J107" i="2"/>
  <c r="M107" i="2" s="1" a="1"/>
  <c r="M107" i="2" s="1"/>
  <c r="J103" i="2"/>
  <c r="M103" i="2" s="1" a="1"/>
  <c r="M103" i="2" s="1"/>
  <c r="J97" i="2"/>
  <c r="J114" i="2"/>
  <c r="M114" i="2" s="1" a="1"/>
  <c r="M114" i="2" s="1"/>
  <c r="J141" i="2"/>
  <c r="M141" i="2" s="1" a="1"/>
  <c r="M141" i="2" s="1"/>
  <c r="J154" i="2"/>
  <c r="M154" i="2" s="1" a="1"/>
  <c r="M154" i="2" s="1"/>
  <c r="J129" i="2"/>
  <c r="M129" i="2" s="1" a="1"/>
  <c r="M129" i="2" s="1"/>
  <c r="J167" i="2"/>
  <c r="M167" i="2" s="1" a="1"/>
  <c r="M167" i="2" s="1"/>
  <c r="J62" i="2"/>
  <c r="M62" i="2" s="1" a="1"/>
  <c r="M62" i="2" s="1"/>
  <c r="J83" i="2"/>
  <c r="M83" i="2" s="1" a="1"/>
  <c r="M83" i="2" s="1"/>
  <c r="J25" i="2"/>
  <c r="M25" i="2" s="1" a="1"/>
  <c r="M25" i="2" s="1"/>
  <c r="J69" i="2"/>
  <c r="M69" i="2" s="1" a="1"/>
  <c r="M69" i="2" s="1"/>
  <c r="J47" i="2"/>
  <c r="M47" i="2" s="1" a="1"/>
  <c r="M47" i="2" s="1"/>
  <c r="J45" i="2"/>
  <c r="M45" i="2" s="1" a="1"/>
  <c r="M45" i="2" s="1"/>
  <c r="J157" i="2"/>
  <c r="M157" i="2" s="1" a="1"/>
  <c r="M157" i="2" s="1"/>
  <c r="J84" i="2"/>
  <c r="M84" i="2" s="1" a="1"/>
  <c r="M84" i="2" s="1"/>
  <c r="J167" i="1"/>
  <c r="J135" i="1"/>
  <c r="J87" i="1"/>
  <c r="J63" i="1"/>
  <c r="J15" i="1"/>
  <c r="J157" i="1"/>
  <c r="J61" i="1"/>
  <c r="J45" i="1"/>
  <c r="J5" i="1"/>
  <c r="J159" i="1"/>
  <c r="L159" i="1" s="1"/>
  <c r="J23" i="1"/>
  <c r="J54" i="1"/>
  <c r="J6" i="1"/>
  <c r="J117" i="1"/>
  <c r="J85" i="1"/>
  <c r="J69" i="1"/>
  <c r="J53" i="1"/>
  <c r="J21" i="1"/>
  <c r="J156" i="1"/>
  <c r="J148" i="1"/>
  <c r="J140" i="1"/>
  <c r="J116" i="1"/>
  <c r="J84" i="1"/>
  <c r="J60" i="1"/>
  <c r="J52" i="1"/>
  <c r="J44" i="1"/>
  <c r="J36" i="1"/>
  <c r="J20" i="1"/>
  <c r="J12" i="1"/>
  <c r="J143" i="1"/>
  <c r="J95" i="1"/>
  <c r="J71" i="1"/>
  <c r="J126" i="1"/>
  <c r="J102" i="1"/>
  <c r="J22" i="1"/>
  <c r="L22" i="1" s="1"/>
  <c r="J141" i="1"/>
  <c r="J179" i="1"/>
  <c r="J155" i="1"/>
  <c r="J107" i="1"/>
  <c r="J83" i="1"/>
  <c r="J35" i="1"/>
  <c r="J11" i="1"/>
  <c r="J178" i="1"/>
  <c r="J170" i="1"/>
  <c r="J162" i="1"/>
  <c r="J154" i="1"/>
  <c r="J138" i="1"/>
  <c r="J130" i="1"/>
  <c r="J122" i="1"/>
  <c r="J114" i="1"/>
  <c r="J106" i="1"/>
  <c r="J74" i="1"/>
  <c r="J42" i="1"/>
  <c r="J34" i="1"/>
  <c r="J26" i="1"/>
  <c r="J18" i="1"/>
  <c r="J111" i="1"/>
  <c r="J79" i="1"/>
  <c r="L79" i="1" s="1"/>
  <c r="J142" i="1"/>
  <c r="J62" i="1"/>
  <c r="J163" i="1"/>
  <c r="J139" i="1"/>
  <c r="J123" i="1"/>
  <c r="J27" i="1"/>
  <c r="J169" i="1"/>
  <c r="J137" i="1"/>
  <c r="J129" i="1"/>
  <c r="J121" i="1"/>
  <c r="J113" i="1"/>
  <c r="J105" i="1"/>
  <c r="J97" i="1"/>
  <c r="J73" i="1"/>
  <c r="J65" i="1"/>
  <c r="J49" i="1"/>
  <c r="J41" i="1"/>
  <c r="J33" i="1"/>
  <c r="J25" i="1"/>
  <c r="J17" i="1"/>
  <c r="J103" i="1"/>
  <c r="J47" i="1"/>
  <c r="J7" i="1"/>
  <c r="J158" i="1"/>
  <c r="J70" i="1"/>
  <c r="J30" i="1"/>
  <c r="J149" i="1"/>
  <c r="L149" i="1" s="1"/>
  <c r="J147" i="1"/>
  <c r="J115" i="1"/>
  <c r="J43" i="1"/>
  <c r="J176" i="1"/>
  <c r="J144" i="1"/>
  <c r="J72" i="1"/>
  <c r="J64" i="1"/>
  <c r="J24" i="1"/>
  <c r="J8" i="1"/>
  <c r="J4" i="1"/>
  <c r="B4" i="12"/>
  <c r="M184" i="2" l="1" a="1"/>
  <c r="M184" i="2" s="1"/>
  <c r="L4" i="1"/>
  <c r="M271" i="3" a="1"/>
  <c r="M271" i="3" s="1"/>
  <c r="M29" i="3" a="1"/>
  <c r="M29" i="3" s="1"/>
  <c r="M133" i="3" a="1"/>
  <c r="M133" i="3" s="1"/>
  <c r="L253" i="3"/>
  <c r="M253" i="3" a="1"/>
  <c r="M253" i="3" s="1"/>
  <c r="L15" i="3"/>
  <c r="M15" i="3" a="1"/>
  <c r="M15" i="3" s="1"/>
  <c r="L6" i="3"/>
  <c r="M6" i="3" a="1"/>
  <c r="M6" i="3" s="1"/>
  <c r="L46" i="3"/>
  <c r="M46" i="3" a="1"/>
  <c r="M46" i="3" s="1"/>
  <c r="L166" i="3"/>
  <c r="M166" i="3" a="1"/>
  <c r="M166" i="3" s="1"/>
  <c r="L7" i="3"/>
  <c r="M7" i="3" a="1"/>
  <c r="M7" i="3" s="1"/>
  <c r="L89" i="3"/>
  <c r="M89" i="3" a="1"/>
  <c r="M89" i="3" s="1"/>
  <c r="L161" i="3"/>
  <c r="M161" i="3" a="1"/>
  <c r="M161" i="3" s="1"/>
  <c r="L241" i="3"/>
  <c r="M241" i="3" a="1"/>
  <c r="M241" i="3" s="1"/>
  <c r="L281" i="3"/>
  <c r="M281" i="3" a="1"/>
  <c r="M281" i="3" s="1"/>
  <c r="L32" i="3"/>
  <c r="M32" i="3" a="1"/>
  <c r="M32" i="3" s="1"/>
  <c r="L10" i="3"/>
  <c r="M10" i="3" a="1"/>
  <c r="M10" i="3" s="1"/>
  <c r="L50" i="3"/>
  <c r="M50" i="3" a="1"/>
  <c r="M50" i="3" s="1"/>
  <c r="L90" i="3"/>
  <c r="M90" i="3" a="1"/>
  <c r="M90" i="3" s="1"/>
  <c r="L154" i="3"/>
  <c r="M154" i="3" a="1"/>
  <c r="M154" i="3" s="1"/>
  <c r="L234" i="3"/>
  <c r="M234" i="3" a="1"/>
  <c r="M234" i="3" s="1"/>
  <c r="L282" i="3"/>
  <c r="M282" i="3" a="1"/>
  <c r="M282" i="3" s="1"/>
  <c r="L31" i="3"/>
  <c r="M31" i="3" a="1"/>
  <c r="M31" i="3" s="1"/>
  <c r="L16" i="3"/>
  <c r="M16" i="3" a="1"/>
  <c r="M16" i="3" s="1"/>
  <c r="L11" i="3"/>
  <c r="M11" i="3" a="1"/>
  <c r="M11" i="3" s="1"/>
  <c r="L59" i="3"/>
  <c r="M59" i="3" a="1"/>
  <c r="M59" i="3" s="1"/>
  <c r="L115" i="3"/>
  <c r="M115" i="3" a="1"/>
  <c r="M115" i="3" s="1"/>
  <c r="L147" i="3"/>
  <c r="M147" i="3" a="1"/>
  <c r="M147" i="3" s="1"/>
  <c r="L187" i="3"/>
  <c r="M187" i="3" a="1"/>
  <c r="M187" i="3" s="1"/>
  <c r="L235" i="3"/>
  <c r="M235" i="3" a="1"/>
  <c r="M235" i="3" s="1"/>
  <c r="L275" i="3"/>
  <c r="M275" i="3" a="1"/>
  <c r="M275" i="3" s="1"/>
  <c r="L63" i="3"/>
  <c r="M63" i="3" a="1"/>
  <c r="M63" i="3" s="1"/>
  <c r="L160" i="3"/>
  <c r="M160" i="3" a="1"/>
  <c r="M160" i="3" s="1"/>
  <c r="L20" i="3"/>
  <c r="M20" i="3" a="1"/>
  <c r="M20" i="3" s="1"/>
  <c r="L68" i="3"/>
  <c r="M68" i="3" a="1"/>
  <c r="M68" i="3" s="1"/>
  <c r="L132" i="3"/>
  <c r="M132" i="3" a="1"/>
  <c r="M132" i="3" s="1"/>
  <c r="L196" i="3"/>
  <c r="M196" i="3" a="1"/>
  <c r="M196" i="3" s="1"/>
  <c r="L260" i="3"/>
  <c r="M260" i="3" a="1"/>
  <c r="M260" i="3" s="1"/>
  <c r="L95" i="3"/>
  <c r="M95" i="3" a="1"/>
  <c r="M95" i="3" s="1"/>
  <c r="L287" i="3"/>
  <c r="M287" i="3" a="1"/>
  <c r="M287" i="3" s="1"/>
  <c r="L288" i="3"/>
  <c r="M288" i="3" a="1"/>
  <c r="M288" i="3" s="1"/>
  <c r="L45" i="3"/>
  <c r="M45" i="3" a="1"/>
  <c r="M45" i="3" s="1"/>
  <c r="L93" i="3"/>
  <c r="M93" i="3" a="1"/>
  <c r="M93" i="3" s="1"/>
  <c r="L141" i="3"/>
  <c r="M141" i="3" a="1"/>
  <c r="M141" i="3" s="1"/>
  <c r="L173" i="3"/>
  <c r="M173" i="3" a="1"/>
  <c r="M173" i="3" s="1"/>
  <c r="L229" i="3"/>
  <c r="M229" i="3" a="1"/>
  <c r="M229" i="3" s="1"/>
  <c r="L261" i="3"/>
  <c r="M261" i="3" a="1"/>
  <c r="M261" i="3" s="1"/>
  <c r="L55" i="3"/>
  <c r="M55" i="3" a="1"/>
  <c r="M55" i="3" s="1"/>
  <c r="L56" i="3"/>
  <c r="M56" i="3" a="1"/>
  <c r="M56" i="3" s="1"/>
  <c r="L14" i="3"/>
  <c r="M14" i="3" a="1"/>
  <c r="M14" i="3" s="1"/>
  <c r="L54" i="3"/>
  <c r="M54" i="3" a="1"/>
  <c r="M54" i="3" s="1"/>
  <c r="L126" i="3"/>
  <c r="M126" i="3" a="1"/>
  <c r="M126" i="3" s="1"/>
  <c r="L190" i="3"/>
  <c r="M190" i="3" a="1"/>
  <c r="M190" i="3" s="1"/>
  <c r="L39" i="3"/>
  <c r="M39" i="3" a="1"/>
  <c r="M39" i="3" s="1"/>
  <c r="L40" i="3"/>
  <c r="M40" i="3" a="1"/>
  <c r="M40" i="3" s="1"/>
  <c r="L264" i="3"/>
  <c r="M264" i="3" a="1"/>
  <c r="M264" i="3" s="1"/>
  <c r="L42" i="3"/>
  <c r="M42" i="3" a="1"/>
  <c r="M42" i="3" s="1"/>
  <c r="L74" i="3"/>
  <c r="M74" i="3" a="1"/>
  <c r="M74" i="3" s="1"/>
  <c r="L130" i="3"/>
  <c r="M130" i="3" a="1"/>
  <c r="M130" i="3" s="1"/>
  <c r="L202" i="3"/>
  <c r="M202" i="3" a="1"/>
  <c r="M202" i="3" s="1"/>
  <c r="L274" i="3"/>
  <c r="M274" i="3" a="1"/>
  <c r="M274" i="3" s="1"/>
  <c r="M294" i="3" a="1"/>
  <c r="M294" i="3" s="1"/>
  <c r="L263" i="3"/>
  <c r="M263" i="3" a="1"/>
  <c r="M263" i="3" s="1"/>
  <c r="L280" i="3"/>
  <c r="M280" i="3" a="1"/>
  <c r="M280" i="3" s="1"/>
  <c r="L51" i="3"/>
  <c r="M51" i="3" a="1"/>
  <c r="M51" i="3" s="1"/>
  <c r="L107" i="3"/>
  <c r="M107" i="3" a="1"/>
  <c r="M107" i="3" s="1"/>
  <c r="L139" i="3"/>
  <c r="M139" i="3" a="1"/>
  <c r="M139" i="3" s="1"/>
  <c r="L179" i="3"/>
  <c r="M179" i="3" a="1"/>
  <c r="M179" i="3" s="1"/>
  <c r="L227" i="3"/>
  <c r="M227" i="3" a="1"/>
  <c r="M227" i="3" s="1"/>
  <c r="L259" i="3"/>
  <c r="M259" i="3" a="1"/>
  <c r="M259" i="3" s="1"/>
  <c r="L23" i="3"/>
  <c r="M23" i="3" a="1"/>
  <c r="M23" i="3" s="1"/>
  <c r="L64" i="3"/>
  <c r="M64" i="3" a="1"/>
  <c r="M64" i="3" s="1"/>
  <c r="L12" i="3"/>
  <c r="M12" i="3" a="1"/>
  <c r="M12" i="3" s="1"/>
  <c r="L52" i="3"/>
  <c r="M52" i="3" a="1"/>
  <c r="M52" i="3" s="1"/>
  <c r="L124" i="3"/>
  <c r="M124" i="3" a="1"/>
  <c r="M124" i="3" s="1"/>
  <c r="L180" i="3"/>
  <c r="M180" i="3" a="1"/>
  <c r="M180" i="3" s="1"/>
  <c r="L236" i="3"/>
  <c r="M236" i="3" a="1"/>
  <c r="M236" i="3" s="1"/>
  <c r="L286" i="3"/>
  <c r="M286" i="3" a="1"/>
  <c r="M286" i="3" s="1"/>
  <c r="L239" i="3"/>
  <c r="M239" i="3" a="1"/>
  <c r="M239" i="3" s="1"/>
  <c r="L240" i="3"/>
  <c r="M240" i="3" a="1"/>
  <c r="M240" i="3" s="1"/>
  <c r="L85" i="3"/>
  <c r="M85" i="3" a="1"/>
  <c r="M85" i="3" s="1"/>
  <c r="L221" i="3"/>
  <c r="M221" i="3" a="1"/>
  <c r="M221" i="3" s="1"/>
  <c r="L24" i="3"/>
  <c r="M24" i="3" a="1"/>
  <c r="M24" i="3" s="1"/>
  <c r="L94" i="3"/>
  <c r="M94" i="3" a="1"/>
  <c r="M94" i="3" s="1"/>
  <c r="L231" i="3"/>
  <c r="M231" i="3" a="1"/>
  <c r="M231" i="3" s="1"/>
  <c r="L165" i="3"/>
  <c r="M165" i="3" a="1"/>
  <c r="M165" i="3" s="1"/>
  <c r="L246" i="3"/>
  <c r="M246" i="3" a="1"/>
  <c r="M246" i="3" s="1"/>
  <c r="L3" i="3"/>
  <c r="M3" i="3" a="1"/>
  <c r="M3" i="3" s="1"/>
  <c r="M298" i="3" a="1"/>
  <c r="M298" i="3" s="1"/>
  <c r="M296" i="3" a="1"/>
  <c r="M296" i="3" s="1"/>
  <c r="M297" i="3" a="1"/>
  <c r="M297" i="3" s="1"/>
  <c r="M272" i="3" a="1"/>
  <c r="M272" i="3" s="1"/>
  <c r="M248" i="3" a="1"/>
  <c r="M248" i="3" s="1"/>
  <c r="M249" i="3" a="1"/>
  <c r="M249" i="3" s="1"/>
  <c r="M30" i="3" a="1"/>
  <c r="M30" i="3" s="1"/>
  <c r="M295" i="3" a="1"/>
  <c r="M295" i="3" s="1"/>
  <c r="M244" i="3" a="1"/>
  <c r="M244" i="3" s="1"/>
  <c r="M250" i="3" a="1"/>
  <c r="M250" i="3" s="1"/>
  <c r="L113" i="3"/>
  <c r="M113" i="3" a="1"/>
  <c r="M113" i="3" s="1"/>
  <c r="L185" i="3"/>
  <c r="M185" i="3" a="1"/>
  <c r="M185" i="3" s="1"/>
  <c r="L257" i="3"/>
  <c r="M257" i="3" a="1"/>
  <c r="M257" i="3" s="1"/>
  <c r="L289" i="3"/>
  <c r="M289" i="3" a="1"/>
  <c r="M289" i="3" s="1"/>
  <c r="L72" i="3"/>
  <c r="M72" i="3" a="1"/>
  <c r="M72" i="3" s="1"/>
  <c r="L18" i="3"/>
  <c r="M18" i="3" a="1"/>
  <c r="M18" i="3" s="1"/>
  <c r="L58" i="3"/>
  <c r="M58" i="3" a="1"/>
  <c r="M58" i="3" s="1"/>
  <c r="L106" i="3"/>
  <c r="M106" i="3" a="1"/>
  <c r="M106" i="3" s="1"/>
  <c r="L170" i="3"/>
  <c r="M170" i="3" a="1"/>
  <c r="M170" i="3" s="1"/>
  <c r="L258" i="3"/>
  <c r="M258" i="3" a="1"/>
  <c r="M258" i="3" s="1"/>
  <c r="L290" i="3"/>
  <c r="M290" i="3" a="1"/>
  <c r="M290" i="3" s="1"/>
  <c r="L127" i="3"/>
  <c r="M127" i="3" a="1"/>
  <c r="M127" i="3" s="1"/>
  <c r="L152" i="3"/>
  <c r="M152" i="3" a="1"/>
  <c r="M152" i="3" s="1"/>
  <c r="L19" i="3"/>
  <c r="M19" i="3" a="1"/>
  <c r="M19" i="3" s="1"/>
  <c r="L75" i="3"/>
  <c r="M75" i="3" a="1"/>
  <c r="M75" i="3" s="1"/>
  <c r="L123" i="3"/>
  <c r="M123" i="3" a="1"/>
  <c r="M123" i="3" s="1"/>
  <c r="L155" i="3"/>
  <c r="M155" i="3" a="1"/>
  <c r="M155" i="3" s="1"/>
  <c r="L203" i="3"/>
  <c r="M203" i="3" a="1"/>
  <c r="M203" i="3" s="1"/>
  <c r="L283" i="3"/>
  <c r="M283" i="3" a="1"/>
  <c r="M283" i="3" s="1"/>
  <c r="L256" i="3"/>
  <c r="M256" i="3" a="1"/>
  <c r="M256" i="3" s="1"/>
  <c r="L84" i="3"/>
  <c r="M84" i="3" a="1"/>
  <c r="M84" i="3" s="1"/>
  <c r="L212" i="3"/>
  <c r="M212" i="3" a="1"/>
  <c r="M212" i="3" s="1"/>
  <c r="L48" i="3"/>
  <c r="M48" i="3" a="1"/>
  <c r="M48" i="3" s="1"/>
  <c r="L101" i="3"/>
  <c r="M101" i="3" a="1"/>
  <c r="M101" i="3" s="1"/>
  <c r="L181" i="3"/>
  <c r="M181" i="3" a="1"/>
  <c r="M181" i="3" s="1"/>
  <c r="L277" i="3"/>
  <c r="M277" i="3" a="1"/>
  <c r="M277" i="3" s="1"/>
  <c r="L120" i="3"/>
  <c r="M120" i="3" a="1"/>
  <c r="M120" i="3" s="1"/>
  <c r="L62" i="3"/>
  <c r="M62" i="3" a="1"/>
  <c r="M62" i="3" s="1"/>
  <c r="L135" i="3"/>
  <c r="M135" i="3" a="1"/>
  <c r="M135" i="3" s="1"/>
  <c r="M243" i="3" a="1"/>
  <c r="M243" i="3" s="1"/>
  <c r="L151" i="3"/>
  <c r="M151" i="3" a="1"/>
  <c r="M151" i="3" s="1"/>
  <c r="L28" i="3"/>
  <c r="M28" i="3" a="1"/>
  <c r="M28" i="3" s="1"/>
  <c r="L148" i="3"/>
  <c r="M148" i="3" a="1"/>
  <c r="M148" i="3" s="1"/>
  <c r="L268" i="3"/>
  <c r="M268" i="3" a="1"/>
  <c r="M268" i="3" s="1"/>
  <c r="L143" i="3"/>
  <c r="M143" i="3" a="1"/>
  <c r="M143" i="3" s="1"/>
  <c r="L13" i="3"/>
  <c r="M13" i="3" a="1"/>
  <c r="M13" i="3" s="1"/>
  <c r="L53" i="3"/>
  <c r="M53" i="3" a="1"/>
  <c r="M53" i="3" s="1"/>
  <c r="L149" i="3"/>
  <c r="M149" i="3" a="1"/>
  <c r="M149" i="3" s="1"/>
  <c r="L237" i="3"/>
  <c r="M237" i="3" a="1"/>
  <c r="M237" i="3" s="1"/>
  <c r="L159" i="3"/>
  <c r="M159" i="3" a="1"/>
  <c r="M159" i="3" s="1"/>
  <c r="L22" i="3"/>
  <c r="M22" i="3" a="1"/>
  <c r="M22" i="3" s="1"/>
  <c r="L134" i="3"/>
  <c r="M134" i="3" a="1"/>
  <c r="M134" i="3" s="1"/>
  <c r="L198" i="3"/>
  <c r="M198" i="3" a="1"/>
  <c r="M198" i="3" s="1"/>
  <c r="L136" i="3"/>
  <c r="M136" i="3" a="1"/>
  <c r="M136" i="3" s="1"/>
  <c r="L17" i="3"/>
  <c r="M17" i="3" a="1"/>
  <c r="M17" i="3" s="1"/>
  <c r="L121" i="3"/>
  <c r="M121" i="3" a="1"/>
  <c r="M121" i="3" s="1"/>
  <c r="L193" i="3"/>
  <c r="M193" i="3" a="1"/>
  <c r="M193" i="3" s="1"/>
  <c r="L265" i="3"/>
  <c r="M265" i="3" a="1"/>
  <c r="M265" i="3" s="1"/>
  <c r="L71" i="3"/>
  <c r="M71" i="3" a="1"/>
  <c r="M71" i="3" s="1"/>
  <c r="L224" i="3"/>
  <c r="M224" i="3" a="1"/>
  <c r="M224" i="3" s="1"/>
  <c r="L26" i="3"/>
  <c r="M26" i="3" a="1"/>
  <c r="M26" i="3" s="1"/>
  <c r="L66" i="3"/>
  <c r="M66" i="3" a="1"/>
  <c r="M66" i="3" s="1"/>
  <c r="L114" i="3"/>
  <c r="M114" i="3" a="1"/>
  <c r="M114" i="3" s="1"/>
  <c r="L194" i="3"/>
  <c r="M194" i="3" a="1"/>
  <c r="M194" i="3" s="1"/>
  <c r="L266" i="3"/>
  <c r="M266" i="3" a="1"/>
  <c r="M266" i="3" s="1"/>
  <c r="L291" i="3"/>
  <c r="M291" i="3" a="1"/>
  <c r="M291" i="3" s="1"/>
  <c r="L223" i="3"/>
  <c r="M223" i="3" a="1"/>
  <c r="M223" i="3" s="1"/>
  <c r="L232" i="3"/>
  <c r="M232" i="3" a="1"/>
  <c r="M232" i="3" s="1"/>
  <c r="L27" i="3"/>
  <c r="M27" i="3" a="1"/>
  <c r="M27" i="3" s="1"/>
  <c r="L99" i="3"/>
  <c r="M99" i="3" a="1"/>
  <c r="M99" i="3" s="1"/>
  <c r="L131" i="3"/>
  <c r="M131" i="3" a="1"/>
  <c r="M131" i="3" s="1"/>
  <c r="L163" i="3"/>
  <c r="M163" i="3" a="1"/>
  <c r="M163" i="3" s="1"/>
  <c r="L211" i="3"/>
  <c r="M211" i="3" a="1"/>
  <c r="M211" i="3" s="1"/>
  <c r="L251" i="3"/>
  <c r="M251" i="3" a="1"/>
  <c r="M251" i="3" s="1"/>
  <c r="L285" i="3"/>
  <c r="M285" i="3" a="1"/>
  <c r="M285" i="3" s="1"/>
  <c r="L250" i="3"/>
  <c r="M247" i="3" a="1"/>
  <c r="M247" i="3" s="1"/>
  <c r="L4" i="3"/>
  <c r="M4" i="3" a="1"/>
  <c r="M4" i="3" s="1"/>
  <c r="L44" i="3"/>
  <c r="M44" i="3" a="1"/>
  <c r="M44" i="3" s="1"/>
  <c r="L92" i="3"/>
  <c r="M92" i="3" a="1"/>
  <c r="M92" i="3" s="1"/>
  <c r="L164" i="3"/>
  <c r="M164" i="3" a="1"/>
  <c r="M164" i="3" s="1"/>
  <c r="L228" i="3"/>
  <c r="M228" i="3" a="1"/>
  <c r="M228" i="3" s="1"/>
  <c r="L284" i="3"/>
  <c r="M284" i="3" a="1"/>
  <c r="M284" i="3" s="1"/>
  <c r="L191" i="3"/>
  <c r="M191" i="3" a="1"/>
  <c r="M191" i="3" s="1"/>
  <c r="L192" i="3"/>
  <c r="M192" i="3" a="1"/>
  <c r="M192" i="3" s="1"/>
  <c r="L21" i="3"/>
  <c r="M21" i="3" a="1"/>
  <c r="M21" i="3" s="1"/>
  <c r="L69" i="3"/>
  <c r="M69" i="3" a="1"/>
  <c r="M69" i="3" s="1"/>
  <c r="L125" i="3"/>
  <c r="M125" i="3" a="1"/>
  <c r="M125" i="3" s="1"/>
  <c r="L157" i="3"/>
  <c r="M157" i="3" a="1"/>
  <c r="M157" i="3" s="1"/>
  <c r="L197" i="3"/>
  <c r="M197" i="3" a="1"/>
  <c r="M197" i="3" s="1"/>
  <c r="L245" i="3"/>
  <c r="M245" i="3" a="1"/>
  <c r="M245" i="3" s="1"/>
  <c r="L262" i="3"/>
  <c r="M262" i="3" a="1"/>
  <c r="M262" i="3" s="1"/>
  <c r="L255" i="3"/>
  <c r="M255" i="3" a="1"/>
  <c r="M255" i="3" s="1"/>
  <c r="L168" i="3"/>
  <c r="M168" i="3" a="1"/>
  <c r="M168" i="3" s="1"/>
  <c r="L38" i="3"/>
  <c r="M38" i="3" a="1"/>
  <c r="M38" i="3" s="1"/>
  <c r="L70" i="3"/>
  <c r="M70" i="3" a="1"/>
  <c r="M70" i="3" s="1"/>
  <c r="L142" i="3"/>
  <c r="M142" i="3" a="1"/>
  <c r="M142" i="3" s="1"/>
  <c r="L238" i="3"/>
  <c r="M238" i="3" a="1"/>
  <c r="M238" i="3" s="1"/>
  <c r="L183" i="3"/>
  <c r="M183" i="3" a="1"/>
  <c r="M183" i="3" s="1"/>
  <c r="L184" i="3"/>
  <c r="M184" i="3" a="1"/>
  <c r="M184" i="3" s="1"/>
  <c r="L65" i="3"/>
  <c r="M65" i="3" a="1"/>
  <c r="M65" i="3" s="1"/>
  <c r="L137" i="3"/>
  <c r="M137" i="3" a="1"/>
  <c r="M137" i="3" s="1"/>
  <c r="L225" i="3"/>
  <c r="M225" i="3" a="1"/>
  <c r="M225" i="3" s="1"/>
  <c r="L273" i="3"/>
  <c r="M273" i="3" a="1"/>
  <c r="M273" i="3" s="1"/>
  <c r="M97" i="2" a="1"/>
  <c r="M97" i="2" s="1"/>
  <c r="M94" i="2" a="1"/>
  <c r="M94" i="2" s="1"/>
  <c r="M100" i="2" a="1"/>
  <c r="M100" i="2" s="1"/>
  <c r="M3" i="2" a="1"/>
  <c r="M3" i="2" s="1"/>
  <c r="M182" i="2" a="1"/>
  <c r="M182" i="2" s="1"/>
  <c r="M183" i="2" a="1"/>
  <c r="M183" i="2" s="1"/>
  <c r="M179" i="2" a="1"/>
  <c r="M179" i="2" s="1"/>
  <c r="M180" i="2" a="1"/>
  <c r="M180" i="2" s="1"/>
  <c r="M181" i="2" a="1"/>
  <c r="M181" i="2" s="1"/>
  <c r="M98" i="2" a="1"/>
  <c r="M98" i="2" s="1"/>
  <c r="M88" i="2" a="1"/>
  <c r="M88" i="2" s="1"/>
  <c r="M89" i="2" a="1"/>
  <c r="M89" i="2" s="1"/>
  <c r="M87" i="2" a="1"/>
  <c r="M87" i="2" s="1"/>
  <c r="M99" i="2" a="1"/>
  <c r="M99" i="2" s="1"/>
  <c r="M92" i="2" a="1"/>
  <c r="M92" i="2" s="1"/>
  <c r="M93" i="2" a="1"/>
  <c r="M93" i="2" s="1"/>
  <c r="M90" i="2" a="1"/>
  <c r="M90" i="2" s="1"/>
  <c r="M101" i="2" a="1"/>
  <c r="M101" i="2" s="1"/>
  <c r="M91" i="2" a="1"/>
  <c r="M91" i="2" s="1"/>
  <c r="L94" i="2"/>
  <c r="L101" i="2"/>
  <c r="L3" i="2"/>
  <c r="L99" i="2"/>
  <c r="L100" i="2"/>
  <c r="L23" i="2"/>
  <c r="L93" i="2"/>
  <c r="L74" i="2"/>
  <c r="L54" i="2"/>
  <c r="L34" i="2"/>
  <c r="L107" i="2"/>
  <c r="L64" i="2"/>
  <c r="L122" i="2"/>
  <c r="L79" i="2"/>
  <c r="L33" i="2"/>
  <c r="L53" i="2"/>
  <c r="L84" i="2"/>
  <c r="L167" i="2"/>
  <c r="L35" i="2"/>
  <c r="L15" i="2"/>
  <c r="L5" i="2"/>
  <c r="L72" i="2"/>
  <c r="L139" i="2"/>
  <c r="L70" i="2"/>
  <c r="L113" i="2"/>
  <c r="L105" i="2"/>
  <c r="L52" i="2"/>
  <c r="L157" i="2"/>
  <c r="L129" i="2"/>
  <c r="L102" i="2"/>
  <c r="L115" i="2"/>
  <c r="L138" i="2"/>
  <c r="L149" i="2"/>
  <c r="L30" i="2"/>
  <c r="L11" i="2"/>
  <c r="L177" i="2"/>
  <c r="L27" i="2"/>
  <c r="L60" i="2"/>
  <c r="L174" i="2"/>
  <c r="L87" i="2"/>
  <c r="L141" i="2"/>
  <c r="L61" i="2"/>
  <c r="L73" i="2"/>
  <c r="L7" i="2"/>
  <c r="L114" i="2"/>
  <c r="L26" i="2"/>
  <c r="L20" i="2"/>
  <c r="L116" i="2"/>
  <c r="L6" i="2"/>
  <c r="L49" i="2"/>
  <c r="L65" i="2"/>
  <c r="L24" i="2"/>
  <c r="L130" i="2"/>
  <c r="L47" i="2"/>
  <c r="L168" i="2"/>
  <c r="L63" i="2"/>
  <c r="L117" i="2"/>
  <c r="L121" i="2"/>
  <c r="L148" i="2"/>
  <c r="L143" i="2"/>
  <c r="L21" i="2"/>
  <c r="L69" i="2"/>
  <c r="L176" i="2"/>
  <c r="L165" i="2"/>
  <c r="L135" i="2"/>
  <c r="L43" i="2"/>
  <c r="L142" i="2"/>
  <c r="L25" i="2"/>
  <c r="L97" i="2"/>
  <c r="L111" i="2"/>
  <c r="L106" i="2"/>
  <c r="L147" i="2"/>
  <c r="L161" i="2"/>
  <c r="L71" i="2"/>
  <c r="L18" i="2"/>
  <c r="L41" i="2"/>
  <c r="L144" i="2"/>
  <c r="L85" i="2"/>
  <c r="L98" i="2"/>
  <c r="L90" i="2"/>
  <c r="L92" i="2"/>
  <c r="L154" i="2"/>
  <c r="L126" i="2"/>
  <c r="L123" i="2"/>
  <c r="L22" i="2"/>
  <c r="L156" i="2"/>
  <c r="L83" i="2"/>
  <c r="L160" i="2"/>
  <c r="L137" i="2"/>
  <c r="L45" i="2"/>
  <c r="L140" i="2"/>
  <c r="L88" i="2"/>
  <c r="L103" i="2"/>
  <c r="L42" i="2"/>
  <c r="L36" i="2"/>
  <c r="L17" i="2"/>
  <c r="L95" i="2"/>
  <c r="L62" i="2"/>
  <c r="L155" i="2"/>
  <c r="L44" i="2"/>
  <c r="L8" i="2"/>
  <c r="L12" i="2"/>
  <c r="L91" i="2"/>
  <c r="L89" i="2"/>
  <c r="L161" i="1"/>
  <c r="M97" i="1" a="1"/>
  <c r="M97" i="1" s="1"/>
  <c r="L97" i="1"/>
  <c r="M95" i="1" a="1"/>
  <c r="M95" i="1" s="1"/>
  <c r="L95" i="1"/>
  <c r="M156" i="1" a="1"/>
  <c r="M156" i="1" s="1"/>
  <c r="L156" i="1"/>
  <c r="M23" i="1" a="1"/>
  <c r="M23" i="1" s="1"/>
  <c r="L23" i="1"/>
  <c r="M144" i="1" a="1"/>
  <c r="M144" i="1" s="1"/>
  <c r="L144" i="1"/>
  <c r="M49" i="1" a="1"/>
  <c r="M49" i="1" s="1"/>
  <c r="L49" i="1"/>
  <c r="M137" i="1" a="1"/>
  <c r="M137" i="1" s="1"/>
  <c r="L137" i="1"/>
  <c r="M135" i="1" a="1"/>
  <c r="M135" i="1" s="1"/>
  <c r="L135" i="1"/>
  <c r="L151" i="1"/>
  <c r="M115" i="1" a="1"/>
  <c r="M115" i="1" s="1"/>
  <c r="L115" i="1"/>
  <c r="M26" i="1" a="1"/>
  <c r="M26" i="1" s="1"/>
  <c r="L26" i="1"/>
  <c r="M84" i="1" a="1"/>
  <c r="M84" i="1" s="1"/>
  <c r="L84" i="1"/>
  <c r="M24" i="1" a="1"/>
  <c r="M24" i="1" s="1"/>
  <c r="L24" i="1"/>
  <c r="M113" i="1" a="1"/>
  <c r="M113" i="1" s="1"/>
  <c r="L113" i="1"/>
  <c r="M179" i="1" a="1"/>
  <c r="M179" i="1" s="1"/>
  <c r="L179" i="1"/>
  <c r="M72" i="1" a="1"/>
  <c r="M72" i="1" s="1"/>
  <c r="L72" i="1"/>
  <c r="M41" i="1" a="1"/>
  <c r="M41" i="1" s="1"/>
  <c r="L41" i="1"/>
  <c r="M129" i="1" a="1"/>
  <c r="M129" i="1" s="1"/>
  <c r="L129" i="1"/>
  <c r="M142" i="1" a="1"/>
  <c r="M142" i="1" s="1"/>
  <c r="L142" i="1"/>
  <c r="M106" i="1" a="1"/>
  <c r="M106" i="1" s="1"/>
  <c r="L106" i="1"/>
  <c r="M36" i="1" a="1"/>
  <c r="M36" i="1" s="1"/>
  <c r="L36" i="1"/>
  <c r="M87" i="1" a="1"/>
  <c r="M87" i="1" s="1"/>
  <c r="L87" i="1"/>
  <c r="M158" i="1" a="1"/>
  <c r="M158" i="1" s="1"/>
  <c r="L158" i="1"/>
  <c r="M114" i="1" a="1"/>
  <c r="M114" i="1" s="1"/>
  <c r="L114" i="1"/>
  <c r="M11" i="1" a="1"/>
  <c r="M11" i="1" s="1"/>
  <c r="L11" i="1"/>
  <c r="M102" i="1" a="1"/>
  <c r="M102" i="1" s="1"/>
  <c r="L102" i="1"/>
  <c r="M44" i="1" a="1"/>
  <c r="M44" i="1" s="1"/>
  <c r="L44" i="1"/>
  <c r="M21" i="1" a="1"/>
  <c r="M21" i="1" s="1"/>
  <c r="L21" i="1"/>
  <c r="M176" i="1" a="1"/>
  <c r="M176" i="1" s="1"/>
  <c r="L176" i="1"/>
  <c r="M7" i="1" a="1"/>
  <c r="M7" i="1" s="1"/>
  <c r="L7" i="1"/>
  <c r="M65" i="1" a="1"/>
  <c r="M65" i="1" s="1"/>
  <c r="L65" i="1"/>
  <c r="M169" i="1" a="1"/>
  <c r="M169" i="1" s="1"/>
  <c r="L169" i="1"/>
  <c r="M111" i="1" a="1"/>
  <c r="M111" i="1" s="1"/>
  <c r="L111" i="1"/>
  <c r="M122" i="1" a="1"/>
  <c r="M122" i="1" s="1"/>
  <c r="L122" i="1"/>
  <c r="M35" i="1" a="1"/>
  <c r="M35" i="1" s="1"/>
  <c r="L35" i="1"/>
  <c r="M126" i="1" a="1"/>
  <c r="M126" i="1" s="1"/>
  <c r="L126" i="1"/>
  <c r="M52" i="1" a="1"/>
  <c r="M52" i="1" s="1"/>
  <c r="L52" i="1"/>
  <c r="M53" i="1" a="1"/>
  <c r="M53" i="1" s="1"/>
  <c r="L53" i="1"/>
  <c r="M5" i="1" a="1"/>
  <c r="M5" i="1" s="1"/>
  <c r="L5" i="1"/>
  <c r="M167" i="1" a="1"/>
  <c r="M167" i="1" s="1"/>
  <c r="L167" i="1"/>
  <c r="L81" i="1"/>
  <c r="L150" i="1"/>
  <c r="M43" i="1" a="1"/>
  <c r="M43" i="1" s="1"/>
  <c r="L43" i="1"/>
  <c r="M47" i="1" a="1"/>
  <c r="M47" i="1" s="1"/>
  <c r="L47" i="1"/>
  <c r="M73" i="1" a="1"/>
  <c r="M73" i="1" s="1"/>
  <c r="L73" i="1"/>
  <c r="M27" i="1" a="1"/>
  <c r="M27" i="1" s="1"/>
  <c r="L27" i="1"/>
  <c r="M18" i="1" a="1"/>
  <c r="M18" i="1" s="1"/>
  <c r="L18" i="1"/>
  <c r="M130" i="1" a="1"/>
  <c r="M130" i="1" s="1"/>
  <c r="L130" i="1"/>
  <c r="M83" i="1" a="1"/>
  <c r="M83" i="1" s="1"/>
  <c r="L83" i="1"/>
  <c r="M71" i="1" a="1"/>
  <c r="M71" i="1" s="1"/>
  <c r="L71" i="1"/>
  <c r="M60" i="1" a="1"/>
  <c r="M60" i="1" s="1"/>
  <c r="L60" i="1"/>
  <c r="M69" i="1" a="1"/>
  <c r="M69" i="1" s="1"/>
  <c r="L69" i="1"/>
  <c r="M45" i="1" a="1"/>
  <c r="M45" i="1" s="1"/>
  <c r="L45" i="1"/>
  <c r="L82" i="1"/>
  <c r="M123" i="1" a="1"/>
  <c r="M123" i="1" s="1"/>
  <c r="L123" i="1"/>
  <c r="M85" i="1" a="1"/>
  <c r="M85" i="1" s="1"/>
  <c r="L85" i="1"/>
  <c r="M8" i="1" a="1"/>
  <c r="M8" i="1" s="1"/>
  <c r="L8" i="1"/>
  <c r="M147" i="1" a="1"/>
  <c r="M147" i="1" s="1"/>
  <c r="L147" i="1"/>
  <c r="M17" i="1" a="1"/>
  <c r="M17" i="1" s="1"/>
  <c r="L17" i="1"/>
  <c r="M105" i="1" a="1"/>
  <c r="M105" i="1" s="1"/>
  <c r="L105" i="1"/>
  <c r="M139" i="1" a="1"/>
  <c r="M139" i="1" s="1"/>
  <c r="L139" i="1"/>
  <c r="M34" i="1" a="1"/>
  <c r="M34" i="1" s="1"/>
  <c r="L34" i="1"/>
  <c r="M154" i="1" a="1"/>
  <c r="M154" i="1" s="1"/>
  <c r="L154" i="1"/>
  <c r="M155" i="1" a="1"/>
  <c r="M155" i="1" s="1"/>
  <c r="L155" i="1"/>
  <c r="M143" i="1" a="1"/>
  <c r="M143" i="1" s="1"/>
  <c r="L143" i="1"/>
  <c r="M116" i="1" a="1"/>
  <c r="M116" i="1" s="1"/>
  <c r="L116" i="1"/>
  <c r="M117" i="1" a="1"/>
  <c r="M117" i="1" s="1"/>
  <c r="L117" i="1"/>
  <c r="M157" i="1" a="1"/>
  <c r="M157" i="1" s="1"/>
  <c r="L157" i="1"/>
  <c r="L152" i="1"/>
  <c r="M138" i="1" a="1"/>
  <c r="M138" i="1" s="1"/>
  <c r="L138" i="1"/>
  <c r="M61" i="1" a="1"/>
  <c r="M61" i="1" s="1"/>
  <c r="L61" i="1"/>
  <c r="M163" i="1" a="1"/>
  <c r="M163" i="1" s="1"/>
  <c r="L163" i="1"/>
  <c r="M12" i="1" a="1"/>
  <c r="M12" i="1" s="1"/>
  <c r="L12" i="1"/>
  <c r="M6" i="1" a="1"/>
  <c r="M6" i="1" s="1"/>
  <c r="L6" i="1"/>
  <c r="L80" i="1"/>
  <c r="L160" i="1"/>
  <c r="M103" i="1" a="1"/>
  <c r="M103" i="1" s="1"/>
  <c r="L103" i="1"/>
  <c r="M107" i="1" a="1"/>
  <c r="M107" i="1" s="1"/>
  <c r="L107" i="1"/>
  <c r="M25" i="1" a="1"/>
  <c r="M25" i="1" s="1"/>
  <c r="L25" i="1"/>
  <c r="M42" i="1" a="1"/>
  <c r="M42" i="1" s="1"/>
  <c r="L42" i="1"/>
  <c r="M140" i="1" a="1"/>
  <c r="M140" i="1" s="1"/>
  <c r="L140" i="1"/>
  <c r="M15" i="1" a="1"/>
  <c r="M15" i="1" s="1"/>
  <c r="L15" i="1"/>
  <c r="M64" i="1" a="1"/>
  <c r="M64" i="1" s="1"/>
  <c r="L64" i="1"/>
  <c r="M30" i="1" a="1"/>
  <c r="M30" i="1" s="1"/>
  <c r="L30" i="1"/>
  <c r="M33" i="1" a="1"/>
  <c r="M33" i="1" s="1"/>
  <c r="L33" i="1"/>
  <c r="M121" i="1" a="1"/>
  <c r="M121" i="1" s="1"/>
  <c r="L121" i="1"/>
  <c r="M62" i="1" a="1"/>
  <c r="M62" i="1" s="1"/>
  <c r="L62" i="1"/>
  <c r="M74" i="1" a="1"/>
  <c r="M74" i="1" s="1"/>
  <c r="L74" i="1"/>
  <c r="M170" i="1" a="1"/>
  <c r="M170" i="1" s="1"/>
  <c r="L170" i="1"/>
  <c r="M141" i="1" a="1"/>
  <c r="M141" i="1" s="1"/>
  <c r="L141" i="1"/>
  <c r="M20" i="1" a="1"/>
  <c r="M20" i="1" s="1"/>
  <c r="L20" i="1"/>
  <c r="M148" i="1" a="1"/>
  <c r="M148" i="1" s="1"/>
  <c r="L148" i="1"/>
  <c r="M54" i="1" a="1"/>
  <c r="M54" i="1" s="1"/>
  <c r="L54" i="1"/>
  <c r="M63" i="1" a="1"/>
  <c r="M63" i="1" s="1"/>
  <c r="L63" i="1"/>
  <c r="L153" i="1"/>
  <c r="M162" i="1" a="1"/>
  <c r="M162" i="1" s="1"/>
  <c r="L162" i="1"/>
  <c r="M70" i="1" a="1"/>
  <c r="M70" i="1" s="1"/>
  <c r="L70" i="1"/>
  <c r="M178" i="1" a="1"/>
  <c r="M178" i="1" s="1"/>
  <c r="L178" i="1"/>
  <c r="L243" i="3"/>
  <c r="L244" i="3"/>
  <c r="L271" i="3"/>
  <c r="L272" i="3"/>
  <c r="L29" i="3"/>
  <c r="L30" i="3"/>
  <c r="L133" i="3"/>
  <c r="M160" i="1" a="1"/>
  <c r="M160" i="1" s="1"/>
  <c r="M22" i="1" a="1"/>
  <c r="M22" i="1" s="1"/>
  <c r="M151" i="1" a="1"/>
  <c r="M151" i="1" s="1"/>
  <c r="M153" i="1" a="1"/>
  <c r="M153" i="1" s="1"/>
  <c r="M159" i="1" a="1"/>
  <c r="M159" i="1" s="1"/>
  <c r="M152" i="1" a="1"/>
  <c r="M152" i="1" s="1"/>
  <c r="M161" i="1" a="1"/>
  <c r="M161" i="1" s="1"/>
  <c r="M79" i="1" a="1"/>
  <c r="M79" i="1" s="1"/>
  <c r="M150" i="1" a="1"/>
  <c r="M150" i="1" s="1"/>
  <c r="M82" i="1" a="1"/>
  <c r="M82" i="1" s="1"/>
  <c r="M149" i="1" a="1"/>
  <c r="M149" i="1" s="1"/>
  <c r="M4" i="1" a="1"/>
  <c r="M4" i="1" s="1"/>
  <c r="M181" i="1" a="1"/>
  <c r="M181" i="1" s="1"/>
  <c r="M81" i="1" a="1"/>
  <c r="M81" i="1" s="1"/>
  <c r="M80" i="1" a="1"/>
  <c r="M80" i="1" s="1"/>
  <c r="K25" i="1"/>
  <c r="K163" i="1"/>
  <c r="K42" i="1"/>
  <c r="K162" i="1"/>
  <c r="K6" i="1"/>
  <c r="K33" i="1"/>
  <c r="K74" i="1"/>
  <c r="K148" i="1"/>
  <c r="K72" i="1"/>
  <c r="K70" i="1"/>
  <c r="K41" i="1"/>
  <c r="K129" i="1"/>
  <c r="K142" i="1"/>
  <c r="K106" i="1"/>
  <c r="K178" i="1"/>
  <c r="K22" i="1"/>
  <c r="K36" i="1"/>
  <c r="K156" i="1"/>
  <c r="K23" i="1"/>
  <c r="K87" i="1"/>
  <c r="K113" i="1"/>
  <c r="K12" i="1"/>
  <c r="K114" i="1"/>
  <c r="K11" i="1"/>
  <c r="K102" i="1"/>
  <c r="K44" i="1"/>
  <c r="K21" i="1"/>
  <c r="K135" i="1"/>
  <c r="K64" i="1"/>
  <c r="K121" i="1"/>
  <c r="K20" i="1"/>
  <c r="K137" i="1"/>
  <c r="K176" i="1"/>
  <c r="K7" i="1"/>
  <c r="K65" i="1"/>
  <c r="K169" i="1"/>
  <c r="K111" i="1"/>
  <c r="K122" i="1"/>
  <c r="K35" i="1"/>
  <c r="K126" i="1"/>
  <c r="K52" i="1"/>
  <c r="K53" i="1"/>
  <c r="K5" i="1"/>
  <c r="K167" i="1"/>
  <c r="K62" i="1"/>
  <c r="K54" i="1"/>
  <c r="K158" i="1"/>
  <c r="K49" i="1"/>
  <c r="K43" i="1"/>
  <c r="K47" i="1"/>
  <c r="K73" i="1"/>
  <c r="K27" i="1"/>
  <c r="K18" i="1"/>
  <c r="K130" i="1"/>
  <c r="K83" i="1"/>
  <c r="K71" i="1"/>
  <c r="K60" i="1"/>
  <c r="K69" i="1"/>
  <c r="K45" i="1"/>
  <c r="K24" i="1"/>
  <c r="K140" i="1"/>
  <c r="K141" i="1"/>
  <c r="K144" i="1"/>
  <c r="K115" i="1"/>
  <c r="K97" i="1"/>
  <c r="K138" i="1"/>
  <c r="K85" i="1"/>
  <c r="K15" i="1"/>
  <c r="K30" i="1"/>
  <c r="K170" i="1"/>
  <c r="K63" i="1"/>
  <c r="K4" i="1"/>
  <c r="K103" i="1"/>
  <c r="K123" i="1"/>
  <c r="K26" i="1"/>
  <c r="K107" i="1"/>
  <c r="K95" i="1"/>
  <c r="K84" i="1"/>
  <c r="K61" i="1"/>
  <c r="K8" i="1"/>
  <c r="K147" i="1"/>
  <c r="K17" i="1"/>
  <c r="K105" i="1"/>
  <c r="K139" i="1"/>
  <c r="K34" i="1"/>
  <c r="K154" i="1"/>
  <c r="K155" i="1"/>
  <c r="K143" i="1"/>
  <c r="K116" i="1"/>
  <c r="K117" i="1"/>
  <c r="K157" i="1"/>
  <c r="K126" i="2"/>
  <c r="K130" i="2"/>
  <c r="K47" i="2"/>
  <c r="K141" i="2"/>
  <c r="K168" i="2"/>
  <c r="K61" i="2"/>
  <c r="K63" i="2"/>
  <c r="K73" i="2"/>
  <c r="K117" i="2"/>
  <c r="K121" i="2"/>
  <c r="K148" i="2"/>
  <c r="K143" i="2"/>
  <c r="K21" i="2"/>
  <c r="K7" i="2"/>
  <c r="K123" i="2"/>
  <c r="K22" i="2"/>
  <c r="K6" i="2"/>
  <c r="K111" i="2"/>
  <c r="K18" i="2"/>
  <c r="K83" i="2"/>
  <c r="K103" i="2"/>
  <c r="K42" i="2"/>
  <c r="K74" i="2"/>
  <c r="K160" i="2"/>
  <c r="K54" i="2"/>
  <c r="K36" i="2"/>
  <c r="K17" i="2"/>
  <c r="K34" i="2"/>
  <c r="K137" i="2"/>
  <c r="K95" i="2"/>
  <c r="K154" i="2"/>
  <c r="K24" i="2"/>
  <c r="K156" i="2"/>
  <c r="K26" i="2"/>
  <c r="K116" i="2"/>
  <c r="K43" i="2"/>
  <c r="K25" i="2"/>
  <c r="K147" i="2"/>
  <c r="K85" i="2"/>
  <c r="K62" i="2"/>
  <c r="K107" i="2"/>
  <c r="K155" i="2"/>
  <c r="K64" i="2"/>
  <c r="K44" i="2"/>
  <c r="K122" i="2"/>
  <c r="K8" i="2"/>
  <c r="K79" i="2"/>
  <c r="K33" i="2"/>
  <c r="K12" i="2"/>
  <c r="K53" i="2"/>
  <c r="K65" i="2"/>
  <c r="K140" i="2"/>
  <c r="K69" i="2"/>
  <c r="K176" i="2"/>
  <c r="K165" i="2"/>
  <c r="K135" i="2"/>
  <c r="K142" i="2"/>
  <c r="K161" i="2"/>
  <c r="K144" i="2"/>
  <c r="K84" i="2"/>
  <c r="K167" i="2"/>
  <c r="K35" i="2"/>
  <c r="K15" i="2"/>
  <c r="K5" i="2"/>
  <c r="K72" i="2"/>
  <c r="K139" i="2"/>
  <c r="K70" i="2"/>
  <c r="K3" i="2"/>
  <c r="K113" i="2"/>
  <c r="K105" i="2"/>
  <c r="K52" i="2"/>
  <c r="K45" i="2"/>
  <c r="K23" i="2"/>
  <c r="K87" i="2"/>
  <c r="K114" i="2"/>
  <c r="K20" i="2"/>
  <c r="K49" i="2"/>
  <c r="K97" i="2"/>
  <c r="K106" i="2"/>
  <c r="K71" i="2"/>
  <c r="K41" i="2"/>
  <c r="K157" i="2"/>
  <c r="K129" i="2"/>
  <c r="K102" i="2"/>
  <c r="K115" i="2"/>
  <c r="K138" i="2"/>
  <c r="K149" i="2"/>
  <c r="K30" i="2"/>
  <c r="K11" i="2"/>
  <c r="K177" i="2"/>
  <c r="K27" i="2"/>
  <c r="K60" i="2"/>
  <c r="K174" i="2"/>
  <c r="K149" i="1"/>
  <c r="K179" i="1"/>
  <c r="K79" i="1"/>
  <c r="K159" i="1"/>
  <c r="L247" i="3"/>
  <c r="L249" i="3"/>
  <c r="L248" i="3"/>
  <c r="L294" i="3"/>
  <c r="K89" i="3"/>
  <c r="K161" i="3"/>
  <c r="K241" i="3"/>
  <c r="K281" i="3"/>
  <c r="K32" i="3"/>
  <c r="K10" i="3"/>
  <c r="K50" i="3"/>
  <c r="K90" i="3"/>
  <c r="K154" i="3"/>
  <c r="K234" i="3"/>
  <c r="K282" i="3"/>
  <c r="K31" i="3"/>
  <c r="K16" i="3"/>
  <c r="K11" i="3"/>
  <c r="K59" i="3"/>
  <c r="K115" i="3"/>
  <c r="K147" i="3"/>
  <c r="K187" i="3"/>
  <c r="K235" i="3"/>
  <c r="K275" i="3"/>
  <c r="K63" i="3"/>
  <c r="K160" i="3"/>
  <c r="K20" i="3"/>
  <c r="K68" i="3"/>
  <c r="K132" i="3"/>
  <c r="K196" i="3"/>
  <c r="K260" i="3"/>
  <c r="K95" i="3"/>
  <c r="K287" i="3"/>
  <c r="K288" i="3"/>
  <c r="K45" i="3"/>
  <c r="K93" i="3"/>
  <c r="K141" i="3"/>
  <c r="K173" i="3"/>
  <c r="K229" i="3"/>
  <c r="K261" i="3"/>
  <c r="K55" i="3"/>
  <c r="K56" i="3"/>
  <c r="K14" i="3"/>
  <c r="K54" i="3"/>
  <c r="K126" i="3"/>
  <c r="K190" i="3"/>
  <c r="K39" i="3"/>
  <c r="K40" i="3"/>
  <c r="K3" i="3"/>
  <c r="K113" i="3"/>
  <c r="K185" i="3"/>
  <c r="K257" i="3"/>
  <c r="K289" i="3"/>
  <c r="K72" i="3"/>
  <c r="K18" i="3"/>
  <c r="K58" i="3"/>
  <c r="K106" i="3"/>
  <c r="K170" i="3"/>
  <c r="K258" i="3"/>
  <c r="K290" i="3"/>
  <c r="K127" i="3"/>
  <c r="K152" i="3"/>
  <c r="K19" i="3"/>
  <c r="K75" i="3"/>
  <c r="K123" i="3"/>
  <c r="K155" i="3"/>
  <c r="K203" i="3"/>
  <c r="K243" i="3"/>
  <c r="K283" i="3"/>
  <c r="K151" i="3"/>
  <c r="K256" i="3"/>
  <c r="K28" i="3"/>
  <c r="K84" i="3"/>
  <c r="K148" i="3"/>
  <c r="K212" i="3"/>
  <c r="K268" i="3"/>
  <c r="K143" i="3"/>
  <c r="K48" i="3"/>
  <c r="K13" i="3"/>
  <c r="K53" i="3"/>
  <c r="K101" i="3"/>
  <c r="K149" i="3"/>
  <c r="K181" i="3"/>
  <c r="K237" i="3"/>
  <c r="K277" i="3"/>
  <c r="K159" i="3"/>
  <c r="K120" i="3"/>
  <c r="K22" i="3"/>
  <c r="K62" i="3"/>
  <c r="K134" i="3"/>
  <c r="K198" i="3"/>
  <c r="K135" i="3"/>
  <c r="K136" i="3"/>
  <c r="K17" i="3"/>
  <c r="K121" i="3"/>
  <c r="K193" i="3"/>
  <c r="K265" i="3"/>
  <c r="K71" i="3"/>
  <c r="K224" i="3"/>
  <c r="K26" i="3"/>
  <c r="K66" i="3"/>
  <c r="K114" i="3"/>
  <c r="K194" i="3"/>
  <c r="K266" i="3"/>
  <c r="K291" i="3"/>
  <c r="K223" i="3"/>
  <c r="K232" i="3"/>
  <c r="K27" i="3"/>
  <c r="K99" i="3"/>
  <c r="K131" i="3"/>
  <c r="K163" i="3"/>
  <c r="K211" i="3"/>
  <c r="K251" i="3"/>
  <c r="K285" i="3"/>
  <c r="K247" i="3"/>
  <c r="K4" i="3"/>
  <c r="K44" i="3"/>
  <c r="K92" i="3"/>
  <c r="K164" i="3"/>
  <c r="K228" i="3"/>
  <c r="K284" i="3"/>
  <c r="K191" i="3"/>
  <c r="K192" i="3"/>
  <c r="K21" i="3"/>
  <c r="K69" i="3"/>
  <c r="K125" i="3"/>
  <c r="K157" i="3"/>
  <c r="K197" i="3"/>
  <c r="K245" i="3"/>
  <c r="K262" i="3"/>
  <c r="K255" i="3"/>
  <c r="K168" i="3"/>
  <c r="K38" i="3"/>
  <c r="K70" i="3"/>
  <c r="K142" i="3"/>
  <c r="K238" i="3"/>
  <c r="K183" i="3"/>
  <c r="K184" i="3"/>
  <c r="K65" i="3"/>
  <c r="K137" i="3"/>
  <c r="K225" i="3"/>
  <c r="K273" i="3"/>
  <c r="K271" i="3"/>
  <c r="K264" i="3"/>
  <c r="K42" i="3"/>
  <c r="K74" i="3"/>
  <c r="K130" i="3"/>
  <c r="K202" i="3"/>
  <c r="K274" i="3"/>
  <c r="K294" i="3"/>
  <c r="K263" i="3"/>
  <c r="K280" i="3"/>
  <c r="K51" i="3"/>
  <c r="K107" i="3"/>
  <c r="K139" i="3"/>
  <c r="K179" i="3"/>
  <c r="K227" i="3"/>
  <c r="K259" i="3"/>
  <c r="K23" i="3"/>
  <c r="K64" i="3"/>
  <c r="K12" i="3"/>
  <c r="K52" i="3"/>
  <c r="K124" i="3"/>
  <c r="K180" i="3"/>
  <c r="K236" i="3"/>
  <c r="K286" i="3"/>
  <c r="K239" i="3"/>
  <c r="K240" i="3"/>
  <c r="K29" i="3"/>
  <c r="K85" i="3"/>
  <c r="K133" i="3"/>
  <c r="K165" i="3"/>
  <c r="K221" i="3"/>
  <c r="K253" i="3"/>
  <c r="K15" i="3"/>
  <c r="K24" i="3"/>
  <c r="K6" i="3"/>
  <c r="K46" i="3"/>
  <c r="K94" i="3"/>
  <c r="K166" i="3"/>
  <c r="K246" i="3"/>
  <c r="K231" i="3"/>
  <c r="K7" i="3"/>
  <c r="B3" i="11"/>
  <c r="N280" i="3"/>
  <c r="N283" i="3"/>
  <c r="N288" i="3"/>
  <c r="N40" i="3"/>
  <c r="N48" i="3"/>
  <c r="N51" i="3"/>
  <c r="N53" i="3"/>
  <c r="N54" i="3"/>
  <c r="N56" i="3"/>
  <c r="N59" i="3"/>
  <c r="N62" i="3"/>
  <c r="N63" i="3"/>
  <c r="N70" i="3"/>
  <c r="N71" i="3"/>
  <c r="N89" i="3"/>
  <c r="N90" i="3"/>
  <c r="N26" i="3"/>
  <c r="N27" i="3"/>
  <c r="N114" i="3"/>
  <c r="N125" i="3"/>
  <c r="N127" i="3"/>
  <c r="N130" i="3"/>
  <c r="N133" i="3"/>
  <c r="N134" i="3"/>
  <c r="N92" i="3"/>
  <c r="N93" i="3"/>
  <c r="N94" i="3"/>
  <c r="N99" i="3"/>
  <c r="N101" i="3"/>
  <c r="N106" i="3"/>
  <c r="N107" i="3"/>
  <c r="N160" i="3"/>
  <c r="N161" i="3"/>
  <c r="N235" i="3"/>
  <c r="N148" i="3"/>
  <c r="N258" i="3"/>
  <c r="N263" i="3"/>
  <c r="N264" i="3"/>
  <c r="N265" i="3"/>
  <c r="N266" i="3"/>
  <c r="N268" i="3"/>
  <c r="N271" i="3"/>
  <c r="N273" i="3"/>
  <c r="N274" i="3"/>
  <c r="N275" i="3"/>
  <c r="N285" i="3"/>
  <c r="N294" i="3"/>
  <c r="N52" i="3"/>
  <c r="N58" i="3"/>
  <c r="N64" i="3"/>
  <c r="N65" i="3"/>
  <c r="N69" i="3"/>
  <c r="N72" i="3"/>
  <c r="N11" i="3"/>
  <c r="N12" i="3"/>
  <c r="N13" i="3"/>
  <c r="N14" i="3"/>
  <c r="N15" i="3"/>
  <c r="N16" i="3"/>
  <c r="N17" i="3"/>
  <c r="N18" i="3"/>
  <c r="N19" i="3"/>
  <c r="N21" i="3"/>
  <c r="N66" i="3"/>
  <c r="N68" i="3"/>
  <c r="N22" i="3"/>
  <c r="N231" i="3"/>
  <c r="N6" i="3"/>
  <c r="N135" i="3"/>
  <c r="N151" i="3"/>
  <c r="N23" i="3"/>
  <c r="N24" i="3"/>
  <c r="N277" i="3"/>
  <c r="N28" i="3"/>
  <c r="N3" i="3"/>
  <c r="N29" i="3"/>
  <c r="N38" i="3"/>
  <c r="N42" i="3"/>
  <c r="N39" i="3"/>
  <c r="N286" i="3"/>
  <c r="N4" i="3"/>
  <c r="N31" i="3"/>
  <c r="N180" i="3"/>
  <c r="N7" i="3"/>
  <c r="N120" i="3"/>
  <c r="N121" i="3"/>
  <c r="N123" i="3"/>
  <c r="N124" i="3"/>
  <c r="N44" i="3"/>
  <c r="N45" i="3"/>
  <c r="N46" i="3"/>
  <c r="N32" i="3"/>
  <c r="N10" i="3"/>
  <c r="N136" i="3"/>
  <c r="N152" i="3"/>
  <c r="N157" i="3"/>
  <c r="N159" i="3"/>
  <c r="N142" i="3"/>
  <c r="N143" i="3"/>
  <c r="N147" i="3"/>
  <c r="N20" i="3"/>
  <c r="N50" i="3"/>
  <c r="N163" i="3"/>
  <c r="N164" i="3"/>
  <c r="N165" i="3"/>
  <c r="N166" i="3"/>
  <c r="N168" i="3"/>
  <c r="N170" i="3"/>
  <c r="N173" i="3"/>
  <c r="N179" i="3"/>
  <c r="N181" i="3"/>
  <c r="N183" i="3"/>
  <c r="N184" i="3"/>
  <c r="N185" i="3"/>
  <c r="N74" i="3"/>
  <c r="N75" i="3"/>
  <c r="N113" i="3"/>
  <c r="N115" i="3"/>
  <c r="N236" i="3"/>
  <c r="N237" i="3"/>
  <c r="N239" i="3"/>
  <c r="N240" i="3"/>
  <c r="N241" i="3"/>
  <c r="N246" i="3"/>
  <c r="N253" i="3"/>
  <c r="N255" i="3"/>
  <c r="N259" i="3"/>
  <c r="N149" i="3"/>
  <c r="N154" i="3"/>
  <c r="N224" i="3"/>
  <c r="N284" i="3"/>
  <c r="N287" i="3"/>
  <c r="N289" i="3"/>
  <c r="N290" i="3"/>
  <c r="N291" i="3"/>
  <c r="N55" i="3"/>
  <c r="N95" i="3"/>
  <c r="N132" i="3"/>
  <c r="N191" i="3"/>
  <c r="N196" i="3"/>
  <c r="N225" i="3"/>
  <c r="N227" i="3"/>
  <c r="N232" i="3"/>
  <c r="N238" i="3"/>
  <c r="N243" i="3"/>
  <c r="N245" i="3"/>
  <c r="N247" i="3"/>
  <c r="N251" i="3"/>
  <c r="N256" i="3"/>
  <c r="N257" i="3"/>
  <c r="N126" i="3"/>
  <c r="N131" i="3"/>
  <c r="N194" i="3"/>
  <c r="N228" i="3"/>
  <c r="N229" i="3"/>
  <c r="N234" i="3"/>
  <c r="N260" i="3"/>
  <c r="N261" i="3"/>
  <c r="N262" i="3"/>
  <c r="N84" i="3"/>
  <c r="N85" i="3"/>
  <c r="N137" i="3"/>
  <c r="N139" i="3"/>
  <c r="N141" i="3"/>
  <c r="N155" i="3"/>
  <c r="N281" i="3"/>
  <c r="N282" i="3"/>
  <c r="N187" i="3"/>
  <c r="N190" i="3"/>
  <c r="N192" i="3"/>
  <c r="N193" i="3"/>
  <c r="N197" i="3"/>
  <c r="N198" i="3"/>
  <c r="N202" i="3"/>
  <c r="N203" i="3"/>
  <c r="N211" i="3"/>
  <c r="N212" i="3"/>
  <c r="N221" i="3"/>
  <c r="N223" i="3"/>
  <c r="N114" i="2"/>
  <c r="N115" i="2"/>
  <c r="N117" i="2"/>
  <c r="N118" i="2"/>
  <c r="N119" i="2"/>
  <c r="N120" i="2"/>
  <c r="N60" i="2"/>
  <c r="N84" i="2"/>
  <c r="N97" i="2"/>
  <c r="N126" i="2"/>
  <c r="N127" i="2"/>
  <c r="N128" i="2"/>
  <c r="N139" i="2"/>
  <c r="N148" i="2"/>
  <c r="N156" i="2"/>
  <c r="N157" i="2"/>
  <c r="N158" i="2"/>
  <c r="N159" i="2"/>
  <c r="N116" i="2"/>
  <c r="N123" i="2"/>
  <c r="N124" i="2"/>
  <c r="N6" i="2"/>
  <c r="N21" i="2"/>
  <c r="N45" i="2"/>
  <c r="N46" i="2"/>
  <c r="N61" i="2"/>
  <c r="N71" i="2"/>
  <c r="N17" i="2"/>
  <c r="N30" i="2"/>
  <c r="N31" i="2"/>
  <c r="N32" i="2"/>
  <c r="N47" i="2"/>
  <c r="N48" i="2"/>
  <c r="N26" i="2"/>
  <c r="N36" i="2"/>
  <c r="N37" i="2"/>
  <c r="N38" i="2"/>
  <c r="N39" i="2"/>
  <c r="N40" i="2"/>
  <c r="N69" i="2"/>
  <c r="N103" i="2"/>
  <c r="N106" i="2"/>
  <c r="N8" i="2"/>
  <c r="N9" i="2"/>
  <c r="N10" i="2"/>
  <c r="N41" i="2"/>
  <c r="N49" i="2"/>
  <c r="N50" i="2"/>
  <c r="N51" i="2"/>
  <c r="N74" i="2"/>
  <c r="N75" i="2"/>
  <c r="N76" i="2"/>
  <c r="N77" i="2"/>
  <c r="N78" i="2"/>
  <c r="N85" i="2"/>
  <c r="N86" i="2"/>
  <c r="N107" i="2"/>
  <c r="N108" i="2"/>
  <c r="N109" i="2"/>
  <c r="N110" i="2"/>
  <c r="N15" i="2"/>
  <c r="N16" i="2"/>
  <c r="N95" i="2"/>
  <c r="N25" i="2"/>
  <c r="N35" i="2"/>
  <c r="N64" i="2"/>
  <c r="N70" i="2"/>
  <c r="N73" i="2"/>
  <c r="N7" i="2"/>
  <c r="N34" i="2"/>
  <c r="N53" i="2"/>
  <c r="N83" i="2"/>
  <c r="N102" i="2"/>
  <c r="N5" i="2"/>
  <c r="N11" i="2"/>
  <c r="N20" i="2"/>
  <c r="N23" i="2"/>
  <c r="N33" i="2"/>
  <c r="N52" i="2"/>
  <c r="N62" i="2"/>
  <c r="N65" i="2"/>
  <c r="N66" i="2"/>
  <c r="N67" i="2"/>
  <c r="N68" i="2"/>
  <c r="N125" i="2"/>
  <c r="N98" i="2"/>
  <c r="N99" i="2"/>
  <c r="N100" i="2"/>
  <c r="N101" i="2"/>
  <c r="N138" i="2"/>
  <c r="N140" i="2"/>
  <c r="N161" i="2"/>
  <c r="N162" i="2"/>
  <c r="N163" i="2"/>
  <c r="N164" i="2"/>
  <c r="N167" i="2"/>
  <c r="N168" i="2"/>
  <c r="N169" i="2"/>
  <c r="N170" i="2"/>
  <c r="N171" i="2"/>
  <c r="N172" i="2"/>
  <c r="N173" i="2"/>
  <c r="N174" i="2"/>
  <c r="N175" i="2"/>
  <c r="N176" i="2"/>
  <c r="N24" i="2"/>
  <c r="N44" i="2"/>
  <c r="N54" i="2"/>
  <c r="N55" i="2"/>
  <c r="N56" i="2"/>
  <c r="N57" i="2"/>
  <c r="N58" i="2"/>
  <c r="N59" i="2"/>
  <c r="N63" i="2"/>
  <c r="N72" i="2"/>
  <c r="N79" i="2"/>
  <c r="N80" i="2"/>
  <c r="N81" i="2"/>
  <c r="N82" i="2"/>
  <c r="N129" i="2"/>
  <c r="N111" i="2"/>
  <c r="N112" i="2"/>
  <c r="N121" i="2"/>
  <c r="N122" i="2"/>
  <c r="N105" i="2"/>
  <c r="N113" i="2"/>
  <c r="N96" i="2"/>
  <c r="N104" i="2"/>
  <c r="N12" i="2"/>
  <c r="N13" i="2"/>
  <c r="N14" i="2"/>
  <c r="N3" i="2"/>
  <c r="N4" i="2"/>
  <c r="N27" i="2"/>
  <c r="N28" i="2"/>
  <c r="N29" i="2"/>
  <c r="N87" i="2"/>
  <c r="N88" i="2"/>
  <c r="N89" i="2"/>
  <c r="N90" i="2"/>
  <c r="N91" i="2"/>
  <c r="N92" i="2"/>
  <c r="N93" i="2"/>
  <c r="N94" i="2"/>
  <c r="N42" i="2"/>
  <c r="N165" i="2"/>
  <c r="N166" i="2"/>
  <c r="N177" i="2"/>
  <c r="N178" i="2"/>
  <c r="N130" i="2"/>
  <c r="N131" i="2"/>
  <c r="N132" i="2"/>
  <c r="N133" i="2"/>
  <c r="N134" i="2"/>
  <c r="N135" i="2"/>
  <c r="N136" i="2"/>
  <c r="N142" i="2"/>
  <c r="N143" i="2"/>
  <c r="N144" i="2"/>
  <c r="N145" i="2"/>
  <c r="N146" i="2"/>
  <c r="N147" i="2"/>
  <c r="N149" i="2"/>
  <c r="N150" i="2"/>
  <c r="N151" i="2"/>
  <c r="N152" i="2"/>
  <c r="N153" i="2"/>
  <c r="N154" i="2"/>
  <c r="N155" i="2"/>
  <c r="N160" i="2"/>
  <c r="N18" i="2"/>
  <c r="N19" i="2"/>
  <c r="N22" i="2"/>
  <c r="N43" i="2"/>
  <c r="N137" i="2"/>
  <c r="N141" i="2"/>
  <c r="N114" i="1"/>
  <c r="N115" i="1"/>
  <c r="N117" i="1"/>
  <c r="N118" i="1"/>
  <c r="N119" i="1"/>
  <c r="N120" i="1"/>
  <c r="N60" i="1"/>
  <c r="N84" i="1"/>
  <c r="N97" i="1"/>
  <c r="N126" i="1"/>
  <c r="N127" i="1"/>
  <c r="N128" i="1"/>
  <c r="N139" i="1"/>
  <c r="N148" i="1"/>
  <c r="N158" i="1"/>
  <c r="N159" i="1"/>
  <c r="N160" i="1"/>
  <c r="N161" i="1"/>
  <c r="N116" i="1"/>
  <c r="N123" i="1"/>
  <c r="N124" i="1"/>
  <c r="N6" i="1"/>
  <c r="N21" i="1"/>
  <c r="N45" i="1"/>
  <c r="N46" i="1"/>
  <c r="N61" i="1"/>
  <c r="N71" i="1"/>
  <c r="N17" i="1"/>
  <c r="N30" i="1"/>
  <c r="N31" i="1"/>
  <c r="N32" i="1"/>
  <c r="N47" i="1"/>
  <c r="N48" i="1"/>
  <c r="N26" i="1"/>
  <c r="N36" i="1"/>
  <c r="N37" i="1"/>
  <c r="N38" i="1"/>
  <c r="N39" i="1"/>
  <c r="N40" i="1"/>
  <c r="N69" i="1"/>
  <c r="N103" i="1"/>
  <c r="N106" i="1"/>
  <c r="N8" i="1"/>
  <c r="N9" i="1"/>
  <c r="N10" i="1"/>
  <c r="N41" i="1"/>
  <c r="N49" i="1"/>
  <c r="N50" i="1"/>
  <c r="N51" i="1"/>
  <c r="N74" i="1"/>
  <c r="N75" i="1"/>
  <c r="N76" i="1"/>
  <c r="N77" i="1"/>
  <c r="N78" i="1"/>
  <c r="N85" i="1"/>
  <c r="N86" i="1"/>
  <c r="N107" i="1"/>
  <c r="N108" i="1"/>
  <c r="N109" i="1"/>
  <c r="N110" i="1"/>
  <c r="N15" i="1"/>
  <c r="N16" i="1"/>
  <c r="N95" i="1"/>
  <c r="N25" i="1"/>
  <c r="N35" i="1"/>
  <c r="N64" i="1"/>
  <c r="N70" i="1"/>
  <c r="N73" i="1"/>
  <c r="N7" i="1"/>
  <c r="N34" i="1"/>
  <c r="N53" i="1"/>
  <c r="N83" i="1"/>
  <c r="N102" i="1"/>
  <c r="N5" i="1"/>
  <c r="N11" i="1"/>
  <c r="N20" i="1"/>
  <c r="N23" i="1"/>
  <c r="N33" i="1"/>
  <c r="N52" i="1"/>
  <c r="N62" i="1"/>
  <c r="N65" i="1"/>
  <c r="N66" i="1"/>
  <c r="N67" i="1"/>
  <c r="N68" i="1"/>
  <c r="N125" i="1"/>
  <c r="N98" i="1"/>
  <c r="N99" i="1"/>
  <c r="N100" i="1"/>
  <c r="N101" i="1"/>
  <c r="N138" i="1"/>
  <c r="N140" i="1"/>
  <c r="N163" i="1"/>
  <c r="N164" i="1"/>
  <c r="N165" i="1"/>
  <c r="N166" i="1"/>
  <c r="N169" i="1"/>
  <c r="N170" i="1"/>
  <c r="N171" i="1"/>
  <c r="N172" i="1"/>
  <c r="N173" i="1"/>
  <c r="N174" i="1"/>
  <c r="N175" i="1"/>
  <c r="N176" i="1"/>
  <c r="N177" i="1"/>
  <c r="N178" i="1"/>
  <c r="N24" i="1"/>
  <c r="N44" i="1"/>
  <c r="N54" i="1"/>
  <c r="N55" i="1"/>
  <c r="N56" i="1"/>
  <c r="N57" i="1"/>
  <c r="N58" i="1"/>
  <c r="N59" i="1"/>
  <c r="N63" i="1"/>
  <c r="N72" i="1"/>
  <c r="N79" i="1"/>
  <c r="N80" i="1"/>
  <c r="N81" i="1"/>
  <c r="N82" i="1"/>
  <c r="N129" i="1"/>
  <c r="N111" i="1"/>
  <c r="N112" i="1"/>
  <c r="N121" i="1"/>
  <c r="N122" i="1"/>
  <c r="N105" i="1"/>
  <c r="N113" i="1"/>
  <c r="N96" i="1"/>
  <c r="N104" i="1"/>
  <c r="N12" i="1"/>
  <c r="N13" i="1"/>
  <c r="N14" i="1"/>
  <c r="N3" i="1"/>
  <c r="N4" i="1"/>
  <c r="N27" i="1"/>
  <c r="N28" i="1"/>
  <c r="N29" i="1"/>
  <c r="N87" i="1"/>
  <c r="N88" i="1"/>
  <c r="N89" i="1"/>
  <c r="N90" i="1"/>
  <c r="N91" i="1"/>
  <c r="N92" i="1"/>
  <c r="N93" i="1"/>
  <c r="N94" i="1"/>
  <c r="N42" i="1"/>
  <c r="N167" i="1"/>
  <c r="N168" i="1"/>
  <c r="N179" i="1"/>
  <c r="N180" i="1"/>
  <c r="N130" i="1"/>
  <c r="N131" i="1"/>
  <c r="N132" i="1"/>
  <c r="N133" i="1"/>
  <c r="N134" i="1"/>
  <c r="N135" i="1"/>
  <c r="N136" i="1"/>
  <c r="N142" i="1"/>
  <c r="N143" i="1"/>
  <c r="N144" i="1"/>
  <c r="N145" i="1"/>
  <c r="N146" i="1"/>
  <c r="N147" i="1"/>
  <c r="N149" i="1"/>
  <c r="N150" i="1"/>
  <c r="N151" i="1"/>
  <c r="N152" i="1"/>
  <c r="N153" i="1"/>
  <c r="N154" i="1"/>
  <c r="N156" i="1"/>
  <c r="N162" i="1"/>
  <c r="N18" i="1"/>
  <c r="N19" i="1"/>
  <c r="N22" i="1"/>
  <c r="N43" i="1"/>
  <c r="N137" i="1"/>
  <c r="N141" i="1"/>
  <c r="N155" i="1"/>
  <c r="N157" i="1"/>
  <c r="B94" i="12"/>
  <c r="B64" i="12"/>
  <c r="B49" i="12"/>
  <c r="B34" i="12"/>
  <c r="B19" i="12"/>
  <c r="F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B104" i="12"/>
  <c r="B99" i="12"/>
  <c r="B74" i="12"/>
  <c r="B69" i="12"/>
  <c r="B59" i="12"/>
  <c r="B54" i="12"/>
  <c r="B44" i="12"/>
  <c r="B39" i="12"/>
  <c r="B29" i="12"/>
  <c r="B24" i="12"/>
  <c r="B9" i="12"/>
  <c r="B11" i="11"/>
  <c r="B7" i="11"/>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C49" i="12" l="1"/>
  <c r="C34" i="12"/>
  <c r="C64" i="12"/>
  <c r="C19" i="12"/>
  <c r="C3" i="11"/>
  <c r="C4" i="12"/>
  <c r="C94" i="12"/>
  <c r="C79" i="12"/>
  <c r="C89" i="12"/>
  <c r="C29" i="12"/>
  <c r="C14" i="12"/>
  <c r="C74" i="12"/>
  <c r="C44" i="12"/>
  <c r="C59" i="12"/>
  <c r="C104" i="12"/>
  <c r="C24" i="12"/>
  <c r="A84" i="12"/>
  <c r="A99" i="12"/>
  <c r="C99" i="12"/>
  <c r="C54" i="12"/>
  <c r="C9" i="12"/>
  <c r="C69" i="12"/>
  <c r="C84" i="12"/>
  <c r="C39" i="12"/>
  <c r="C11" i="11"/>
  <c r="A89" i="12"/>
  <c r="A74" i="12"/>
  <c r="A104" i="12"/>
  <c r="A59" i="12"/>
  <c r="A29" i="12"/>
  <c r="A11" i="11"/>
  <c r="A44" i="12"/>
  <c r="A14" i="12"/>
  <c r="A94" i="12"/>
  <c r="A49" i="12"/>
  <c r="A34" i="12"/>
  <c r="A79" i="12"/>
  <c r="E79" i="12" s="1"/>
  <c r="F79" i="12" s="1"/>
  <c r="A64" i="12"/>
  <c r="E64" i="12" s="1"/>
  <c r="F64" i="12" s="1"/>
  <c r="A19" i="12"/>
  <c r="E19" i="12" s="1"/>
  <c r="F19" i="12" s="1"/>
  <c r="A4" i="12"/>
  <c r="E4" i="12" s="1"/>
  <c r="F4" i="12" s="1"/>
  <c r="C7" i="11"/>
  <c r="A69" i="12"/>
  <c r="A24" i="12"/>
  <c r="A7" i="11"/>
  <c r="A54" i="12"/>
  <c r="A9" i="12"/>
  <c r="A39" i="12"/>
  <c r="A3" i="11"/>
  <c r="E3" i="11" s="1"/>
  <c r="F3" i="11" s="1"/>
  <c r="E34" i="12" l="1"/>
  <c r="F34" i="12" s="1"/>
  <c r="E94" i="12"/>
  <c r="F94" i="12" s="1"/>
  <c r="E49" i="12"/>
  <c r="F49"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<sst xmlns="http://schemas.openxmlformats.org/spreadsheetml/2006/main" count="8230" uniqueCount="677">
  <si>
    <t>Read Me</t>
  </si>
  <si>
    <t xml:space="preserve">To use this tool, you will need your district's last three years of suspension/expulsion data, pupil enrollment, and SPED enrollment data. Input the appropriate fields into each of the nine blue tabs. Do not make any edits to the yellow columns; these columns contain formulas for the calculation and will automatically fill to determine if each row is included in the calculation.  Finally, check at least one table in the "Indicator 4A" and "Indicator 4B" tabs to make sure the document autofilled. The final column in each 4A and 4B tab is the relevant data point that the state examines for annual monitoring. If the rate ratio exceeds the state-established threshold of 2.0, the tool will flag "Yes" or 'No." If you are flagged "Yes" in the same category for three consecutive years, that is considered "identified" for that Indicator. If your older data has ethnicity/race as codes, please use the table to the right to update your data. You can do this by using the "Home" tab on the top ribbon, clicking "Find &amp; Select", and going to "Replace". CHECK YOUR DATA. Ensure that in your suspension/expulsion data, SPED and non-SPED (column H) are denoted using "Y" for "Yes" and "N" for "No." Ensure that the STNS on the SPED enrollment and pupil enrollment data are unique. IDOE used most recent years of data for indentifcation of findings.
Indicator 4 is calculated using "lag year data," meaning data from years prior to the reporting year. Please refer to the example below when selecting which years of data to utilize for your calculation. 
Example (If current school year were 2023-2024):
Year 1: 2020-2021 school year
Year 2: 2021-2022 school year
Year 3: 2022-2023 school year
Contact osedata@doe.in.gov with questions. </t>
  </si>
  <si>
    <t>Old Race Codes</t>
  </si>
  <si>
    <t>American Indian - Alaskan Native</t>
  </si>
  <si>
    <t>Black - African American</t>
  </si>
  <si>
    <t>Asian</t>
  </si>
  <si>
    <t>Hispanic Ethnicity and of any race</t>
  </si>
  <si>
    <t>White</t>
  </si>
  <si>
    <t>Multiracial (two or more races)</t>
  </si>
  <si>
    <t>Native Hawaiian - Pacific Islander</t>
  </si>
  <si>
    <t>STN</t>
  </si>
  <si>
    <t>GRADE_CODE</t>
  </si>
  <si>
    <t>TYPE_EX_SU</t>
  </si>
  <si>
    <t>DISCIPLINE_TYPE</t>
  </si>
  <si>
    <t>DISCIPLINE_REASON_ID</t>
  </si>
  <si>
    <t>DISCIPLINE_REASON</t>
  </si>
  <si>
    <t>LENGTH_EX_SU</t>
  </si>
  <si>
    <t>SPECIAL_ED</t>
  </si>
  <si>
    <t>Count Exp/Sus</t>
  </si>
  <si>
    <t>Included Exp/Sus</t>
  </si>
  <si>
    <t>Unique Exp/Sus</t>
  </si>
  <si>
    <t>Helper Col</t>
  </si>
  <si>
    <t>Unique Count</t>
  </si>
  <si>
    <t>Ethnicity</t>
  </si>
  <si>
    <t>In-School Suspension</t>
  </si>
  <si>
    <t>Other</t>
  </si>
  <si>
    <t>Y</t>
  </si>
  <si>
    <t>Defiance</t>
  </si>
  <si>
    <t>Attendance</t>
  </si>
  <si>
    <t>N</t>
  </si>
  <si>
    <t>Tobacco</t>
  </si>
  <si>
    <t>Out-of-School Suspension</t>
  </si>
  <si>
    <t>Verbal Aggression or Profanity</t>
  </si>
  <si>
    <t>Drugs</t>
  </si>
  <si>
    <t>Intimidation</t>
  </si>
  <si>
    <t>Expulsion</t>
  </si>
  <si>
    <t>Fighting</t>
  </si>
  <si>
    <t>Sexual Misconduct</t>
  </si>
  <si>
    <t>Theft</t>
  </si>
  <si>
    <t>Deadly Weapons (other than firearms)</t>
  </si>
  <si>
    <t>Verbal Bullying</t>
  </si>
  <si>
    <t>KG</t>
  </si>
  <si>
    <t>Technology Misuse</t>
  </si>
  <si>
    <t>PK</t>
  </si>
  <si>
    <t>Physical Bullying</t>
  </si>
  <si>
    <t>Destruction of Property</t>
  </si>
  <si>
    <t>Battery</t>
  </si>
  <si>
    <t>Non-Deadly Weapons</t>
  </si>
  <si>
    <t>Social/Relational Bullying</t>
  </si>
  <si>
    <t>Event involving Arrest, Bullying, or Gang Related activity</t>
  </si>
  <si>
    <t>Combination (more than one type of Bullying)</t>
  </si>
  <si>
    <t>A15512064</t>
  </si>
  <si>
    <t>Grade</t>
  </si>
  <si>
    <t>ProgramName</t>
  </si>
  <si>
    <t>PrimaryExceptionality</t>
  </si>
  <si>
    <t>SecondaryExceptionality</t>
  </si>
  <si>
    <t>DateOfBirth</t>
  </si>
  <si>
    <t>AgeOnDec1</t>
  </si>
  <si>
    <t>Gender</t>
  </si>
  <si>
    <t>IdeaEligibility</t>
  </si>
  <si>
    <t>Regular Classroom (80% or more)</t>
  </si>
  <si>
    <t>Female</t>
  </si>
  <si>
    <t>Separate Class (less than 40%)</t>
  </si>
  <si>
    <t>Male</t>
  </si>
  <si>
    <t>Choice Voucher</t>
  </si>
  <si>
    <t>Resource Room (40% - 79%)</t>
  </si>
  <si>
    <t>C32516017</t>
  </si>
  <si>
    <t>B45519004</t>
  </si>
  <si>
    <t>A74017034</t>
  </si>
  <si>
    <t>N00007354</t>
  </si>
  <si>
    <t>C43512106</t>
  </si>
  <si>
    <t>Student's disability requires home services</t>
  </si>
  <si>
    <t>N00007594</t>
  </si>
  <si>
    <t>E83716138</t>
  </si>
  <si>
    <t>D07315242</t>
  </si>
  <si>
    <t>A35006095</t>
  </si>
  <si>
    <t>C28010022</t>
  </si>
  <si>
    <t>A36512017</t>
  </si>
  <si>
    <t>A14501242</t>
  </si>
  <si>
    <t>A36518002</t>
  </si>
  <si>
    <t>A36510020</t>
  </si>
  <si>
    <t>B77111041</t>
  </si>
  <si>
    <t>D58010175</t>
  </si>
  <si>
    <t>A17219088</t>
  </si>
  <si>
    <t>A37019023</t>
  </si>
  <si>
    <t>A36514036</t>
  </si>
  <si>
    <t>C94014064</t>
  </si>
  <si>
    <t>C62517002</t>
  </si>
  <si>
    <t>C39011057</t>
  </si>
  <si>
    <t>A20501541</t>
  </si>
  <si>
    <t>B77121203</t>
  </si>
  <si>
    <t>N00010645</t>
  </si>
  <si>
    <t>A36519003</t>
  </si>
  <si>
    <t>B44017015</t>
  </si>
  <si>
    <t>A34004072</t>
  </si>
  <si>
    <t>A34004074</t>
  </si>
  <si>
    <t>A22021022</t>
  </si>
  <si>
    <t>B77121306</t>
  </si>
  <si>
    <t>A30716529</t>
  </si>
  <si>
    <t>B77121312</t>
  </si>
  <si>
    <t>A15528007</t>
  </si>
  <si>
    <t>B45519001</t>
  </si>
  <si>
    <t>A13520114</t>
  </si>
  <si>
    <t>A34016009</t>
  </si>
  <si>
    <t>E83716045</t>
  </si>
  <si>
    <t>N00016096</t>
  </si>
  <si>
    <t>D07315066</t>
  </si>
  <si>
    <t>A30717005</t>
  </si>
  <si>
    <t>D17717021</t>
  </si>
  <si>
    <t>B77121132</t>
  </si>
  <si>
    <t>A20501620</t>
  </si>
  <si>
    <t>C62516001</t>
  </si>
  <si>
    <t>A22018042</t>
  </si>
  <si>
    <t>A42517014</t>
  </si>
  <si>
    <t>A19015020</t>
  </si>
  <si>
    <t>A22514035</t>
  </si>
  <si>
    <t>A22510064</t>
  </si>
  <si>
    <t>A19016003</t>
  </si>
  <si>
    <t>A22515018</t>
  </si>
  <si>
    <t>A36017026</t>
  </si>
  <si>
    <t>C57590218</t>
  </si>
  <si>
    <t>E84716003</t>
  </si>
  <si>
    <t>C59018009</t>
  </si>
  <si>
    <t>C61008022</t>
  </si>
  <si>
    <t>A13012018</t>
  </si>
  <si>
    <t>N00007332</t>
  </si>
  <si>
    <t>A30216517</t>
  </si>
  <si>
    <t>B45517009</t>
  </si>
  <si>
    <t>A24814144</t>
  </si>
  <si>
    <t>A14501453</t>
  </si>
  <si>
    <t>A12222021</t>
  </si>
  <si>
    <t>C37514582</t>
  </si>
  <si>
    <t>A36519011</t>
  </si>
  <si>
    <t>C02021009</t>
  </si>
  <si>
    <t>N00007368</t>
  </si>
  <si>
    <t>C60509021</t>
  </si>
  <si>
    <t>B47518444</t>
  </si>
  <si>
    <t>A36010004</t>
  </si>
  <si>
    <t>N00006940</t>
  </si>
  <si>
    <t>A14501762</t>
  </si>
  <si>
    <t>B77113475</t>
  </si>
  <si>
    <t>A17516004</t>
  </si>
  <si>
    <t>C77311051</t>
  </si>
  <si>
    <t>A22517006</t>
  </si>
  <si>
    <t>C28013008</t>
  </si>
  <si>
    <t>E03416012</t>
  </si>
  <si>
    <t>A74011029</t>
  </si>
  <si>
    <t>Residential Facility (+50%)</t>
  </si>
  <si>
    <t>A19016039</t>
  </si>
  <si>
    <t>N00013878</t>
  </si>
  <si>
    <t>C28010011</t>
  </si>
  <si>
    <t>N00007604</t>
  </si>
  <si>
    <t>A23619001</t>
  </si>
  <si>
    <t>N00014377</t>
  </si>
  <si>
    <t>E72415011</t>
  </si>
  <si>
    <t>Separate Day School Facility (+50%)</t>
  </si>
  <si>
    <t>D57010009</t>
  </si>
  <si>
    <t>N00008328</t>
  </si>
  <si>
    <t>E56116122</t>
  </si>
  <si>
    <t>E60713106</t>
  </si>
  <si>
    <t>E86716073</t>
  </si>
  <si>
    <t>BIRTH_DATE</t>
  </si>
  <si>
    <t>AgeonDec1</t>
  </si>
  <si>
    <t>IDEA Eligibility</t>
  </si>
  <si>
    <t>A03515005</t>
  </si>
  <si>
    <t>A03515006</t>
  </si>
  <si>
    <t>A03515007</t>
  </si>
  <si>
    <t>A03515001</t>
  </si>
  <si>
    <t>A03515009</t>
  </si>
  <si>
    <t>A03515022</t>
  </si>
  <si>
    <t>A03515023</t>
  </si>
  <si>
    <t>A03515017</t>
  </si>
  <si>
    <t>A03515021</t>
  </si>
  <si>
    <t>A03515025</t>
  </si>
  <si>
    <t>A03515011</t>
  </si>
  <si>
    <t>A03515014</t>
  </si>
  <si>
    <t>A03515020</t>
  </si>
  <si>
    <t>A03516031</t>
  </si>
  <si>
    <t>A03521006</t>
  </si>
  <si>
    <t>A03521015</t>
  </si>
  <si>
    <t>A03521003</t>
  </si>
  <si>
    <t>A03521010</t>
  </si>
  <si>
    <t>A03521012</t>
  </si>
  <si>
    <t>A03521002</t>
  </si>
  <si>
    <t>A03521008</t>
  </si>
  <si>
    <t>A03521009</t>
  </si>
  <si>
    <t>A03521013</t>
  </si>
  <si>
    <t>A03521016</t>
  </si>
  <si>
    <t>A03521001</t>
  </si>
  <si>
    <t>A03521007</t>
  </si>
  <si>
    <t>A03521004</t>
  </si>
  <si>
    <t>A03521005</t>
  </si>
  <si>
    <t>A03521018</t>
  </si>
  <si>
    <t>A03517014</t>
  </si>
  <si>
    <t>A03517015</t>
  </si>
  <si>
    <t>A03517016</t>
  </si>
  <si>
    <t>A03517017</t>
  </si>
  <si>
    <t>A03517013</t>
  </si>
  <si>
    <t>A03517019</t>
  </si>
  <si>
    <t>A03517021</t>
  </si>
  <si>
    <t>A03517009</t>
  </si>
  <si>
    <t>A03517011</t>
  </si>
  <si>
    <t>A03521017</t>
  </si>
  <si>
    <t>A03517008</t>
  </si>
  <si>
    <t>A03517018</t>
  </si>
  <si>
    <t>A03517001</t>
  </si>
  <si>
    <t>A03517002</t>
  </si>
  <si>
    <t>A03517023</t>
  </si>
  <si>
    <t>A03517024</t>
  </si>
  <si>
    <t>A03517005</t>
  </si>
  <si>
    <t>A03517006</t>
  </si>
  <si>
    <t>A03517007</t>
  </si>
  <si>
    <t>A03517003</t>
  </si>
  <si>
    <t>A03517012</t>
  </si>
  <si>
    <t>A03517020</t>
  </si>
  <si>
    <t>A03517022</t>
  </si>
  <si>
    <t>A03517010</t>
  </si>
  <si>
    <t>A03517025</t>
  </si>
  <si>
    <t>A03521019</t>
  </si>
  <si>
    <t>A03521011</t>
  </si>
  <si>
    <t>A15018043</t>
  </si>
  <si>
    <t>A03518018</t>
  </si>
  <si>
    <t>A03518019</t>
  </si>
  <si>
    <t>A03518020</t>
  </si>
  <si>
    <t>A03518021</t>
  </si>
  <si>
    <t>A03518017</t>
  </si>
  <si>
    <t>A03518022</t>
  </si>
  <si>
    <t>A03518024</t>
  </si>
  <si>
    <t>A03518026</t>
  </si>
  <si>
    <t>A03518030</t>
  </si>
  <si>
    <t>A03518014</t>
  </si>
  <si>
    <t>A03518005</t>
  </si>
  <si>
    <t>A03518023</t>
  </si>
  <si>
    <t>A03518025</t>
  </si>
  <si>
    <t>A03518003</t>
  </si>
  <si>
    <t>A03518002</t>
  </si>
  <si>
    <t>A03518009</t>
  </si>
  <si>
    <t>A03518027</t>
  </si>
  <si>
    <t>A03518006</t>
  </si>
  <si>
    <t>A03518007</t>
  </si>
  <si>
    <t>A03518004</t>
  </si>
  <si>
    <t>A03518010</t>
  </si>
  <si>
    <t>A03518008</t>
  </si>
  <si>
    <t>A03518001</t>
  </si>
  <si>
    <t>A03518011</t>
  </si>
  <si>
    <t>A03518016</t>
  </si>
  <si>
    <t>A03518015</t>
  </si>
  <si>
    <t>A03518032</t>
  </si>
  <si>
    <t>A03522023</t>
  </si>
  <si>
    <t>A03522021</t>
  </si>
  <si>
    <t>A03522004</t>
  </si>
  <si>
    <t>A03522011</t>
  </si>
  <si>
    <t>A03522012</t>
  </si>
  <si>
    <t>A03522006</t>
  </si>
  <si>
    <t>A03522008</t>
  </si>
  <si>
    <t>A03522017</t>
  </si>
  <si>
    <t>A03522014</t>
  </si>
  <si>
    <t>A03522022</t>
  </si>
  <si>
    <t>A03522018</t>
  </si>
  <si>
    <t>A03522009</t>
  </si>
  <si>
    <t>A03522010</t>
  </si>
  <si>
    <t>A03522002</t>
  </si>
  <si>
    <t>A03522019</t>
  </si>
  <si>
    <t>A03522007</t>
  </si>
  <si>
    <t>A03522003</t>
  </si>
  <si>
    <t>A03522005</t>
  </si>
  <si>
    <t>A03522015</t>
  </si>
  <si>
    <t>A03522020</t>
  </si>
  <si>
    <t>A03522013</t>
  </si>
  <si>
    <t>A03522016</t>
  </si>
  <si>
    <t>A03518013</t>
  </si>
  <si>
    <t>A03518028</t>
  </si>
  <si>
    <t>A03518029</t>
  </si>
  <si>
    <t>A03522026</t>
  </si>
  <si>
    <t>A03519002</t>
  </si>
  <si>
    <t>A03519001</t>
  </si>
  <si>
    <t>A03519015</t>
  </si>
  <si>
    <t>A03519006</t>
  </si>
  <si>
    <t>A03519004</t>
  </si>
  <si>
    <t>A03519007</t>
  </si>
  <si>
    <t>A03519012</t>
  </si>
  <si>
    <t>A03519014</t>
  </si>
  <si>
    <t>A03519003</t>
  </si>
  <si>
    <t>A03519005</t>
  </si>
  <si>
    <t>A03519013</t>
  </si>
  <si>
    <t>A03519016</t>
  </si>
  <si>
    <t>A03519008</t>
  </si>
  <si>
    <t>A03519009</t>
  </si>
  <si>
    <t>A03519011</t>
  </si>
  <si>
    <t>A03519018</t>
  </si>
  <si>
    <t>A03519019</t>
  </si>
  <si>
    <t>A03519020</t>
  </si>
  <si>
    <t>A03519022</t>
  </si>
  <si>
    <t>A03522001</t>
  </si>
  <si>
    <t>N00019063</t>
  </si>
  <si>
    <t>A03520012</t>
  </si>
  <si>
    <t>A03520015</t>
  </si>
  <si>
    <t>A03520016</t>
  </si>
  <si>
    <t>A03520007</t>
  </si>
  <si>
    <t>A03520003</t>
  </si>
  <si>
    <t>A03520017</t>
  </si>
  <si>
    <t>A03520006</t>
  </si>
  <si>
    <t>A03520010</t>
  </si>
  <si>
    <t>A03520009</t>
  </si>
  <si>
    <t>A03520001</t>
  </si>
  <si>
    <t>A03520019</t>
  </si>
  <si>
    <t>A03520018</t>
  </si>
  <si>
    <t>A03520013</t>
  </si>
  <si>
    <t>A03520014</t>
  </si>
  <si>
    <t>A03520008</t>
  </si>
  <si>
    <t>A34020016</t>
  </si>
  <si>
    <t>A03520011</t>
  </si>
  <si>
    <t>A03520002</t>
  </si>
  <si>
    <t>A03520004</t>
  </si>
  <si>
    <t>A03520020</t>
  </si>
  <si>
    <t>A04022001</t>
  </si>
  <si>
    <t>A04022004</t>
  </si>
  <si>
    <t>A04022006</t>
  </si>
  <si>
    <t>A04022002</t>
  </si>
  <si>
    <t>A04022003</t>
  </si>
  <si>
    <t>A04022005</t>
  </si>
  <si>
    <t>A04018001</t>
  </si>
  <si>
    <t>A04018002</t>
  </si>
  <si>
    <t>A04018004</t>
  </si>
  <si>
    <t>A04017002</t>
  </si>
  <si>
    <t>A04017003</t>
  </si>
  <si>
    <t>A04017007</t>
  </si>
  <si>
    <t>A04017006</t>
  </si>
  <si>
    <t>A04017010</t>
  </si>
  <si>
    <t>A04017009</t>
  </si>
  <si>
    <t>A04017005</t>
  </si>
  <si>
    <t>A04021001</t>
  </si>
  <si>
    <t>A04021003</t>
  </si>
  <si>
    <t>A04021004</t>
  </si>
  <si>
    <t>A04021005</t>
  </si>
  <si>
    <t>A04021002</t>
  </si>
  <si>
    <t>A04017001</t>
  </si>
  <si>
    <t>A04016002</t>
  </si>
  <si>
    <t>A04016003</t>
  </si>
  <si>
    <t>A04016004</t>
  </si>
  <si>
    <t>A04016006</t>
  </si>
  <si>
    <t>A04016001</t>
  </si>
  <si>
    <t>A04016005</t>
  </si>
  <si>
    <t>A04517046</t>
  </si>
  <si>
    <t>A04015006</t>
  </si>
  <si>
    <t>A04015002</t>
  </si>
  <si>
    <t>A04014004</t>
  </si>
  <si>
    <t>A04014008</t>
  </si>
  <si>
    <t>A04014007</t>
  </si>
  <si>
    <t>A04017014</t>
  </si>
  <si>
    <t>A04017012</t>
  </si>
  <si>
    <t>A04017015</t>
  </si>
  <si>
    <t>A04020009</t>
  </si>
  <si>
    <t>A04020007</t>
  </si>
  <si>
    <t>A04020010</t>
  </si>
  <si>
    <t>A04020005</t>
  </si>
  <si>
    <t>A04020008</t>
  </si>
  <si>
    <t>A04020001</t>
  </si>
  <si>
    <t>A04020003</t>
  </si>
  <si>
    <t>A04020004</t>
  </si>
  <si>
    <t>A04223004</t>
  </si>
  <si>
    <t>A04223002</t>
  </si>
  <si>
    <t>A04223003</t>
  </si>
  <si>
    <t>A04221002</t>
  </si>
  <si>
    <t>A04221001</t>
  </si>
  <si>
    <t>A04221004</t>
  </si>
  <si>
    <t>D23015049</t>
  </si>
  <si>
    <t>D16416001</t>
  </si>
  <si>
    <t>A04515002</t>
  </si>
  <si>
    <t>A04515006</t>
  </si>
  <si>
    <t>A04515003</t>
  </si>
  <si>
    <t>A04515005</t>
  </si>
  <si>
    <t>A04515013</t>
  </si>
  <si>
    <t>A04515018</t>
  </si>
  <si>
    <t>A04515019</t>
  </si>
  <si>
    <t>A04516010</t>
  </si>
  <si>
    <t>A04516017</t>
  </si>
  <si>
    <t>A04516011</t>
  </si>
  <si>
    <t>A04516012</t>
  </si>
  <si>
    <t>A04516013</t>
  </si>
  <si>
    <t>A04516014</t>
  </si>
  <si>
    <t>A04516002</t>
  </si>
  <si>
    <t>A04516003</t>
  </si>
  <si>
    <t>A04516005</t>
  </si>
  <si>
    <t>A04516006</t>
  </si>
  <si>
    <t>A04516020</t>
  </si>
  <si>
    <t>A04516021</t>
  </si>
  <si>
    <t>A04516016</t>
  </si>
  <si>
    <t>A04516023</t>
  </si>
  <si>
    <t>A04517001</t>
  </si>
  <si>
    <t>A04517010</t>
  </si>
  <si>
    <t>A04517019</t>
  </si>
  <si>
    <t>A04517024</t>
  </si>
  <si>
    <t>A04517026</t>
  </si>
  <si>
    <t>A04517035</t>
  </si>
  <si>
    <t>A04517042</t>
  </si>
  <si>
    <t>A04517009</t>
  </si>
  <si>
    <t>A04517011</t>
  </si>
  <si>
    <t>A04517016</t>
  </si>
  <si>
    <t>A04517025</t>
  </si>
  <si>
    <t>A04517027</t>
  </si>
  <si>
    <t>A04517036</t>
  </si>
  <si>
    <t>A04517043</t>
  </si>
  <si>
    <t>A04517003</t>
  </si>
  <si>
    <t>A04517005</t>
  </si>
  <si>
    <t>A04517006</t>
  </si>
  <si>
    <t>A04517021</t>
  </si>
  <si>
    <t>A04517023</t>
  </si>
  <si>
    <t>A04517037</t>
  </si>
  <si>
    <t>A04517038</t>
  </si>
  <si>
    <t>A04517039</t>
  </si>
  <si>
    <t>A04517040</t>
  </si>
  <si>
    <t>A04517014</t>
  </si>
  <si>
    <t>A04517015</t>
  </si>
  <si>
    <t>A55021203</t>
  </si>
  <si>
    <t>A04522003</t>
  </si>
  <si>
    <t>A04522019</t>
  </si>
  <si>
    <t>A04522004</t>
  </si>
  <si>
    <t>A04522015</t>
  </si>
  <si>
    <t>A04522001</t>
  </si>
  <si>
    <t>A04522008</t>
  </si>
  <si>
    <t>A04522005</t>
  </si>
  <si>
    <t>A04522014</t>
  </si>
  <si>
    <t>A04522016</t>
  </si>
  <si>
    <t>A04522021</t>
  </si>
  <si>
    <t>A04522006</t>
  </si>
  <si>
    <t>A04522007</t>
  </si>
  <si>
    <t>A04522017</t>
  </si>
  <si>
    <t>A04522020</t>
  </si>
  <si>
    <t>A04522011</t>
  </si>
  <si>
    <t>A04522013</t>
  </si>
  <si>
    <t>A04522018</t>
  </si>
  <si>
    <t>A04522002</t>
  </si>
  <si>
    <t>A04522010</t>
  </si>
  <si>
    <t>A04522012</t>
  </si>
  <si>
    <t>A04518005</t>
  </si>
  <si>
    <t>A04518006</t>
  </si>
  <si>
    <t>A04518008</t>
  </si>
  <si>
    <t>A04518013</t>
  </si>
  <si>
    <t>A04518016</t>
  </si>
  <si>
    <t>A04518018</t>
  </si>
  <si>
    <t>A04518002</t>
  </si>
  <si>
    <t>A04518004</t>
  </si>
  <si>
    <t>A04518009</t>
  </si>
  <si>
    <t>A04518011</t>
  </si>
  <si>
    <t>A04518001</t>
  </si>
  <si>
    <t>A04518003</t>
  </si>
  <si>
    <t>A04518010</t>
  </si>
  <si>
    <t>A04518019</t>
  </si>
  <si>
    <t>A04519013</t>
  </si>
  <si>
    <t>A04519014</t>
  </si>
  <si>
    <t>A04519029</t>
  </si>
  <si>
    <t>A04519030</t>
  </si>
  <si>
    <t>A04519032</t>
  </si>
  <si>
    <t>A04519004</t>
  </si>
  <si>
    <t>A04519005</t>
  </si>
  <si>
    <t>A04519006</t>
  </si>
  <si>
    <t>A04519022</t>
  </si>
  <si>
    <t>A04519024</t>
  </si>
  <si>
    <t>A04519002</t>
  </si>
  <si>
    <t>A04519009</t>
  </si>
  <si>
    <t>A04519016</t>
  </si>
  <si>
    <t>A04519020</t>
  </si>
  <si>
    <t>A04519025</t>
  </si>
  <si>
    <t>A04519027</t>
  </si>
  <si>
    <t>A04519003</t>
  </si>
  <si>
    <t>A04519008</t>
  </si>
  <si>
    <t>A04519010</t>
  </si>
  <si>
    <t>A04519019</t>
  </si>
  <si>
    <t>A04519026</t>
  </si>
  <si>
    <t>A04017008</t>
  </si>
  <si>
    <t>A04523022</t>
  </si>
  <si>
    <t>A04519031</t>
  </si>
  <si>
    <t>A04523021</t>
  </si>
  <si>
    <t>A04523014</t>
  </si>
  <si>
    <t>A04523002</t>
  </si>
  <si>
    <t>A04523008</t>
  </si>
  <si>
    <t>A04523015</t>
  </si>
  <si>
    <t>A04523011</t>
  </si>
  <si>
    <t>A04523012</t>
  </si>
  <si>
    <t>A04523018</t>
  </si>
  <si>
    <t>A04523016</t>
  </si>
  <si>
    <t>A04523006</t>
  </si>
  <si>
    <t>A04523005</t>
  </si>
  <si>
    <t>A04523001</t>
  </si>
  <si>
    <t>A04523013</t>
  </si>
  <si>
    <t>A04523017</t>
  </si>
  <si>
    <t>A04523004</t>
  </si>
  <si>
    <t>A04523003</t>
  </si>
  <si>
    <t>A04523020</t>
  </si>
  <si>
    <t>A04523010</t>
  </si>
  <si>
    <t>A04523007</t>
  </si>
  <si>
    <t>A04523009</t>
  </si>
  <si>
    <t>A04523019</t>
  </si>
  <si>
    <t>A04520005</t>
  </si>
  <si>
    <t>A04520012</t>
  </si>
  <si>
    <t>A04520014</t>
  </si>
  <si>
    <t>A04520016</t>
  </si>
  <si>
    <t>A04520001</t>
  </si>
  <si>
    <t>A04520002</t>
  </si>
  <si>
    <t>A04520018</t>
  </si>
  <si>
    <t>A04520020</t>
  </si>
  <si>
    <t>A04520008</t>
  </si>
  <si>
    <t>A04520009</t>
  </si>
  <si>
    <t>A04520010</t>
  </si>
  <si>
    <t>A04520011</t>
  </si>
  <si>
    <t>A04520004</t>
  </si>
  <si>
    <t>A04520006</t>
  </si>
  <si>
    <t>A04520015</t>
  </si>
  <si>
    <t>N00019057</t>
  </si>
  <si>
    <t>A04521017</t>
  </si>
  <si>
    <t>A04521003</t>
  </si>
  <si>
    <t>A04521005</t>
  </si>
  <si>
    <t>A04521010</t>
  </si>
  <si>
    <t>A04521012</t>
  </si>
  <si>
    <t>A04521019</t>
  </si>
  <si>
    <t>A04521021</t>
  </si>
  <si>
    <t>A04521030</t>
  </si>
  <si>
    <t>A04521006</t>
  </si>
  <si>
    <t>A04521007</t>
  </si>
  <si>
    <t>A04521008</t>
  </si>
  <si>
    <t>A04521009</t>
  </si>
  <si>
    <t>A04521023</t>
  </si>
  <si>
    <t>A04521024</t>
  </si>
  <si>
    <t>A04521025</t>
  </si>
  <si>
    <t>A04521004</t>
  </si>
  <si>
    <t>A04521011</t>
  </si>
  <si>
    <t>A04521013</t>
  </si>
  <si>
    <t>A04521018</t>
  </si>
  <si>
    <t>A04521020</t>
  </si>
  <si>
    <t>A04521022</t>
  </si>
  <si>
    <t>A04521027</t>
  </si>
  <si>
    <t>A04521029</t>
  </si>
  <si>
    <t>A04521001</t>
  </si>
  <si>
    <t>A04521014</t>
  </si>
  <si>
    <t>A04521015</t>
  </si>
  <si>
    <t>A04521016</t>
  </si>
  <si>
    <t>N00008782</t>
  </si>
  <si>
    <t>A10223001</t>
  </si>
  <si>
    <t>A10223002</t>
  </si>
  <si>
    <t>A10223003</t>
  </si>
  <si>
    <t>A17520006</t>
  </si>
  <si>
    <t>A10420410</t>
  </si>
  <si>
    <t>A10420415</t>
  </si>
  <si>
    <t>A10420408</t>
  </si>
  <si>
    <t>A10420533</t>
  </si>
  <si>
    <t>A10420406</t>
  </si>
  <si>
    <t>A10420409</t>
  </si>
  <si>
    <t>A10420401</t>
  </si>
  <si>
    <t>A10420403</t>
  </si>
  <si>
    <t>A10420503</t>
  </si>
  <si>
    <t>A10420521</t>
  </si>
  <si>
    <t>A10420525</t>
  </si>
  <si>
    <t>A10420607</t>
  </si>
  <si>
    <t>A10420611</t>
  </si>
  <si>
    <t>A10420528</t>
  </si>
  <si>
    <t>A10420530</t>
  </si>
  <si>
    <t>A10420535</t>
  </si>
  <si>
    <t>A10420606</t>
  </si>
  <si>
    <t>A10420614</t>
  </si>
  <si>
    <t>A10420529</t>
  </si>
  <si>
    <t>A10420500</t>
  </si>
  <si>
    <t>A10420502</t>
  </si>
  <si>
    <t>A10420605</t>
  </si>
  <si>
    <t>A18020032</t>
  </si>
  <si>
    <t>A17520003</t>
  </si>
  <si>
    <t>A14502041</t>
  </si>
  <si>
    <t>A10420101</t>
  </si>
  <si>
    <t>A14502006</t>
  </si>
  <si>
    <t>A10419727</t>
  </si>
  <si>
    <t>A10419634</t>
  </si>
  <si>
    <t>A10423743</t>
  </si>
  <si>
    <t>A10423675</t>
  </si>
  <si>
    <t>A10423320</t>
  </si>
  <si>
    <t>A17523003</t>
  </si>
  <si>
    <t>A10423490</t>
  </si>
  <si>
    <t>A10419432</t>
  </si>
  <si>
    <t>A10423031</t>
  </si>
  <si>
    <t>A10423002</t>
  </si>
  <si>
    <t>A10423051</t>
  </si>
  <si>
    <t>A10423201</t>
  </si>
  <si>
    <t>A10423047</t>
  </si>
  <si>
    <t>A10423044</t>
  </si>
  <si>
    <t>A10423306</t>
  </si>
  <si>
    <t>A10423303</t>
  </si>
  <si>
    <t>A10423307</t>
  </si>
  <si>
    <t>A10423225</t>
  </si>
  <si>
    <t>A10423309</t>
  </si>
  <si>
    <t>A10423350</t>
  </si>
  <si>
    <t>A10423011</t>
  </si>
  <si>
    <t>A10423053</t>
  </si>
  <si>
    <t>A10423054</t>
  </si>
  <si>
    <t>A10423013</t>
  </si>
  <si>
    <t>A10423003</t>
  </si>
  <si>
    <t>A10423045</t>
  </si>
  <si>
    <t>A10423021</t>
  </si>
  <si>
    <t>A10422001</t>
  </si>
  <si>
    <t>A10423208</t>
  </si>
  <si>
    <t>A10423020</t>
  </si>
  <si>
    <t>A10423302</t>
  </si>
  <si>
    <t>A10423301</t>
  </si>
  <si>
    <t>A10423310</t>
  </si>
  <si>
    <t>A10423227</t>
  </si>
  <si>
    <t>A10423304</t>
  </si>
  <si>
    <t>A10423305</t>
  </si>
  <si>
    <t>A10423308</t>
  </si>
  <si>
    <t>A10423015</t>
  </si>
  <si>
    <t>A10423050</t>
  </si>
  <si>
    <t>A10423040</t>
  </si>
  <si>
    <t>A10423010</t>
  </si>
  <si>
    <t>A10423030</t>
  </si>
  <si>
    <t>A10423016</t>
  </si>
  <si>
    <t>A10423226</t>
  </si>
  <si>
    <t>A10423300</t>
  </si>
  <si>
    <t>A10423312</t>
  </si>
  <si>
    <t>A10423049</t>
  </si>
  <si>
    <t>A10423052</t>
  </si>
  <si>
    <t>A10423019</t>
  </si>
  <si>
    <t>A10423017</t>
  </si>
  <si>
    <t>A10423018</t>
  </si>
  <si>
    <t>A10423048</t>
  </si>
  <si>
    <t>A10423207</t>
  </si>
  <si>
    <t>A10423042</t>
  </si>
  <si>
    <t>A10423009</t>
  </si>
  <si>
    <t>A10423205</t>
  </si>
  <si>
    <t>A10423014</t>
  </si>
  <si>
    <t>A10423204</t>
  </si>
  <si>
    <t>A10423311</t>
  </si>
  <si>
    <t>A10423228</t>
  </si>
  <si>
    <t>A10423229</t>
  </si>
  <si>
    <t>A10423567</t>
  </si>
  <si>
    <t>A10423434</t>
  </si>
  <si>
    <t>A10423041</t>
  </si>
  <si>
    <t>A13511134</t>
  </si>
  <si>
    <t>A21513009</t>
  </si>
  <si>
    <t>A05012033</t>
  </si>
  <si>
    <t>A24513910</t>
  </si>
  <si>
    <t>A17213155</t>
  </si>
  <si>
    <t>A30282607</t>
  </si>
  <si>
    <t>A36511007</t>
  </si>
  <si>
    <t>A35514029</t>
  </si>
  <si>
    <t>A23512013</t>
  </si>
  <si>
    <t>A23514012</t>
  </si>
  <si>
    <t>A10413048</t>
  </si>
  <si>
    <t>A22011007</t>
  </si>
  <si>
    <t>E53510225</t>
  </si>
  <si>
    <t>A30716602</t>
  </si>
  <si>
    <t>A30716601</t>
  </si>
  <si>
    <t>A14501761</t>
  </si>
  <si>
    <t>E83315001</t>
  </si>
  <si>
    <t>A25016012</t>
  </si>
  <si>
    <t>A20501526</t>
  </si>
  <si>
    <t>A20501520</t>
  </si>
  <si>
    <t>E84915010</t>
  </si>
  <si>
    <t>A23517008</t>
  </si>
  <si>
    <t xml:space="preserve">School Year
Year 1
</t>
  </si>
  <si>
    <t>Children with Disabilities (OSS/EXP &gt; 10 days)</t>
  </si>
  <si>
    <t>All Children with Disabilities</t>
  </si>
  <si>
    <t>Children w/o Disabilities (OSS/EXP &gt; 10 days)</t>
  </si>
  <si>
    <t>All Children without Disabilities</t>
  </si>
  <si>
    <t>Rate Ratio</t>
  </si>
  <si>
    <t>Flagged?</t>
  </si>
  <si>
    <t xml:space="preserve">School Year
Year 2
</t>
  </si>
  <si>
    <t xml:space="preserve">Flagged? </t>
  </si>
  <si>
    <t xml:space="preserve">School Year
Year 3
</t>
  </si>
  <si>
    <t xml:space="preserve"> </t>
  </si>
  <si>
    <t xml:space="preserve">  </t>
  </si>
  <si>
    <t>Identify findings in each racial category</t>
  </si>
  <si>
    <t>American Indian</t>
  </si>
  <si>
    <t>Target Race Children with Disabilities (OSS/EXP &gt; 10 days)</t>
  </si>
  <si>
    <t>Target Race All Children with Disabilities</t>
  </si>
  <si>
    <t>Black</t>
  </si>
  <si>
    <t>Hispanic</t>
  </si>
  <si>
    <t>Multiracial</t>
  </si>
  <si>
    <t>Multracial</t>
  </si>
  <si>
    <t>Native Hawaiian or Other Pacific Islander</t>
  </si>
  <si>
    <t>Native Hawaiian or Other  Pacific Islander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</si>
</sst>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m\-yy"/>
    <numFmt numFmtId="165" formatCode="0.0"/>
    <numFmt numFmtId="166" formatCode="0.000"/>
  </numFmts>
  <fonts count="22">
    <font>
      <sz val="10"/>
      <color rgb="FF000000"/>
      <name val="Arial"/>
      <scheme val="minor"/>
    </font>
    <font>
      <sz val="11"/>
      <color theme="1"/>
      <name val="Arial"/>
      <family val="2"/>
      <scheme val="minor"/>
    </font>
    <font>
      <sz val="11"/>
      <color rgb="FF000000"/>
      <name val="Calibri"/>
    </font>
    <font>
      <sz val="11"/>
      <color rgb="FF000000"/>
      <name val="&quot;Aptos Narrow&quot;"/>
    </font>
    <font>
      <sz val="11"/>
      <color rgb="FF000000"/>
      <name val="Arial"/>
    </font>
    <font>
      <sz val="10"/>
      <color theme="1"/>
      <name val="Arial"/>
      <scheme val="minor"/>
    </font>
    <font>
      <sz val="10"/>
      <color rgb="FF000000"/>
      <name val="Arial"/>
      <scheme val="minor"/>
    </font>
    <font>
      <sz val="11"/>
      <color rgb="FF9C5700"/>
      <name val="Arial"/>
      <family val="2"/>
      <scheme val="minor"/>
    </font>
    <font>
      <b/>
      <sz val="11"/>
      <color rgb="FFFA7D00"/>
      <name val="Arial"/>
      <family val="2"/>
      <scheme val="minor"/>
    </font>
    <font>
      <b/>
      <sz val="11"/>
      <color theme="1"/>
      <name val="Arial"/>
      <family val="2"/>
      <scheme val="minor"/>
    </font>
    <font>
      <sz val="8"/>
      <name val="Arial"/>
      <scheme val="minor"/>
    </font>
    <font>
      <sz val="11"/>
      <color rgb="FF000000"/>
      <name val="Arial"/>
      <family val="2"/>
      <scheme val="minor"/>
    </font>
    <font>
      <sz val="11"/>
      <color rgb="FF000000"/>
      <name val="Calibri"/>
      <family val="2"/>
    </font>
    <font>
      <sz val="11"/>
      <name val="Calibri"/>
      <family val="2"/>
    </font>
    <font>
      <sz val="11"/>
      <color theme="1"/>
      <name val="Calibri"/>
    </font>
    <font>
      <sz val="10"/>
      <color rgb="FF000000"/>
      <name val="Arial"/>
      <family val="2"/>
      <scheme val="minor"/>
    </font>
    <font>
      <sz val="10"/>
      <color theme="1"/>
      <name val="Arial"/>
      <family val="2"/>
      <scheme val="minor"/>
    </font>
    <font>
      <sz val="11"/>
      <color rgb="FF000000"/>
      <name val="Calibri"/>
      <charset val="1"/>
    </font>
    <font>
      <sz val="24"/>
      <color rgb="FF000000"/>
      <name val="Calibri"/>
      <charset val="1"/>
    </font>
    <font>
      <sz val="14"/>
      <color rgb="FF000000"/>
      <name val="Calibri"/>
      <charset val="1"/>
    </font>
    <font>
      <sz val="10"/>
      <color rgb="FF000000"/>
      <name val="Arial"/>
      <charset val="1"/>
    </font>
    <font>
      <i/>
      <sz val="11"/>
      <color rgb="FF000000"/>
      <name val="Calibri"/>
      <charset val="1"/>
    </font>
  </fonts>
  <fills count="14">
    <fill>
      <patternFill patternType="none"/>
    </fill>
    <fill>
      <patternFill patternType="gray125"/>
    </fill>
    <fill>
      <patternFill patternType="solid">
        <fgColor rgb="FFFFEB9C"/>
      </patternFill>
    </fill>
    <fill>
      <patternFill patternType="solid">
        <fgColor rgb="FFF2F2F2"/>
      </patternFill>
    </fill>
    <fill>
      <patternFill patternType="solid">
        <fgColor rgb="FFFFFF00"/>
        <bgColor indexed="64"/>
      </patternFill>
    </fill>
    <fill>
      <patternFill patternType="solid">
        <fgColor theme="6" tint="0.79998168889431442"/>
        <bgColor indexed="64"/>
      </patternFill>
    </fill>
    <fill>
      <patternFill patternType="solid">
        <fgColor rgb="FFAC9CCA"/>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rgb="FFD363BE"/>
        <bgColor indexed="64"/>
      </patternFill>
    </fill>
    <fill>
      <patternFill patternType="solid">
        <fgColor rgb="FFF8783E"/>
        <bgColor indexed="64"/>
      </patternFill>
    </fill>
    <fill>
      <patternFill patternType="solid">
        <fgColor rgb="FF00B0F0"/>
        <bgColor indexed="64"/>
      </patternFill>
    </fill>
    <fill>
      <patternFill patternType="solid">
        <fgColor theme="4" tint="0.39997558519241921"/>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theme="4"/>
      </left>
      <right/>
      <top style="thin">
        <color theme="4"/>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top style="thin">
        <color rgb="FFCCCCCC"/>
      </top>
      <bottom/>
      <diagonal/>
    </border>
    <border>
      <left style="thin">
        <color rgb="FFCCCCCC"/>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s>
  <cellStyleXfs count="4">
    <xf numFmtId="0" fontId="0" fillId="0" borderId="0"/>
    <xf numFmtId="9" fontId="6" fillId="0" borderId="0" applyFont="0" applyFill="0" applyBorder="0" applyAlignment="0" applyProtection="0"/>
    <xf numFmtId="0" fontId="7" fillId="2" borderId="0" applyNumberFormat="0" applyBorder="0" applyAlignment="0" applyProtection="0"/>
    <xf numFmtId="0" fontId="8" fillId="3" borderId="1" applyNumberFormat="0" applyAlignment="0" applyProtection="0"/>
  </cellStyleXfs>
  <cellXfs count="106">
    <xf numFmtId="0" fontId="0" fillId="0" borderId="0" xfId="0"/>
    <xf numFmtId="0" fontId="2" fillId="0" borderId="0" xfId="0" applyFont="1"/>
    <xf numFmtId="0" fontId="2" fillId="0" borderId="0" xfId="0" applyFont="1" applyAlignment="1">
      <alignment horizontal="right"/>
    </xf>
    <xf numFmtId="0" fontId="3" fillId="0" borderId="0" xfId="0" applyFont="1"/>
    <xf numFmtId="0" fontId="4" fillId="0" borderId="0" xfId="0" applyFont="1" applyAlignment="1">
      <alignment horizontal="right"/>
    </xf>
    <xf numFmtId="0" fontId="3" fillId="0" borderId="0" xfId="0" applyFont="1" applyAlignment="1">
      <alignment horizontal="right"/>
    </xf>
    <xf numFmtId="15" fontId="3" fillId="0" borderId="0" xfId="0" applyNumberFormat="1" applyFont="1" applyAlignment="1">
      <alignment horizontal="right"/>
    </xf>
    <xf numFmtId="0" fontId="3" fillId="0" borderId="0" xfId="0" applyFont="1" applyAlignment="1">
      <alignment horizontal="center"/>
    </xf>
    <xf numFmtId="11" fontId="3" fillId="0" borderId="0" xfId="0" applyNumberFormat="1" applyFont="1" applyAlignment="1">
      <alignment horizontal="right"/>
    </xf>
    <xf numFmtId="164" fontId="3" fillId="0" borderId="0" xfId="0" applyNumberFormat="1" applyFont="1" applyAlignment="1">
      <alignment horizontal="right"/>
    </xf>
    <xf numFmtId="14" fontId="3" fillId="0" borderId="0" xfId="0" applyNumberFormat="1" applyFont="1" applyAlignment="1">
      <alignment horizontal="right"/>
    </xf>
    <xf numFmtId="1" fontId="2" fillId="0" borderId="0" xfId="0" applyNumberFormat="1" applyFont="1" applyAlignment="1">
      <alignment horizontal="right"/>
    </xf>
    <xf numFmtId="9" fontId="0" fillId="0" borderId="0" xfId="1" applyFont="1"/>
    <xf numFmtId="0" fontId="11" fillId="0" borderId="0" xfId="0" applyFont="1"/>
    <xf numFmtId="0" fontId="11" fillId="0" borderId="2" xfId="0" applyFont="1" applyBorder="1"/>
    <xf numFmtId="0" fontId="9" fillId="4" borderId="1" xfId="3" applyFont="1" applyFill="1"/>
    <xf numFmtId="165" fontId="0" fillId="0" borderId="0" xfId="0" applyNumberFormat="1"/>
    <xf numFmtId="0" fontId="13" fillId="4" borderId="0" xfId="0" applyFont="1" applyFill="1"/>
    <xf numFmtId="0" fontId="12" fillId="0" borderId="0" xfId="0" applyFont="1" applyAlignment="1">
      <alignment horizontal="right"/>
    </xf>
    <xf numFmtId="1" fontId="3" fillId="0" borderId="0" xfId="0" applyNumberFormat="1" applyFont="1"/>
    <xf numFmtId="1" fontId="0" fillId="0" borderId="0" xfId="0" applyNumberFormat="1"/>
    <xf numFmtId="166" fontId="11" fillId="0" borderId="0" xfId="0" applyNumberFormat="1" applyFont="1"/>
    <xf numFmtId="166" fontId="11" fillId="0" borderId="2" xfId="0" applyNumberFormat="1" applyFont="1" applyBorder="1"/>
    <xf numFmtId="166" fontId="0" fillId="0" borderId="0" xfId="0" applyNumberFormat="1"/>
    <xf numFmtId="0" fontId="0" fillId="0" borderId="0" xfId="0" applyAlignment="1">
      <alignment horizontal="center"/>
    </xf>
    <xf numFmtId="0" fontId="11" fillId="5" borderId="2" xfId="0" applyFont="1" applyFill="1" applyBorder="1"/>
    <xf numFmtId="165" fontId="11" fillId="5" borderId="2" xfId="0" applyNumberFormat="1" applyFont="1" applyFill="1" applyBorder="1"/>
    <xf numFmtId="0" fontId="11" fillId="5" borderId="0" xfId="0" applyFont="1" applyFill="1"/>
    <xf numFmtId="166" fontId="11" fillId="5" borderId="0" xfId="0" applyNumberFormat="1" applyFont="1" applyFill="1"/>
    <xf numFmtId="0" fontId="14" fillId="0" borderId="6" xfId="0" applyFont="1" applyBorder="1"/>
    <xf numFmtId="0" fontId="15" fillId="0" borderId="0" xfId="0" applyFont="1"/>
    <xf numFmtId="0" fontId="5" fillId="0" borderId="0" xfId="0" applyFont="1"/>
    <xf numFmtId="0" fontId="2" fillId="0" borderId="0" xfId="0" applyFont="1" applyProtection="1">
      <protection locked="0"/>
    </xf>
    <xf numFmtId="0" fontId="2" fillId="0" borderId="0" xfId="0" applyFont="1" applyAlignment="1" applyProtection="1">
      <alignment horizontal="right"/>
      <protection locked="0"/>
    </xf>
    <xf numFmtId="1" fontId="2" fillId="0" borderId="0" xfId="0" applyNumberFormat="1" applyFont="1" applyAlignment="1" applyProtection="1">
      <alignment horizontal="right"/>
      <protection locked="0"/>
    </xf>
    <xf numFmtId="1" fontId="2" fillId="0" borderId="0" xfId="0" applyNumberFormat="1" applyFont="1" applyProtection="1">
      <protection locked="0"/>
    </xf>
    <xf numFmtId="0" fontId="12" fillId="0" borderId="0" xfId="0" applyFont="1" applyAlignment="1" applyProtection="1">
      <alignment horizontal="right"/>
      <protection locked="0"/>
    </xf>
    <xf numFmtId="0" fontId="0" fillId="0" borderId="0" xfId="0" applyProtection="1">
      <protection locked="0"/>
    </xf>
    <xf numFmtId="1" fontId="2" fillId="0" borderId="0" xfId="0" applyNumberFormat="1" applyFont="1" applyProtection="1">
      <protection locked="0" hidden="1"/>
    </xf>
    <xf numFmtId="0" fontId="2" fillId="0" borderId="0" xfId="0" applyFont="1" applyProtection="1">
      <protection locked="0" hidden="1"/>
    </xf>
    <xf numFmtId="0" fontId="16" fillId="0" borderId="0" xfId="0" applyFont="1"/>
    <xf numFmtId="0" fontId="15" fillId="0" borderId="0" xfId="0" applyFont="1" applyAlignment="1">
      <alignment horizontal="right"/>
    </xf>
    <xf numFmtId="166" fontId="5" fillId="0" borderId="0" xfId="0" applyNumberFormat="1" applyFont="1"/>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7" fillId="0" borderId="7" xfId="0" applyFont="1" applyBorder="1" applyAlignment="1">
      <alignment readingOrder="1"/>
    </xf>
    <xf numFmtId="0" fontId="17" fillId="0" borderId="8" xfId="0" applyFont="1" applyBorder="1" applyAlignment="1">
      <alignment readingOrder="1"/>
    </xf>
    <xf numFmtId="0" fontId="17" fillId="0" borderId="9" xfId="0" applyFont="1" applyBorder="1" applyAlignment="1">
      <alignment readingOrder="1"/>
    </xf>
    <xf numFmtId="0" fontId="17" fillId="0" borderId="10" xfId="0" applyFont="1" applyBorder="1" applyAlignment="1">
      <alignment readingOrder="1"/>
    </xf>
    <xf numFmtId="0" fontId="17" fillId="0" borderId="11" xfId="0" applyFont="1" applyBorder="1" applyAlignment="1">
      <alignment readingOrder="1"/>
    </xf>
    <xf numFmtId="0" fontId="17" fillId="0" borderId="12" xfId="0" applyFont="1" applyBorder="1" applyAlignment="1">
      <alignment readingOrder="1"/>
    </xf>
    <xf numFmtId="0" fontId="18" fillId="0" borderId="11" xfId="0" applyFont="1" applyBorder="1" applyAlignment="1">
      <alignment readingOrder="1"/>
    </xf>
    <xf numFmtId="0" fontId="17" fillId="0" borderId="13" xfId="0" applyFont="1" applyBorder="1" applyAlignment="1">
      <alignment readingOrder="1"/>
    </xf>
    <xf numFmtId="0" fontId="17" fillId="0" borderId="14" xfId="0" applyFont="1" applyBorder="1" applyAlignment="1">
      <alignment readingOrder="1"/>
    </xf>
    <xf numFmtId="0" fontId="17" fillId="0" borderId="25" xfId="0" applyFont="1" applyBorder="1" applyAlignment="1">
      <alignment readingOrder="1"/>
    </xf>
    <xf numFmtId="0" fontId="1" fillId="4" borderId="1" xfId="2" applyFont="1" applyFill="1" applyBorder="1" applyProtection="1"/>
    <xf numFmtId="0" fontId="1" fillId="0" borderId="0" xfId="0" applyFont="1" applyAlignment="1">
      <alignment horizontal="center"/>
    </xf>
    <xf numFmtId="0" fontId="1" fillId="0" borderId="2" xfId="0" applyFont="1" applyBorder="1" applyAlignment="1">
      <alignment horizontal="center"/>
    </xf>
    <xf numFmtId="0" fontId="1" fillId="0" borderId="2" xfId="0" applyFont="1" applyBorder="1"/>
    <xf numFmtId="166" fontId="1" fillId="0" borderId="2" xfId="0" applyNumberFormat="1" applyFont="1" applyBorder="1"/>
    <xf numFmtId="166" fontId="1" fillId="0" borderId="2" xfId="0" applyNumberFormat="1" applyFont="1" applyBorder="1" applyAlignment="1">
      <alignment horizontal="center"/>
    </xf>
    <xf numFmtId="0" fontId="1" fillId="0" borderId="3" xfId="0" applyFont="1" applyBorder="1"/>
    <xf numFmtId="0" fontId="1" fillId="6" borderId="0" xfId="0" applyFont="1" applyFill="1" applyAlignment="1">
      <alignment horizontal="center"/>
    </xf>
    <xf numFmtId="0" fontId="1" fillId="0" borderId="2" xfId="0" applyFont="1" applyBorder="1" applyAlignment="1">
      <alignment wrapText="1"/>
    </xf>
    <xf numFmtId="166" fontId="1" fillId="0" borderId="2" xfId="0" applyNumberFormat="1" applyFont="1" applyBorder="1" applyAlignment="1">
      <alignment horizontal="center" wrapText="1"/>
    </xf>
    <xf numFmtId="0" fontId="1" fillId="6" borderId="2" xfId="0" applyFont="1" applyFill="1" applyBorder="1" applyAlignment="1">
      <alignment horizontal="center"/>
    </xf>
    <xf numFmtId="0" fontId="1" fillId="7" borderId="2" xfId="0" applyFont="1" applyFill="1" applyBorder="1" applyAlignment="1">
      <alignment horizontal="center"/>
    </xf>
    <xf numFmtId="0" fontId="1" fillId="8" borderId="2" xfId="0" applyFont="1" applyFill="1" applyBorder="1" applyAlignment="1">
      <alignment horizontal="center"/>
    </xf>
    <xf numFmtId="0" fontId="1" fillId="9" borderId="2" xfId="0" applyFont="1" applyFill="1" applyBorder="1" applyAlignment="1">
      <alignment horizontal="center"/>
    </xf>
    <xf numFmtId="0" fontId="1" fillId="10" borderId="2" xfId="0" applyFont="1" applyFill="1" applyBorder="1" applyAlignment="1">
      <alignment horizontal="center"/>
    </xf>
    <xf numFmtId="0" fontId="1" fillId="11" borderId="2" xfId="0" applyFont="1" applyFill="1" applyBorder="1" applyAlignment="1">
      <alignment horizontal="center"/>
    </xf>
    <xf numFmtId="0" fontId="1" fillId="12" borderId="2" xfId="0" applyFont="1" applyFill="1" applyBorder="1" applyAlignment="1">
      <alignment horizontal="center"/>
    </xf>
    <xf numFmtId="0" fontId="20" fillId="11" borderId="14" xfId="0" applyFont="1" applyFill="1" applyBorder="1" applyAlignment="1">
      <alignment horizontal="center" wrapText="1" readingOrder="1"/>
    </xf>
    <xf numFmtId="0" fontId="20" fillId="11" borderId="14" xfId="0" applyFont="1" applyFill="1" applyBorder="1" applyAlignment="1">
      <alignment wrapText="1" readingOrder="1"/>
    </xf>
    <xf numFmtId="0" fontId="20" fillId="12" borderId="14" xfId="0" applyFont="1" applyFill="1" applyBorder="1" applyAlignment="1">
      <alignment horizontal="center" wrapText="1" readingOrder="1"/>
    </xf>
    <xf numFmtId="0" fontId="20" fillId="12" borderId="14" xfId="0" applyFont="1" applyFill="1" applyBorder="1" applyAlignment="1">
      <alignment wrapText="1" readingOrder="1"/>
    </xf>
    <xf numFmtId="0" fontId="20" fillId="10" borderId="14" xfId="0" applyFont="1" applyFill="1" applyBorder="1" applyAlignment="1">
      <alignment horizontal="center" wrapText="1" readingOrder="1"/>
    </xf>
    <xf numFmtId="0" fontId="20" fillId="10" borderId="14" xfId="0" applyFont="1" applyFill="1" applyBorder="1" applyAlignment="1">
      <alignment wrapText="1" readingOrder="1"/>
    </xf>
    <xf numFmtId="0" fontId="20" fillId="9" borderId="14" xfId="0" applyFont="1" applyFill="1" applyBorder="1" applyAlignment="1">
      <alignment horizontal="center" wrapText="1" readingOrder="1"/>
    </xf>
    <xf numFmtId="0" fontId="20" fillId="9" borderId="14" xfId="0" applyFont="1" applyFill="1" applyBorder="1" applyAlignment="1">
      <alignment wrapText="1" readingOrder="1"/>
    </xf>
    <xf numFmtId="0" fontId="20" fillId="8" borderId="14" xfId="0" applyFont="1" applyFill="1" applyBorder="1" applyAlignment="1">
      <alignment horizontal="center" wrapText="1" readingOrder="1"/>
    </xf>
    <xf numFmtId="0" fontId="20" fillId="8" borderId="14" xfId="0" applyFont="1" applyFill="1" applyBorder="1" applyAlignment="1">
      <alignment wrapText="1" readingOrder="1"/>
    </xf>
    <xf numFmtId="0" fontId="20" fillId="13" borderId="14" xfId="0" applyFont="1" applyFill="1" applyBorder="1" applyAlignment="1">
      <alignment horizontal="center" wrapText="1" readingOrder="1"/>
    </xf>
    <xf numFmtId="0" fontId="20" fillId="13" borderId="14" xfId="0" applyFont="1" applyFill="1" applyBorder="1" applyAlignment="1">
      <alignment wrapText="1" readingOrder="1"/>
    </xf>
    <xf numFmtId="0" fontId="20" fillId="6" borderId="14" xfId="0" applyFont="1" applyFill="1" applyBorder="1" applyAlignment="1">
      <alignment horizontal="center" wrapText="1" readingOrder="1"/>
    </xf>
    <xf numFmtId="0" fontId="20" fillId="6" borderId="14" xfId="0" applyFont="1" applyFill="1" applyBorder="1" applyAlignment="1">
      <alignment wrapText="1" readingOrder="1"/>
    </xf>
    <xf numFmtId="0" fontId="21" fillId="0" borderId="11" xfId="0" applyFont="1" applyBorder="1" applyAlignment="1">
      <alignment readingOrder="1"/>
    </xf>
    <xf numFmtId="0" fontId="1" fillId="4" borderId="2" xfId="0" applyFont="1" applyFill="1" applyBorder="1" applyAlignment="1">
      <alignment horizontal="center"/>
    </xf>
    <xf numFmtId="166" fontId="1" fillId="4" borderId="2" xfId="0" applyNumberFormat="1" applyFont="1" applyFill="1" applyBorder="1" applyAlignment="1">
      <alignment horizontal="center"/>
    </xf>
    <xf numFmtId="0" fontId="11" fillId="4" borderId="2" xfId="0" applyFont="1" applyFill="1" applyBorder="1" applyAlignment="1">
      <alignment horizontal="center"/>
    </xf>
    <xf numFmtId="0" fontId="1" fillId="4" borderId="2" xfId="0" applyFont="1" applyFill="1" applyBorder="1" applyAlignment="1">
      <alignment horizontal="center" wrapText="1"/>
    </xf>
    <xf numFmtId="166" fontId="1" fillId="4" borderId="2" xfId="0" applyNumberFormat="1" applyFont="1" applyFill="1" applyBorder="1" applyAlignment="1">
      <alignment horizontal="center" wrapText="1"/>
    </xf>
    <xf numFmtId="0" fontId="1" fillId="4" borderId="2" xfId="0" applyFont="1" applyFill="1" applyBorder="1"/>
    <xf numFmtId="14" fontId="3" fillId="0" borderId="0" xfId="0" applyNumberFormat="1" applyFont="1"/>
    <xf numFmtId="0" fontId="19" fillId="0" borderId="16" xfId="0" applyFont="1" applyBorder="1" applyAlignment="1">
      <alignment vertical="top" wrapText="1" readingOrder="1"/>
    </xf>
    <xf numFmtId="0" fontId="19" fillId="0" borderId="15" xfId="0" applyFont="1" applyBorder="1" applyAlignment="1">
      <alignment vertical="top" wrapText="1" readingOrder="1"/>
    </xf>
    <xf numFmtId="0" fontId="19" fillId="0" borderId="17" xfId="0" applyFont="1" applyBorder="1" applyAlignment="1">
      <alignment vertical="top" wrapText="1" readingOrder="1"/>
    </xf>
    <xf numFmtId="0" fontId="19" fillId="0" borderId="18" xfId="0" applyFont="1" applyBorder="1" applyAlignment="1">
      <alignment vertical="top" wrapText="1" readingOrder="1"/>
    </xf>
    <xf numFmtId="0" fontId="19" fillId="0" borderId="0" xfId="0" applyFont="1" applyAlignment="1">
      <alignment vertical="top" wrapText="1" readingOrder="1"/>
    </xf>
    <xf numFmtId="0" fontId="19" fillId="0" borderId="19" xfId="0" applyFont="1" applyBorder="1" applyAlignment="1">
      <alignment vertical="top" wrapText="1" readingOrder="1"/>
    </xf>
    <xf numFmtId="0" fontId="19" fillId="0" borderId="20" xfId="0" applyFont="1" applyBorder="1" applyAlignment="1">
      <alignment vertical="top" wrapText="1" readingOrder="1"/>
    </xf>
    <xf numFmtId="0" fontId="19" fillId="0" borderId="21" xfId="0" applyFont="1" applyBorder="1" applyAlignment="1">
      <alignment vertical="top" wrapText="1" readingOrder="1"/>
    </xf>
    <xf numFmtId="0" fontId="19" fillId="0" borderId="22" xfId="0" applyFont="1" applyBorder="1" applyAlignment="1">
      <alignment vertical="top" wrapText="1" readingOrder="1"/>
    </xf>
    <xf numFmtId="0" fontId="17" fillId="0" borderId="23" xfId="0" applyFont="1" applyBorder="1" applyAlignment="1">
      <alignment horizontal="center" readingOrder="1"/>
    </xf>
    <xf numFmtId="0" fontId="17" fillId="0" borderId="24" xfId="0" applyFont="1" applyBorder="1" applyAlignment="1">
      <alignment horizontal="center" readingOrder="1"/>
    </xf>
  </cellXfs>
  <cellStyles count="4">
    <cellStyle name="Calculation" xfId="3" builtinId="22"/>
    <cellStyle name="Neutral" xfId="2" builtinId="28"/>
    <cellStyle name="Normal" xfId="0" builtinId="0"/>
    <cellStyle name="Percent" xfId="1" builtinId="5"/>
  </cellStyles>
  <dxfs count="104">
    <dxf>
      <font>
        <color theme="5"/>
      </font>
    </dxf>
    <dxf>
      <font>
        <color theme="5"/>
      </font>
    </dxf>
    <dxf>
      <font>
        <color rgb="FFFF0000"/>
      </font>
    </dxf>
    <dxf>
      <numFmt numFmtId="0" formatCode="General"/>
    </dxf>
    <dxf>
      <numFmt numFmtId="0" formatCode="General"/>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numFmt numFmtId="0" formatCode="General"/>
    </dxf>
    <dxf>
      <numFmt numFmtId="0" formatCode="General"/>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 formatCode="0"/>
    </dxf>
    <dxf>
      <font>
        <b val="0"/>
        <i val="0"/>
        <strike val="0"/>
        <condense val="0"/>
        <extend val="0"/>
        <outline val="0"/>
        <shadow val="0"/>
        <u val="none"/>
        <vertAlign val="baseline"/>
        <sz val="11"/>
        <color rgb="FF000000"/>
        <name val="&quot;Aptos Narrow&quot;"/>
        <scheme val="none"/>
      </font>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numFmt numFmtId="0" formatCode="General"/>
    </dxf>
    <dxf>
      <font>
        <b val="0"/>
        <i val="0"/>
        <strike val="0"/>
        <condense val="0"/>
        <extend val="0"/>
        <outline val="0"/>
        <shadow val="0"/>
        <u val="none"/>
        <vertAlign val="baseline"/>
        <sz val="11"/>
        <color rgb="FF000000"/>
        <name val="&quot;Aptos Narrow&quot;"/>
        <scheme val="none"/>
      </font>
      <numFmt numFmtId="0" formatCode="General"/>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 formatCode="0"/>
    </dxf>
    <dxf>
      <font>
        <b val="0"/>
        <i val="0"/>
        <strike val="0"/>
        <condense val="0"/>
        <extend val="0"/>
        <outline val="0"/>
        <shadow val="0"/>
        <u val="none"/>
        <vertAlign val="baseline"/>
        <sz val="11"/>
        <color rgb="FF000000"/>
        <name val="&quot;Aptos Narrow&quot;"/>
        <scheme val="none"/>
      </font>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numFmt numFmtId="20" formatCode="d\-mmm\-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numFmt numFmtId="20" formatCode="d\-mmm\-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numFmt numFmtId="20" formatCode="d\-mmm\-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9" formatCode="m/d/yyyy"/>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Calibri"/>
        <scheme val="none"/>
      </font>
      <numFmt numFmtId="0" formatCode="General"/>
    </dxf>
    <dxf>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0" formatCode="General"/>
    </dxf>
    <dxf>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0" formatCode="General"/>
      <protection locked="0" hidden="0"/>
    </dxf>
    <dxf>
      <numFmt numFmtId="0" formatCode="General"/>
      <protection locked="0" hidden="0"/>
    </dxf>
    <dxf>
      <font>
        <b val="0"/>
        <i val="0"/>
        <strike val="0"/>
        <condense val="0"/>
        <extend val="0"/>
        <outline val="0"/>
        <shadow val="0"/>
        <u val="none"/>
        <vertAlign val="baseline"/>
        <sz val="11"/>
        <color rgb="FF000000"/>
        <name val="Calibri"/>
        <scheme val="none"/>
      </font>
      <numFmt numFmtId="0" formatCode="General"/>
      <protection locked="0" hidden="0"/>
    </dxf>
    <dxf>
      <font>
        <b val="0"/>
        <i val="0"/>
        <strike val="0"/>
        <condense val="0"/>
        <extend val="0"/>
        <outline val="0"/>
        <shadow val="0"/>
        <u val="none"/>
        <vertAlign val="baseline"/>
        <sz val="11"/>
        <color rgb="FF000000"/>
        <name val="Calibri"/>
        <scheme val="none"/>
      </font>
      <numFmt numFmtId="0" formatCode="General"/>
      <protection locked="0" hidden="0"/>
    </dxf>
    <dxf>
      <font>
        <b val="0"/>
        <i val="0"/>
        <strike val="0"/>
        <condense val="0"/>
        <extend val="0"/>
        <outline val="0"/>
        <shadow val="0"/>
        <u val="none"/>
        <vertAlign val="baseline"/>
        <sz val="11"/>
        <color rgb="FF000000"/>
        <name val="Calibri"/>
        <scheme val="none"/>
      </font>
      <numFmt numFmtId="0" formatCode="General"/>
      <protection locked="0" hidden="0"/>
    </dxf>
    <dxf>
      <font>
        <b val="0"/>
        <i val="0"/>
        <strike val="0"/>
        <condense val="0"/>
        <extend val="0"/>
        <outline val="0"/>
        <shadow val="0"/>
        <u val="none"/>
        <vertAlign val="baseline"/>
        <sz val="11"/>
        <color rgb="FF000000"/>
        <name val="Calibri"/>
        <scheme val="none"/>
      </font>
      <numFmt numFmtId="1" formatCode="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numFmt numFmtId="1" formatCode="0"/>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dxf>
  </dxfs>
  <tableStyles count="0" defaultTableStyle="TableStyleMedium2" defaultPivotStyle="PivotStyleLight16"/>
  <colors>
    <mruColors>
      <color rgb="FFAC9CCA"/>
      <color rgb="FFD363BE"/>
      <color rgb="FFF87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1775460</xdr:colOff>
      <xdr:row>15</xdr:row>
      <xdr:rowOff>30480</xdr:rowOff>
    </xdr:from>
    <xdr:ext cx="4053840" cy="792480"/>
    <xdr:sp macro="" textlink="">
      <xdr:nvSpPr>
        <xdr:cNvPr id="2" name="TextBox 1">
          <a:extLst>
            <a:ext uri="{FF2B5EF4-FFF2-40B4-BE49-F238E27FC236}">
              <a16:creationId xmlns:a16="http://schemas.microsoft.com/office/drawing/2014/main" id="{971051FD-E462-862C-4199-AA94315912DF}"/>
            </a:ext>
          </a:extLst>
        </xdr:cNvPr>
        <xdr:cNvSpPr txBox="1"/>
      </xdr:nvSpPr>
      <xdr:spPr>
        <a:xfrm>
          <a:off x="5074920" y="3931920"/>
          <a:ext cx="4053840" cy="792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State sets a threshold for significant discrepancy.Which is 2 if the rate ratio is greater than 2, LEA will identify as findings if they flagged yes for 3 consecutive</a:t>
          </a:r>
          <a:r>
            <a:rPr lang="en-US" sz="1100" baseline="0"/>
            <a:t> years.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F017F-AD1B-4401-9C71-90D55CC23E59}" name="ES_1" displayName="ES_1" ref="A2:N181" totalsRowShown="0" headerRowDxfId="103" dataDxfId="102">
  <autoFilter ref="A2:N181" xr:uid="{00000000-0009-0000-0000-000000000000}"/>
  <sortState xmlns:xlrd2="http://schemas.microsoft.com/office/spreadsheetml/2017/richdata2" ref="A22:N181">
    <sortCondition ref="A2:A181"/>
  </sortState>
  <tableColumns count="14">
    <tableColumn id="2" xr3:uid="{7D90B111-FB4E-4A24-9210-84C8663F7E41}" name="STN" dataDxfId="101"/>
    <tableColumn id="3" xr3:uid="{5FDCAB88-7EA7-4145-89A3-C44B49D22563}" name="GRADE_CODE" dataDxfId="100"/>
    <tableColumn id="4" xr3:uid="{0748EC09-6ED0-4F0B-BCEB-1650377B608E}" name="TYPE_EX_SU" dataDxfId="99"/>
    <tableColumn id="5" xr3:uid="{C30B6DB4-891B-4C28-9735-4012521F1F75}" name="DISCIPLINE_TYPE" dataDxfId="98"/>
    <tableColumn id="6" xr3:uid="{F6C3F6FD-4A81-4832-843B-2074E76F3E6E}" name="DISCIPLINE_REASON_ID" dataDxfId="97"/>
    <tableColumn id="7" xr3:uid="{6EA74897-5167-404B-A1D7-22E7A3334D72}" name="DISCIPLINE_REASON" dataDxfId="96"/>
    <tableColumn id="8" xr3:uid="{295E7C46-9936-4EA5-AFF9-DF8CCFAA9DE9}" name="LENGTH_EX_SU" dataDxfId="95"/>
    <tableColumn id="9" xr3:uid="{4407A90E-654E-4700-99AF-4F8920E3FC79}" name="SPECIAL_ED" dataDxfId="94"/>
    <tableColumn id="1" xr3:uid="{9E8F5B2E-CDA3-447C-A151-7EC508B0C29F}" name="Count Exp/Sus" dataDxfId="93">
      <calculatedColumnFormula>SUMIFS(ES_1[LENGTH_EX_SU],ES_1[STN],ES_1[[#This Row],[STN]],ES_1[DISCIPLINE_TYPE],"Out-of-School Suspension")+SUMIFS(ES_1[LENGTH_EX_SU],ES_1[STN],ES_1[[#This Row],[STN]],ES_1[DISCIPLINE_TYPE],"Expulsion")</calculatedColumnFormula>
    </tableColumn>
    <tableColumn id="10" xr3:uid="{57BD8927-68C9-4D1A-AD76-DCF74F079792}" name="Included Exp/Sus" dataDxfId="92">
      <calculatedColumnFormula>IF(ES_1[[#This Row],[Count Exp/Sus]]&gt;10,1,0)</calculatedColumnFormula>
    </tableColumn>
    <tableColumn id="14" xr3:uid="{3B6A1F61-6933-4408-A695-BABC92624406}" name="Unique Exp/Sus" dataDxfId="91">
      <calculatedColumnFormula>TRIM(IF(J3=1,A3 &amp;"-included",0))</calculatedColumnFormula>
    </tableColumn>
    <tableColumn id="15" xr3:uid="{28AEE55B-62CB-4452-9A33-B331C5085F68}" name="Helper Col" dataDxfId="90">
      <calculatedColumnFormula>IF(J3=1,IF(COUNTIFS($A$3:A3,A3,J$3:J3,1)=1,A3&amp;"-included",0),0)</calculatedColumnFormula>
    </tableColumn>
    <tableColumn id="16" xr3:uid="{2562D4F6-4864-4354-8A2A-DF214FEAFC26}" name="Unique Count" dataDxfId="89">
      <calculatedColumnFormula array="1">IF(ES_1[[#This Row],[Included Exp/Sus]]=1,IF(SUMPRODUCT((ES_1[STN]=ES_1[[#This Row],[STN]])*(ES_1[Included Exp/Sus]=1)*(ROW(ES_1[STN])&lt;=ROW()))=1,1,0),0)</calculatedColumnFormula>
    </tableColumn>
    <tableColumn id="19" xr3:uid="{CB0F97C5-2471-4ED6-9F55-B5F334614D80}" name="Ethnicity" dataDxfId="88">
      <calculatedColumnFormula>_xlfn.XLOOKUP(ES_1[[#This Row],[STN]],SE_1[STN],SE_1[Ethnicity],"",0)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6B6076-CA11-4238-8D93-B06E5B2C87D8}" name="ES_2" displayName="ES_2" ref="A2:N184" totalsRowShown="0" headerRowDxfId="87" dataDxfId="86">
  <autoFilter ref="A2:N184" xr:uid="{00000000-0009-0000-0000-000001000000}"/>
  <sortState xmlns:xlrd2="http://schemas.microsoft.com/office/spreadsheetml/2017/richdata2" ref="A3:N184">
    <sortCondition ref="A3:A178"/>
  </sortState>
  <tableColumns count="14">
    <tableColumn id="2" xr3:uid="{2DFF4CAE-92E4-45EB-AA4B-01201E8E1C0E}" name="STN" dataDxfId="85"/>
    <tableColumn id="3" xr3:uid="{FF02ABF2-CB1F-4B87-89AA-90990CEA7065}" name="GRADE_CODE" dataDxfId="84"/>
    <tableColumn id="4" xr3:uid="{B2FBF2BC-AE70-422F-B1BB-AEF939E770A7}" name="TYPE_EX_SU" dataDxfId="83"/>
    <tableColumn id="5" xr3:uid="{B6130998-FF91-4B45-A421-D5F0C4780F61}" name="DISCIPLINE_TYPE" dataDxfId="82"/>
    <tableColumn id="6" xr3:uid="{917A5694-B49E-40FB-A40B-00C3C88A1B86}" name="DISCIPLINE_REASON_ID" dataDxfId="81"/>
    <tableColumn id="7" xr3:uid="{2E6628DC-7D01-4796-9EDD-41E24D6AD66D}" name="DISCIPLINE_REASON" dataDxfId="80"/>
    <tableColumn id="8" xr3:uid="{A1065213-6E75-40D3-9D10-EC307F9726B7}" name="LENGTH_EX_SU" dataDxfId="79"/>
    <tableColumn id="9" xr3:uid="{5F514B06-2CE2-476F-830F-3D92FC4941DC}" name="SPECIAL_ED" dataDxfId="78"/>
    <tableColumn id="10" xr3:uid="{8F105FF2-9F31-49C6-AAC5-78332D4C4781}" name="Count Exp/Sus" dataDxfId="77">
      <calculatedColumnFormula>SUMIFS(ES_2[LENGTH_EX_SU],ES_2[STN],ES_2[[#This Row],[STN]],ES_2[DISCIPLINE_TYPE],"Out-of-School Suspension")+SUMIFS(ES_2[LENGTH_EX_SU],ES_2[STN],ES_2[[#This Row],[STN]],ES_2[DISCIPLINE_TYPE],"Expulsion")</calculatedColumnFormula>
    </tableColumn>
    <tableColumn id="1" xr3:uid="{FEEEF191-CC6C-4C23-A839-7ECF81521557}" name="Included Exp/Sus" dataDxfId="76">
      <calculatedColumnFormula>IF(ES_2[[#This Row],[Count Exp/Sus]]&gt;10,1,0)</calculatedColumnFormula>
    </tableColumn>
    <tableColumn id="11" xr3:uid="{ED773BF5-482D-4CB4-9408-C5AA30755442}" name="Unique Exp/Sus" dataDxfId="75">
      <calculatedColumnFormula>IF(J3=1,A3 &amp;"-included",0)</calculatedColumnFormula>
    </tableColumn>
    <tableColumn id="12" xr3:uid="{2FA044E5-A53B-48D6-9B8A-A03D271B2F58}" name="Helper Col" dataDxfId="74">
      <calculatedColumnFormula>IF(J3=1,IF(COUNTIFS($A$3:A3,A3,$J$3:J3,1)=1,A3&amp;"-included",0),0)</calculatedColumnFormula>
    </tableColumn>
    <tableColumn id="13" xr3:uid="{34C5390C-6B5A-4C08-8C33-79CAC3C3EB05}" name="Unique Count" dataDxfId="73">
      <calculatedColumnFormula array="1">IF(ES_2[[#This Row],[Included Exp/Sus]]=1,IF(SUMPRODUCT((ES_2[STN]=ES_2[[#This Row],[STN]])*(ES_2[Included Exp/Sus]=1)*(ROW(ES_2[STN])&lt;=ROW()))=1,1,0),0)</calculatedColumnFormula>
    </tableColumn>
    <tableColumn id="19" xr3:uid="{6C4EDC0C-DCEB-45AE-A8A0-BA39D57BDB19}" name="Ethnicity" dataDxfId="72">
      <calculatedColumnFormula>_xlfn.XLOOKUP(ES_2[[#This Row],[STN]],SE_2[STN],SE_2[Ethnicity],"",0)</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9BF201-D055-4085-9D64-1DA1C8F7E18B}" name="ES_3" displayName="ES_3" ref="A2:N298" totalsRowShown="0" headerRowDxfId="71" dataDxfId="70">
  <autoFilter ref="A2:N298" xr:uid="{00000000-0001-0000-0200-000000000000}"/>
  <sortState xmlns:xlrd2="http://schemas.microsoft.com/office/spreadsheetml/2017/richdata2" ref="A3:N294">
    <sortCondition ref="A3:A294"/>
  </sortState>
  <tableColumns count="14">
    <tableColumn id="2" xr3:uid="{16008298-6FD6-4A19-A145-0F50E126B770}" name="STN" dataDxfId="69"/>
    <tableColumn id="3" xr3:uid="{40D5D588-7CBD-4510-9650-596085611732}" name="GRADE_CODE" dataDxfId="68"/>
    <tableColumn id="4" xr3:uid="{94FE026A-C981-448D-B81A-962489DA9DD8}" name="TYPE_EX_SU" dataDxfId="67"/>
    <tableColumn id="5" xr3:uid="{34D73C30-E135-434E-90B0-4242F6779EA3}" name="DISCIPLINE_TYPE" dataDxfId="66"/>
    <tableColumn id="6" xr3:uid="{DFE88614-19EC-47C7-84F5-7DB770F6AB81}" name="DISCIPLINE_REASON_ID" dataDxfId="65"/>
    <tableColumn id="7" xr3:uid="{47EDF1D3-87C7-4D3A-9D6A-AB38C80E0A4F}" name="DISCIPLINE_REASON" dataDxfId="64"/>
    <tableColumn id="8" xr3:uid="{02AC6D3F-8E60-4B2D-A3E8-4D58062F9825}" name="LENGTH_EX_SU" dataDxfId="63"/>
    <tableColumn id="9" xr3:uid="{A9ED5404-39D7-44A0-A960-CECE811034A8}" name="SPECIAL_ED" dataDxfId="62"/>
    <tableColumn id="10" xr3:uid="{5FD96F7B-3527-44A0-B8CF-0C2CF74F39AB}" name="Count Exp/Sus" dataDxfId="61">
      <calculatedColumnFormula>SUMIFS(ES_3[LENGTH_EX_SU],ES_3[STN],ES_3[[#This Row],[STN]],ES_3[DISCIPLINE_TYPE],"Out-of-School Suspension")+SUMIFS(ES_3[LENGTH_EX_SU],ES_3[STN],ES_3[[#This Row],[STN]],ES_3[DISCIPLINE_TYPE],"Expulsion")</calculatedColumnFormula>
    </tableColumn>
    <tableColumn id="1" xr3:uid="{110246A2-3A00-4E2B-A4B4-674279987D80}" name="Included Exp/Sus" dataDxfId="60">
      <calculatedColumnFormula>IF(ES_3[[#This Row],[Count Exp/Sus]]&gt;10,1,0)</calculatedColumnFormula>
    </tableColumn>
    <tableColumn id="12" xr3:uid="{721DBEDF-B8E7-447A-89D2-35B2BF7CE6FF}" name="Unique Exp/Sus" dataDxfId="59">
      <calculatedColumnFormula>IF(J3=1,A3&amp;"-included",0)</calculatedColumnFormula>
    </tableColumn>
    <tableColumn id="14" xr3:uid="{F2C63C50-8ED2-4BC0-AB2B-A3508FE0A5CA}" name="Helper Col" dataDxfId="58">
      <calculatedColumnFormula>IF(J3=1,IF(COUNTIFS($A$3:A3,A3,$J$3:J3,1)=1,A3&amp;"-included",0),0)</calculatedColumnFormula>
    </tableColumn>
    <tableColumn id="11" xr3:uid="{E1510C72-ACC8-44EE-84F7-76BC560C3991}" name="Unique Count" dataDxfId="57">
      <calculatedColumnFormula array="1">IF(ES_3[[#This Row],[Included Exp/Sus]]=1,IF(SUMPRODUCT((ES_3[STN]=ES_3[[#This Row],[STN]])*(ES_3[Included Exp/Sus]=1)*(ROW(ES_3[STN])&lt;=ROW()))=1,1,0),0)</calculatedColumnFormula>
    </tableColumn>
    <tableColumn id="19" xr3:uid="{529879A8-9624-43C1-BBC5-D8AE71396853}" name="Ethnicity" dataDxfId="56">
      <calculatedColumnFormula>_xlfn.XLOOKUP(ES_3[[#This Row],[STN]],SE_3[STN],SE_3[Ethnicity],"",0)</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F9139-530A-42B1-B16E-E4C91E9F51C1}" name="SE_1" displayName="SE_1" ref="A1:J303" totalsRowShown="0" headerRowDxfId="55">
  <autoFilter ref="A1:J303" xr:uid="{DAAF9139-530A-42B1-B16E-E4C91E9F51C1}"/>
  <tableColumns count="10">
    <tableColumn id="3" xr3:uid="{59192583-C914-4867-B1C6-87DA84506A51}" name="STN"/>
    <tableColumn id="4" xr3:uid="{53F0FE1A-8249-4FF1-B07D-4CC5674076E8}" name="Grade" dataDxfId="54"/>
    <tableColumn id="5" xr3:uid="{C5BF7826-5783-4E29-97E5-D63A85D6A971}" name="ProgramName" dataDxfId="53"/>
    <tableColumn id="6" xr3:uid="{351AFE42-69E8-43D7-9DFF-979D7D71ABA1}" name="PrimaryExceptionality" dataDxfId="52"/>
    <tableColumn id="7" xr3:uid="{4C9BAAE1-E871-416A-A638-B4752A2EF03B}" name="SecondaryExceptionality" dataDxfId="51"/>
    <tableColumn id="8" xr3:uid="{3F65FF00-13B5-42DE-BC8D-C44CB7F053AC}" name="DateOfBirth" dataDxfId="50"/>
    <tableColumn id="9" xr3:uid="{4531CA14-BA41-43C6-80F8-C33F0360AFC2}" name="AgeOnDec1" dataDxfId="49"/>
    <tableColumn id="10" xr3:uid="{A87672A6-E32A-438F-B7CB-88FEDB31C44E}" name="Gender" dataDxfId="48"/>
    <tableColumn id="11" xr3:uid="{F2B4D046-588A-410A-9F65-B16D87B64188}" name="Ethnicity" dataDxfId="47"/>
    <tableColumn id="19" xr3:uid="{DEA2EC46-FD83-4A1C-AD2C-C78D05B1EEAF}" name="IdeaEligibility" dataDxfId="4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F807ED-25F4-4EED-9B80-F28CB07B35F0}" name="SE_2" displayName="SE_2" ref="A1:J990" totalsRowShown="0" headerRowDxfId="45">
  <autoFilter ref="A1:J990" xr:uid="{5EF807ED-25F4-4EED-9B80-F28CB07B35F0}"/>
  <tableColumns count="10">
    <tableColumn id="3" xr3:uid="{48B345C7-4707-4994-8A61-89C9C5DA4AF5}" name="STN" dataDxfId="44"/>
    <tableColumn id="4" xr3:uid="{6614ED32-272A-4EFC-B998-7FE42E6907C7}" name="Grade" dataDxfId="43"/>
    <tableColumn id="5" xr3:uid="{7EB32816-F47B-48C3-9A86-7DF9D225C80C}" name="ProgramName" dataDxfId="42"/>
    <tableColumn id="6" xr3:uid="{7EFE2CE2-8904-4AAD-AC6A-53C1B54D9C9E}" name="PrimaryExceptionality" dataDxfId="41"/>
    <tableColumn id="7" xr3:uid="{8E9875BA-679A-4B54-8A8B-B6D121B2958B}" name="SecondaryExceptionality" dataDxfId="40"/>
    <tableColumn id="8" xr3:uid="{86FD53C9-BAEE-49E6-8659-CC3F4A4E8B2E}" name="DateOfBirth" dataDxfId="39"/>
    <tableColumn id="9" xr3:uid="{0BE2BD4D-3A65-4705-80D7-6430F5F98CCA}" name="AgeOnDec1" dataDxfId="38"/>
    <tableColumn id="10" xr3:uid="{1654B008-2F1E-4AF3-A278-F81BE517DB13}" name="Gender" dataDxfId="37"/>
    <tableColumn id="11" xr3:uid="{3F7C95EA-63CD-42FF-8E4D-F3305FA0903A}" name="Ethnicity" dataDxfId="36"/>
    <tableColumn id="19" xr3:uid="{6330004B-9647-42D9-89F0-8588272D5BDA}" name="IdeaEligibility" dataDxfId="3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E372CA-39F5-4190-9658-20EEB990EB82}" name="SE_3" displayName="SE_3" ref="A1:J449" totalsRowShown="0" headerRowDxfId="34">
  <autoFilter ref="A1:J449" xr:uid="{4AE372CA-39F5-4190-9658-20EEB990EB82}">
    <filterColumn colId="8">
      <filters>
        <filter val="Black - African American"/>
      </filters>
    </filterColumn>
  </autoFilter>
  <tableColumns count="10">
    <tableColumn id="3" xr3:uid="{A46AF3A0-C6F0-42C6-8817-382AB506A98A}" name="STN" dataDxfId="33"/>
    <tableColumn id="4" xr3:uid="{9EF940A0-C776-4DD8-BA1B-DA3AEE31141F}" name="Grade" dataDxfId="32"/>
    <tableColumn id="5" xr3:uid="{4C36701E-3400-475A-8F68-04D023E55DEF}" name="ProgramName" dataDxfId="31"/>
    <tableColumn id="6" xr3:uid="{8E40FB9B-4EAB-4F39-8899-3D1E1B63FE65}" name="PrimaryExceptionality" dataDxfId="30"/>
    <tableColumn id="7" xr3:uid="{1D5A10C3-7AAB-4041-AF05-9754643F2646}" name="SecondaryExceptionality" dataDxfId="29"/>
    <tableColumn id="8" xr3:uid="{0B1F725F-D1BC-4683-8C9D-B64EA1EDD216}" name="DateOfBirth" dataDxfId="28"/>
    <tableColumn id="9" xr3:uid="{B6BDEEBC-641E-4639-A557-A73F9AAC0E91}" name="AgeOnDec1" dataDxfId="27"/>
    <tableColumn id="10" xr3:uid="{FA8C2122-56FB-4B19-872E-786F94DDA9F8}" name="Gender" dataDxfId="26"/>
    <tableColumn id="11" xr3:uid="{9458FBAB-A180-403C-9B4F-8AA5B81A2DE0}" name="Ethnicity" dataDxfId="25"/>
    <tableColumn id="19" xr3:uid="{1C8E2701-523F-4621-AE8B-B6511F7086BA}" name="IdeaEligibility" dataDxfId="24"/>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2CF28E-DE88-4D1A-8BF9-38A36A0537BA}" name="PE_1" displayName="PE_1" ref="A1:F647" totalsRowShown="0" headerRowDxfId="23">
  <autoFilter ref="A1:F647" xr:uid="{F12CF28E-DE88-4D1A-8BF9-38A36A0537BA}"/>
  <tableColumns count="6">
    <tableColumn id="2" xr3:uid="{C5DF5666-D94A-4D9B-8FE0-F2D87A95DA9D}" name="STN" dataDxfId="22"/>
    <tableColumn id="3" xr3:uid="{3D5F4763-0FFD-4186-BA95-0E8435C2BF34}" name="BIRTH_DATE" dataDxfId="21"/>
    <tableColumn id="4" xr3:uid="{B85465D6-D009-4F42-9B8B-F80481A8C78D}" name="AgeonDec1" dataDxfId="20"/>
    <tableColumn id="1" xr3:uid="{13036630-6339-4745-93E3-E153467688DA}" name="Grade" dataDxfId="19"/>
    <tableColumn id="5" xr3:uid="{1306EE51-C85B-4D8F-A83A-6CFAAF9D0B74}" name="IDEA Eligibility" dataDxfId="18">
      <calculatedColumnFormula>_xlfn.XLOOKUP(PE_1[[#This Row],[STN]],SE_1[STN],SE_1[IdeaEligibility],"w/o disability",0)</calculatedColumnFormula>
    </tableColumn>
    <tableColumn id="6" xr3:uid="{C1C48440-7FFF-4391-B0B7-CC2E27AD33BC}" name="Ethnicity" dataDxfId="17">
      <calculatedColumnFormula>_xlfn.XLOOKUP(PE_1[[#This Row],[STN]],SE_1[STN],SE_1[Ethnicity],"",0)</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FD1A471-D2B2-49D7-A51F-88FC79004632}" name="PE_2" displayName="PE_2" ref="A1:F707" totalsRowShown="0" headerRowDxfId="16">
  <autoFilter ref="A1:F707" xr:uid="{2FD1A471-D2B2-49D7-A51F-88FC79004632}"/>
  <tableColumns count="6">
    <tableColumn id="2" xr3:uid="{54DB6155-E594-4F2A-A4C5-329C7A7744B1}" name="STN" dataDxfId="15"/>
    <tableColumn id="3" xr3:uid="{100BD9B3-BC3D-47D5-8900-6DDF8B9CC19B}" name="BIRTH_DATE" dataDxfId="14"/>
    <tableColumn id="4" xr3:uid="{ABA05D8B-83BC-4651-86DF-07D0B93708A1}" name="AgeonDec1" dataDxfId="13"/>
    <tableColumn id="1" xr3:uid="{2C3139BB-1678-470C-9884-3F9E5E1BF62A}" name="Grade" dataDxfId="12"/>
    <tableColumn id="5" xr3:uid="{D96183EB-C192-4365-870C-BCAD09A88E9D}" name="IDEA Eligibility" dataDxfId="11">
      <calculatedColumnFormula>_xlfn.XLOOKUP(PE_2[[#This Row],[STN]],SE_2[STN],SE_2[IdeaEligibility],"w/o disability",0)</calculatedColumnFormula>
    </tableColumn>
    <tableColumn id="6" xr3:uid="{2CFD4478-EBDB-4CAF-93BE-E25DE4641CF7}" name="Ethnicity" dataDxfId="10">
      <calculatedColumnFormula>_xlfn.XLOOKUP(PE_2[[#This Row],[STN]],SE_2[STN],SE_2[Ethnicity],"",0)</calculatedColumnFormula>
    </tableColumn>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72FD94D-20AD-440D-ADD1-3589F22BA1A0}" name="PE_3" displayName="PE_3" ref="A1:F995" totalsRowShown="0" headerRowDxfId="9">
  <autoFilter ref="A1:F995" xr:uid="{C72FD94D-20AD-440D-ADD1-3589F22BA1A0}"/>
  <tableColumns count="6">
    <tableColumn id="2" xr3:uid="{2F7CB238-5A70-41BC-88AD-8167A8124421}" name="STN" dataDxfId="8"/>
    <tableColumn id="3" xr3:uid="{626A8AB4-CDF3-438B-8CC7-D523F19EDF3E}" name="BIRTH_DATE" dataDxfId="7"/>
    <tableColumn id="4" xr3:uid="{4770A77D-DECC-4BAB-A66B-FAD861FFBF41}" name="AgeonDec1" dataDxfId="6"/>
    <tableColumn id="1" xr3:uid="{9C7FEA49-5E17-47EF-8629-EB60231BC1D8}" name="Grade" dataDxfId="5"/>
    <tableColumn id="5" xr3:uid="{FF19E958-FFF4-4E6C-9D01-C344340B621E}" name="IDEA Eligibility" dataDxfId="4">
      <calculatedColumnFormula>_xlfn.XLOOKUP(PE_3[[#This Row],[STN]],SE_3[STN],SE_3[IdeaEligibility],"w/o disability",0)</calculatedColumnFormula>
    </tableColumn>
    <tableColumn id="6" xr3:uid="{74D24B40-5980-4F87-8BE8-16A509FE0F8B}" name="Ethnicity" dataDxfId="3">
      <calculatedColumnFormula>_xlfn.XLOOKUP(PE_3[[#This Row],[STN]],SE_3[STN],SE_3[Ethnicity],"",0)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13F2D-8044-4CA1-868C-A4267FAA63ED}">
  <dimension ref="A1:AA983"/>
  <sheetViews>
    <sheetView topLeftCell="E1" zoomScale="112" zoomScaleNormal="112" workbookViewId="0">
      <selection activeCell="B4" sqref="B4:X22"/>
    </sheetView>
  </sheetViews>
  <sheetFormatPr defaultRowHeight="13.15"/>
  <cols>
    <col min="27" max="27" width="46.5703125" customWidth="1"/>
  </cols>
  <sheetData>
    <row r="1" spans="1:27" ht="14.45">
      <c r="A1" s="46"/>
      <c r="B1" s="47"/>
      <c r="C1" s="47"/>
      <c r="D1" s="47"/>
      <c r="E1" s="47"/>
      <c r="F1" s="47"/>
      <c r="G1" s="47"/>
      <c r="H1" s="47"/>
      <c r="I1" s="47"/>
      <c r="J1" s="47"/>
      <c r="K1" s="47"/>
      <c r="L1" s="47"/>
      <c r="M1" s="47"/>
      <c r="N1" s="47"/>
      <c r="O1" s="47"/>
      <c r="P1" s="47"/>
      <c r="Q1" s="47"/>
      <c r="R1" s="47"/>
      <c r="S1" s="47"/>
      <c r="T1" s="47"/>
      <c r="U1" s="47"/>
      <c r="V1" s="47"/>
      <c r="W1" s="47"/>
      <c r="X1" s="47"/>
      <c r="Y1" s="47"/>
      <c r="Z1" s="47"/>
      <c r="AA1" s="48"/>
    </row>
    <row r="2" spans="1:27" ht="14.45">
      <c r="A2" s="49"/>
      <c r="B2" s="50"/>
      <c r="C2" s="50"/>
      <c r="D2" s="50"/>
      <c r="E2" s="50"/>
      <c r="F2" s="50"/>
      <c r="G2" s="50"/>
      <c r="H2" s="50"/>
      <c r="I2" s="50"/>
      <c r="J2" s="50"/>
      <c r="K2" s="50"/>
      <c r="L2" s="50"/>
      <c r="M2" s="50"/>
      <c r="N2" s="50"/>
      <c r="O2" s="50"/>
      <c r="P2" s="50"/>
      <c r="Q2" s="50"/>
      <c r="R2" s="50"/>
      <c r="S2" s="50"/>
      <c r="T2" s="50"/>
      <c r="U2" s="50"/>
      <c r="V2" s="50"/>
      <c r="W2" s="50"/>
      <c r="X2" s="50"/>
      <c r="Y2" s="50"/>
      <c r="Z2" s="50"/>
      <c r="AA2" s="51"/>
    </row>
    <row r="3" spans="1:27" ht="31.15">
      <c r="A3" s="49"/>
      <c r="B3" s="52" t="s">
        <v>0</v>
      </c>
      <c r="C3" s="50"/>
      <c r="D3" s="50"/>
      <c r="E3" s="50"/>
      <c r="F3" s="50"/>
      <c r="G3" s="50"/>
      <c r="H3" s="50"/>
      <c r="I3" s="50"/>
      <c r="J3" s="50"/>
      <c r="K3" s="50"/>
      <c r="L3" s="50"/>
      <c r="M3" s="50"/>
      <c r="N3" s="50"/>
      <c r="O3" s="50"/>
      <c r="P3" s="50"/>
      <c r="Q3" s="50"/>
      <c r="R3" s="50"/>
      <c r="S3" s="50"/>
      <c r="T3" s="50"/>
      <c r="U3" s="50"/>
      <c r="V3" s="50"/>
      <c r="W3" s="50"/>
      <c r="X3" s="50"/>
      <c r="Y3" s="50"/>
      <c r="Z3" s="53"/>
      <c r="AA3" s="54"/>
    </row>
    <row r="4" spans="1:27" ht="12.75" customHeight="1">
      <c r="A4" s="49"/>
      <c r="B4" s="95" t="s">
        <v>1</v>
      </c>
      <c r="C4" s="96"/>
      <c r="D4" s="96"/>
      <c r="E4" s="96"/>
      <c r="F4" s="96"/>
      <c r="G4" s="96"/>
      <c r="H4" s="96"/>
      <c r="I4" s="96"/>
      <c r="J4" s="96"/>
      <c r="K4" s="96"/>
      <c r="L4" s="96"/>
      <c r="M4" s="96"/>
      <c r="N4" s="96"/>
      <c r="O4" s="96"/>
      <c r="P4" s="96"/>
      <c r="Q4" s="96"/>
      <c r="R4" s="96"/>
      <c r="S4" s="96"/>
      <c r="T4" s="96"/>
      <c r="U4" s="96"/>
      <c r="V4" s="96"/>
      <c r="W4" s="96"/>
      <c r="X4" s="97"/>
      <c r="Y4" s="51"/>
      <c r="Z4" s="104" t="s">
        <v>2</v>
      </c>
      <c r="AA4" s="105"/>
    </row>
    <row r="5" spans="1:27" ht="14.45">
      <c r="A5" s="49"/>
      <c r="B5" s="98"/>
      <c r="C5" s="99"/>
      <c r="D5" s="99"/>
      <c r="E5" s="99"/>
      <c r="F5" s="99"/>
      <c r="G5" s="99"/>
      <c r="H5" s="99"/>
      <c r="I5" s="99"/>
      <c r="J5" s="99"/>
      <c r="K5" s="99"/>
      <c r="L5" s="99"/>
      <c r="M5" s="99"/>
      <c r="N5" s="99"/>
      <c r="O5" s="99"/>
      <c r="P5" s="99"/>
      <c r="Q5" s="99"/>
      <c r="R5" s="99"/>
      <c r="S5" s="99"/>
      <c r="T5" s="99"/>
      <c r="U5" s="99"/>
      <c r="V5" s="99"/>
      <c r="W5" s="99"/>
      <c r="X5" s="100"/>
      <c r="Y5" s="51"/>
      <c r="Z5" s="86">
        <v>1</v>
      </c>
      <c r="AA5" s="85" t="s">
        <v>3</v>
      </c>
    </row>
    <row r="6" spans="1:27" ht="14.45">
      <c r="A6" s="49"/>
      <c r="B6" s="98"/>
      <c r="C6" s="99"/>
      <c r="D6" s="99"/>
      <c r="E6" s="99"/>
      <c r="F6" s="99"/>
      <c r="G6" s="99"/>
      <c r="H6" s="99"/>
      <c r="I6" s="99"/>
      <c r="J6" s="99"/>
      <c r="K6" s="99"/>
      <c r="L6" s="99"/>
      <c r="M6" s="99"/>
      <c r="N6" s="99"/>
      <c r="O6" s="99"/>
      <c r="P6" s="99"/>
      <c r="Q6" s="99"/>
      <c r="R6" s="99"/>
      <c r="S6" s="99"/>
      <c r="T6" s="99"/>
      <c r="U6" s="99"/>
      <c r="V6" s="99"/>
      <c r="W6" s="99"/>
      <c r="X6" s="100"/>
      <c r="Y6" s="51"/>
      <c r="Z6" s="82">
        <v>2</v>
      </c>
      <c r="AA6" s="81" t="s">
        <v>4</v>
      </c>
    </row>
    <row r="7" spans="1:27" ht="14.45">
      <c r="A7" s="49"/>
      <c r="B7" s="98"/>
      <c r="C7" s="99"/>
      <c r="D7" s="99"/>
      <c r="E7" s="99"/>
      <c r="F7" s="99"/>
      <c r="G7" s="99"/>
      <c r="H7" s="99"/>
      <c r="I7" s="99"/>
      <c r="J7" s="99"/>
      <c r="K7" s="99"/>
      <c r="L7" s="99"/>
      <c r="M7" s="99"/>
      <c r="N7" s="99"/>
      <c r="O7" s="99"/>
      <c r="P7" s="99"/>
      <c r="Q7" s="99"/>
      <c r="R7" s="99"/>
      <c r="S7" s="99"/>
      <c r="T7" s="99"/>
      <c r="U7" s="99"/>
      <c r="V7" s="99"/>
      <c r="W7" s="99"/>
      <c r="X7" s="100"/>
      <c r="Y7" s="51"/>
      <c r="Z7" s="84">
        <v>3</v>
      </c>
      <c r="AA7" s="83" t="s">
        <v>5</v>
      </c>
    </row>
    <row r="8" spans="1:27" ht="14.45">
      <c r="A8" s="49"/>
      <c r="B8" s="98"/>
      <c r="C8" s="99"/>
      <c r="D8" s="99"/>
      <c r="E8" s="99"/>
      <c r="F8" s="99"/>
      <c r="G8" s="99"/>
      <c r="H8" s="99"/>
      <c r="I8" s="99"/>
      <c r="J8" s="99"/>
      <c r="K8" s="99"/>
      <c r="L8" s="99"/>
      <c r="M8" s="99"/>
      <c r="N8" s="99"/>
      <c r="O8" s="99"/>
      <c r="P8" s="99"/>
      <c r="Q8" s="99"/>
      <c r="R8" s="99"/>
      <c r="S8" s="99"/>
      <c r="T8" s="99"/>
      <c r="U8" s="99"/>
      <c r="V8" s="99"/>
      <c r="W8" s="99"/>
      <c r="X8" s="100"/>
      <c r="Y8" s="51"/>
      <c r="Z8" s="80">
        <v>4</v>
      </c>
      <c r="AA8" s="79" t="s">
        <v>6</v>
      </c>
    </row>
    <row r="9" spans="1:27" ht="14.45">
      <c r="A9" s="49"/>
      <c r="B9" s="98"/>
      <c r="C9" s="99"/>
      <c r="D9" s="99"/>
      <c r="E9" s="99"/>
      <c r="F9" s="99"/>
      <c r="G9" s="99"/>
      <c r="H9" s="99"/>
      <c r="I9" s="99"/>
      <c r="J9" s="99"/>
      <c r="K9" s="99"/>
      <c r="L9" s="99"/>
      <c r="M9" s="99"/>
      <c r="N9" s="99"/>
      <c r="O9" s="99"/>
      <c r="P9" s="99"/>
      <c r="Q9" s="99"/>
      <c r="R9" s="99"/>
      <c r="S9" s="99"/>
      <c r="T9" s="99"/>
      <c r="U9" s="99"/>
      <c r="V9" s="99"/>
      <c r="W9" s="99"/>
      <c r="X9" s="100"/>
      <c r="Y9" s="51"/>
      <c r="Z9" s="76">
        <v>5</v>
      </c>
      <c r="AA9" s="75" t="s">
        <v>7</v>
      </c>
    </row>
    <row r="10" spans="1:27" ht="14.45">
      <c r="A10" s="49"/>
      <c r="B10" s="98"/>
      <c r="C10" s="99"/>
      <c r="D10" s="99"/>
      <c r="E10" s="99"/>
      <c r="F10" s="99"/>
      <c r="G10" s="99"/>
      <c r="H10" s="99"/>
      <c r="I10" s="99"/>
      <c r="J10" s="99"/>
      <c r="K10" s="99"/>
      <c r="L10" s="99"/>
      <c r="M10" s="99"/>
      <c r="N10" s="99"/>
      <c r="O10" s="99"/>
      <c r="P10" s="99"/>
      <c r="Q10" s="99"/>
      <c r="R10" s="99"/>
      <c r="S10" s="99"/>
      <c r="T10" s="99"/>
      <c r="U10" s="99"/>
      <c r="V10" s="99"/>
      <c r="W10" s="99"/>
      <c r="X10" s="100"/>
      <c r="Y10" s="51"/>
      <c r="Z10" s="78">
        <v>6</v>
      </c>
      <c r="AA10" s="77" t="s">
        <v>8</v>
      </c>
    </row>
    <row r="11" spans="1:27" ht="14.45">
      <c r="A11" s="49"/>
      <c r="B11" s="98"/>
      <c r="C11" s="99"/>
      <c r="D11" s="99"/>
      <c r="E11" s="99"/>
      <c r="F11" s="99"/>
      <c r="G11" s="99"/>
      <c r="H11" s="99"/>
      <c r="I11" s="99"/>
      <c r="J11" s="99"/>
      <c r="K11" s="99"/>
      <c r="L11" s="99"/>
      <c r="M11" s="99"/>
      <c r="N11" s="99"/>
      <c r="O11" s="99"/>
      <c r="P11" s="99"/>
      <c r="Q11" s="99"/>
      <c r="R11" s="99"/>
      <c r="S11" s="99"/>
      <c r="T11" s="99"/>
      <c r="U11" s="99"/>
      <c r="V11" s="99"/>
      <c r="W11" s="99"/>
      <c r="X11" s="100"/>
      <c r="Y11" s="51"/>
      <c r="Z11" s="74">
        <v>7</v>
      </c>
      <c r="AA11" s="73" t="s">
        <v>9</v>
      </c>
    </row>
    <row r="12" spans="1:27" ht="12.75" customHeight="1">
      <c r="A12" s="49"/>
      <c r="B12" s="98"/>
      <c r="C12" s="99"/>
      <c r="D12" s="99"/>
      <c r="E12" s="99"/>
      <c r="F12" s="99"/>
      <c r="G12" s="99"/>
      <c r="H12" s="99"/>
      <c r="I12" s="99"/>
      <c r="J12" s="99"/>
      <c r="K12" s="99"/>
      <c r="L12" s="99"/>
      <c r="M12" s="99"/>
      <c r="N12" s="99"/>
      <c r="O12" s="99"/>
      <c r="P12" s="99"/>
      <c r="Q12" s="99"/>
      <c r="R12" s="99"/>
      <c r="S12" s="99"/>
      <c r="T12" s="99"/>
      <c r="U12" s="99"/>
      <c r="V12" s="99"/>
      <c r="W12" s="99"/>
      <c r="X12" s="100"/>
      <c r="Y12" s="51"/>
      <c r="Z12" s="104"/>
      <c r="AA12" s="105"/>
    </row>
    <row r="13" spans="1:27" ht="14.45">
      <c r="A13" s="49"/>
      <c r="B13" s="98"/>
      <c r="C13" s="99"/>
      <c r="D13" s="99"/>
      <c r="E13" s="99"/>
      <c r="F13" s="99"/>
      <c r="G13" s="99"/>
      <c r="H13" s="99"/>
      <c r="I13" s="99"/>
      <c r="J13" s="99"/>
      <c r="K13" s="99"/>
      <c r="L13" s="99"/>
      <c r="M13" s="99"/>
      <c r="N13" s="99"/>
      <c r="O13" s="99"/>
      <c r="P13" s="99"/>
      <c r="Q13" s="99"/>
      <c r="R13" s="99"/>
      <c r="S13" s="99"/>
      <c r="T13" s="99"/>
      <c r="U13" s="99"/>
      <c r="V13" s="99"/>
      <c r="W13" s="99"/>
      <c r="X13" s="100"/>
      <c r="Y13" s="50"/>
      <c r="Z13" s="50"/>
      <c r="AA13" s="51"/>
    </row>
    <row r="14" spans="1:27" ht="28.5" customHeight="1">
      <c r="A14" s="49"/>
      <c r="B14" s="98"/>
      <c r="C14" s="99"/>
      <c r="D14" s="99"/>
      <c r="E14" s="99"/>
      <c r="F14" s="99"/>
      <c r="G14" s="99"/>
      <c r="H14" s="99"/>
      <c r="I14" s="99"/>
      <c r="J14" s="99"/>
      <c r="K14" s="99"/>
      <c r="L14" s="99"/>
      <c r="M14" s="99"/>
      <c r="N14" s="99"/>
      <c r="O14" s="99"/>
      <c r="P14" s="99"/>
      <c r="Q14" s="99"/>
      <c r="R14" s="99"/>
      <c r="S14" s="99"/>
      <c r="T14" s="99"/>
      <c r="U14" s="99"/>
      <c r="V14" s="99"/>
      <c r="W14" s="99"/>
      <c r="X14" s="100"/>
      <c r="Y14" s="50"/>
      <c r="Z14" s="50"/>
      <c r="AA14" s="51"/>
    </row>
    <row r="15" spans="1:27" ht="22.5" customHeight="1">
      <c r="A15" s="49"/>
      <c r="B15" s="98"/>
      <c r="C15" s="99"/>
      <c r="D15" s="99"/>
      <c r="E15" s="99"/>
      <c r="F15" s="99"/>
      <c r="G15" s="99"/>
      <c r="H15" s="99"/>
      <c r="I15" s="99"/>
      <c r="J15" s="99"/>
      <c r="K15" s="99"/>
      <c r="L15" s="99"/>
      <c r="M15" s="99"/>
      <c r="N15" s="99"/>
      <c r="O15" s="99"/>
      <c r="P15" s="99"/>
      <c r="Q15" s="99"/>
      <c r="R15" s="99"/>
      <c r="S15" s="99"/>
      <c r="T15" s="99"/>
      <c r="U15" s="99"/>
      <c r="V15" s="99"/>
      <c r="W15" s="99"/>
      <c r="X15" s="100"/>
      <c r="Y15" s="50"/>
      <c r="Z15" s="50"/>
      <c r="AA15" s="51"/>
    </row>
    <row r="16" spans="1:27" ht="28.5" customHeight="1">
      <c r="A16" s="49"/>
      <c r="B16" s="98"/>
      <c r="C16" s="99"/>
      <c r="D16" s="99"/>
      <c r="E16" s="99"/>
      <c r="F16" s="99"/>
      <c r="G16" s="99"/>
      <c r="H16" s="99"/>
      <c r="I16" s="99"/>
      <c r="J16" s="99"/>
      <c r="K16" s="99"/>
      <c r="L16" s="99"/>
      <c r="M16" s="99"/>
      <c r="N16" s="99"/>
      <c r="O16" s="99"/>
      <c r="P16" s="99"/>
      <c r="Q16" s="99"/>
      <c r="R16" s="99"/>
      <c r="S16" s="99"/>
      <c r="T16" s="99"/>
      <c r="U16" s="99"/>
      <c r="V16" s="99"/>
      <c r="W16" s="99"/>
      <c r="X16" s="100"/>
      <c r="Y16" s="50"/>
      <c r="Z16" s="50"/>
      <c r="AA16" s="51"/>
    </row>
    <row r="17" spans="1:27" ht="29.25" customHeight="1">
      <c r="A17" s="49"/>
      <c r="B17" s="98"/>
      <c r="C17" s="99"/>
      <c r="D17" s="99"/>
      <c r="E17" s="99"/>
      <c r="F17" s="99"/>
      <c r="G17" s="99"/>
      <c r="H17" s="99"/>
      <c r="I17" s="99"/>
      <c r="J17" s="99"/>
      <c r="K17" s="99"/>
      <c r="L17" s="99"/>
      <c r="M17" s="99"/>
      <c r="N17" s="99"/>
      <c r="O17" s="99"/>
      <c r="P17" s="99"/>
      <c r="Q17" s="99"/>
      <c r="R17" s="99"/>
      <c r="S17" s="99"/>
      <c r="T17" s="99"/>
      <c r="U17" s="99"/>
      <c r="V17" s="99"/>
      <c r="W17" s="99"/>
      <c r="X17" s="100"/>
      <c r="Y17" s="50"/>
      <c r="Z17" s="50"/>
      <c r="AA17" s="51"/>
    </row>
    <row r="18" spans="1:27" ht="14.45">
      <c r="A18" s="49"/>
      <c r="B18" s="98"/>
      <c r="C18" s="99"/>
      <c r="D18" s="99"/>
      <c r="E18" s="99"/>
      <c r="F18" s="99"/>
      <c r="G18" s="99"/>
      <c r="H18" s="99"/>
      <c r="I18" s="99"/>
      <c r="J18" s="99"/>
      <c r="K18" s="99"/>
      <c r="L18" s="99"/>
      <c r="M18" s="99"/>
      <c r="N18" s="99"/>
      <c r="O18" s="99"/>
      <c r="P18" s="99"/>
      <c r="Q18" s="99"/>
      <c r="R18" s="99"/>
      <c r="S18" s="99"/>
      <c r="T18" s="99"/>
      <c r="U18" s="99"/>
      <c r="V18" s="99"/>
      <c r="W18" s="99"/>
      <c r="X18" s="100"/>
      <c r="Y18" s="50"/>
      <c r="Z18" s="50"/>
      <c r="AA18" s="51"/>
    </row>
    <row r="19" spans="1:27" ht="14.45">
      <c r="A19" s="49"/>
      <c r="B19" s="98"/>
      <c r="C19" s="99"/>
      <c r="D19" s="99"/>
      <c r="E19" s="99"/>
      <c r="F19" s="99"/>
      <c r="G19" s="99"/>
      <c r="H19" s="99"/>
      <c r="I19" s="99"/>
      <c r="J19" s="99"/>
      <c r="K19" s="99"/>
      <c r="L19" s="99"/>
      <c r="M19" s="99"/>
      <c r="N19" s="99"/>
      <c r="O19" s="99"/>
      <c r="P19" s="99"/>
      <c r="Q19" s="99"/>
      <c r="R19" s="99"/>
      <c r="S19" s="99"/>
      <c r="T19" s="99"/>
      <c r="U19" s="99"/>
      <c r="V19" s="99"/>
      <c r="W19" s="99"/>
      <c r="X19" s="100"/>
      <c r="Y19" s="50"/>
      <c r="Z19" s="50"/>
      <c r="AA19" s="51"/>
    </row>
    <row r="20" spans="1:27" ht="14.45">
      <c r="A20" s="49"/>
      <c r="B20" s="98"/>
      <c r="C20" s="99"/>
      <c r="D20" s="99"/>
      <c r="E20" s="99"/>
      <c r="F20" s="99"/>
      <c r="G20" s="99"/>
      <c r="H20" s="99"/>
      <c r="I20" s="99"/>
      <c r="J20" s="99"/>
      <c r="K20" s="99"/>
      <c r="L20" s="99"/>
      <c r="M20" s="99"/>
      <c r="N20" s="99"/>
      <c r="O20" s="99"/>
      <c r="P20" s="99"/>
      <c r="Q20" s="99"/>
      <c r="R20" s="99"/>
      <c r="S20" s="99"/>
      <c r="T20" s="99"/>
      <c r="U20" s="99"/>
      <c r="V20" s="99"/>
      <c r="W20" s="99"/>
      <c r="X20" s="100"/>
      <c r="Y20" s="50"/>
      <c r="Z20" s="50"/>
      <c r="AA20" s="51"/>
    </row>
    <row r="21" spans="1:27" ht="33.75" customHeight="1">
      <c r="A21" s="49"/>
      <c r="B21" s="98"/>
      <c r="C21" s="99"/>
      <c r="D21" s="99"/>
      <c r="E21" s="99"/>
      <c r="F21" s="99"/>
      <c r="G21" s="99"/>
      <c r="H21" s="99"/>
      <c r="I21" s="99"/>
      <c r="J21" s="99"/>
      <c r="K21" s="99"/>
      <c r="L21" s="99"/>
      <c r="M21" s="99"/>
      <c r="N21" s="99"/>
      <c r="O21" s="99"/>
      <c r="P21" s="99"/>
      <c r="Q21" s="99"/>
      <c r="R21" s="99"/>
      <c r="S21" s="99"/>
      <c r="T21" s="99"/>
      <c r="U21" s="99"/>
      <c r="V21" s="99"/>
      <c r="W21" s="99"/>
      <c r="X21" s="100"/>
      <c r="Y21" s="50"/>
      <c r="Z21" s="50"/>
      <c r="AA21" s="51"/>
    </row>
    <row r="22" spans="1:27" ht="21.75" customHeight="1">
      <c r="A22" s="49"/>
      <c r="B22" s="101"/>
      <c r="C22" s="102"/>
      <c r="D22" s="102"/>
      <c r="E22" s="102"/>
      <c r="F22" s="102"/>
      <c r="G22" s="102"/>
      <c r="H22" s="102"/>
      <c r="I22" s="102"/>
      <c r="J22" s="102"/>
      <c r="K22" s="102"/>
      <c r="L22" s="102"/>
      <c r="M22" s="102"/>
      <c r="N22" s="102"/>
      <c r="O22" s="102"/>
      <c r="P22" s="102"/>
      <c r="Q22" s="102"/>
      <c r="R22" s="102"/>
      <c r="S22" s="102"/>
      <c r="T22" s="102"/>
      <c r="U22" s="102"/>
      <c r="V22" s="102"/>
      <c r="W22" s="102"/>
      <c r="X22" s="103"/>
      <c r="Y22" s="50"/>
      <c r="Z22" s="50"/>
      <c r="AA22" s="51"/>
    </row>
    <row r="23" spans="1:27" ht="14.45">
      <c r="A23" s="49"/>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1"/>
    </row>
    <row r="24" spans="1:27" ht="14.45">
      <c r="A24" s="49"/>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1"/>
    </row>
    <row r="25" spans="1:27" ht="14.45">
      <c r="A25" s="49"/>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1"/>
    </row>
    <row r="26" spans="1:27" ht="14.45">
      <c r="A26" s="49"/>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1"/>
    </row>
    <row r="27" spans="1:27" ht="14.45">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1"/>
    </row>
    <row r="28" spans="1:27" ht="14.45">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1"/>
    </row>
    <row r="29" spans="1:27" ht="14.45">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87"/>
      <c r="AA29" s="51"/>
    </row>
    <row r="30" spans="1:27" ht="14.45">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1"/>
    </row>
    <row r="31" spans="1:27" ht="14.45">
      <c r="A31" s="49"/>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1"/>
    </row>
    <row r="32" spans="1:27" ht="14.45">
      <c r="A32" s="49"/>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1"/>
    </row>
    <row r="33" spans="1:27" ht="14.45">
      <c r="A33" s="49"/>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1"/>
    </row>
    <row r="34" spans="1:27" ht="14.45">
      <c r="A34" s="49"/>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1"/>
    </row>
    <row r="35" spans="1:27" ht="14.45">
      <c r="A35" s="49"/>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1"/>
    </row>
    <row r="36" spans="1:27" ht="14.45">
      <c r="A36" s="49"/>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1"/>
    </row>
    <row r="37" spans="1:27" ht="14.45">
      <c r="A37" s="49"/>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1"/>
    </row>
    <row r="38" spans="1:27" ht="14.45">
      <c r="A38" s="49"/>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1"/>
    </row>
    <row r="39" spans="1:27" ht="14.45">
      <c r="A39" s="49"/>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1"/>
    </row>
    <row r="40" spans="1:27" ht="14.45">
      <c r="A40" s="49"/>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1"/>
    </row>
    <row r="41" spans="1:27" ht="14.45">
      <c r="A41" s="49"/>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1"/>
    </row>
    <row r="42" spans="1:27" ht="14.45">
      <c r="A42" s="49"/>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1"/>
    </row>
    <row r="43" spans="1:27" ht="14.45">
      <c r="A43" s="49"/>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1"/>
    </row>
    <row r="44" spans="1:27" ht="14.45">
      <c r="A44" s="49"/>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1"/>
    </row>
    <row r="45" spans="1:27" ht="14.45">
      <c r="A45" s="49"/>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1"/>
    </row>
    <row r="46" spans="1:27" ht="14.45">
      <c r="A46" s="49"/>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1"/>
    </row>
    <row r="47" spans="1:27" ht="14.45">
      <c r="A47" s="49"/>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1"/>
    </row>
    <row r="48" spans="1:27" ht="14.45">
      <c r="A48" s="49"/>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1"/>
    </row>
    <row r="49" spans="1:27" ht="14.45">
      <c r="A49" s="49"/>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1"/>
    </row>
    <row r="50" spans="1:27" ht="14.45">
      <c r="A50" s="49"/>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1"/>
    </row>
    <row r="51" spans="1:27" ht="14.45">
      <c r="A51" s="49"/>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1"/>
    </row>
    <row r="52" spans="1:27" ht="14.45">
      <c r="A52" s="49"/>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1"/>
    </row>
    <row r="53" spans="1:27" ht="14.45">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1"/>
    </row>
    <row r="54" spans="1:27" ht="14.45">
      <c r="A54" s="49"/>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1"/>
    </row>
    <row r="55" spans="1:27" ht="14.45">
      <c r="A55" s="49"/>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1"/>
    </row>
    <row r="56" spans="1:27" ht="14.45">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1"/>
    </row>
    <row r="57" spans="1:27" ht="14.45">
      <c r="A57" s="49"/>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1"/>
    </row>
    <row r="58" spans="1:27" ht="14.45">
      <c r="A58" s="49"/>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1"/>
    </row>
    <row r="59" spans="1:27" ht="14.45">
      <c r="A59" s="49"/>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1"/>
    </row>
    <row r="60" spans="1:27" ht="14.45">
      <c r="A60" s="49"/>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1"/>
    </row>
    <row r="61" spans="1:27" ht="14.45">
      <c r="A61" s="49"/>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1"/>
    </row>
    <row r="62" spans="1:27" ht="14.45">
      <c r="A62" s="49"/>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1"/>
    </row>
    <row r="63" spans="1:27" ht="14.45">
      <c r="A63" s="49"/>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1"/>
    </row>
    <row r="64" spans="1:27" ht="14.45">
      <c r="A64" s="49"/>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1"/>
    </row>
    <row r="65" spans="1:27" ht="14.45">
      <c r="A65" s="49"/>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1"/>
    </row>
    <row r="66" spans="1:27" ht="14.45">
      <c r="A66" s="49"/>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1"/>
    </row>
    <row r="67" spans="1:27" ht="14.45">
      <c r="A67" s="49"/>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1"/>
    </row>
    <row r="68" spans="1:27" ht="14.45">
      <c r="A68" s="49"/>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1"/>
    </row>
    <row r="69" spans="1:27" ht="14.45">
      <c r="A69" s="49"/>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1"/>
    </row>
    <row r="70" spans="1:27" ht="14.45">
      <c r="A70" s="49"/>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1"/>
    </row>
    <row r="71" spans="1:27" ht="14.45">
      <c r="A71" s="49"/>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1"/>
    </row>
    <row r="72" spans="1:27" ht="14.45">
      <c r="A72" s="49"/>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1"/>
    </row>
    <row r="73" spans="1:27" ht="14.45">
      <c r="A73" s="49"/>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1"/>
    </row>
    <row r="74" spans="1:27" ht="14.45">
      <c r="A74" s="49"/>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1"/>
    </row>
    <row r="75" spans="1:27" ht="14.45">
      <c r="A75" s="49"/>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1"/>
    </row>
    <row r="76" spans="1:27" ht="14.45">
      <c r="A76" s="49"/>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1"/>
    </row>
    <row r="77" spans="1:27" ht="14.45">
      <c r="A77" s="49"/>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1"/>
    </row>
    <row r="78" spans="1:27" ht="14.45">
      <c r="A78" s="49"/>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1"/>
    </row>
    <row r="79" spans="1:27" ht="14.45">
      <c r="A79" s="49"/>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1"/>
    </row>
    <row r="80" spans="1:27" ht="14.45">
      <c r="A80" s="49"/>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1"/>
    </row>
    <row r="81" spans="1:27" ht="14.45">
      <c r="A81" s="49"/>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1"/>
    </row>
    <row r="82" spans="1:27" ht="14.45">
      <c r="A82" s="49"/>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1"/>
    </row>
    <row r="83" spans="1:27" ht="14.45">
      <c r="A83" s="49"/>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1"/>
    </row>
    <row r="84" spans="1:27" ht="14.45">
      <c r="A84" s="49"/>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1"/>
    </row>
    <row r="85" spans="1:27" ht="14.45">
      <c r="A85" s="49"/>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1"/>
    </row>
    <row r="86" spans="1:27" ht="14.45">
      <c r="A86" s="49"/>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1"/>
    </row>
    <row r="87" spans="1:27" ht="14.45">
      <c r="A87" s="49"/>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1"/>
    </row>
    <row r="88" spans="1:27" ht="14.45">
      <c r="A88" s="49"/>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1"/>
    </row>
    <row r="89" spans="1:27" ht="14.45">
      <c r="A89" s="49"/>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1"/>
    </row>
    <row r="90" spans="1:27" ht="14.45">
      <c r="A90" s="49"/>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1"/>
    </row>
    <row r="91" spans="1:27" ht="14.45">
      <c r="A91" s="49"/>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1"/>
    </row>
    <row r="92" spans="1:27" ht="14.45">
      <c r="A92" s="49"/>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1"/>
    </row>
    <row r="93" spans="1:27" ht="14.45">
      <c r="A93" s="49"/>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1"/>
    </row>
    <row r="94" spans="1:27" ht="14.45">
      <c r="A94" s="49"/>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1"/>
    </row>
    <row r="95" spans="1:27" ht="14.45">
      <c r="A95" s="49"/>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1"/>
    </row>
    <row r="96" spans="1:27" ht="14.45">
      <c r="A96" s="49"/>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1"/>
    </row>
    <row r="97" spans="1:27" ht="14.45">
      <c r="A97" s="49"/>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1"/>
    </row>
    <row r="98" spans="1:27" ht="14.45">
      <c r="A98" s="49"/>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1"/>
    </row>
    <row r="99" spans="1:27" ht="14.45">
      <c r="A99" s="49"/>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1"/>
    </row>
    <row r="100" spans="1:27" ht="14.45">
      <c r="A100" s="49"/>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1"/>
    </row>
    <row r="101" spans="1:27" ht="14.45">
      <c r="A101" s="49"/>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1"/>
    </row>
    <row r="102" spans="1:27" ht="14.45">
      <c r="A102" s="4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1"/>
    </row>
    <row r="103" spans="1:27" ht="14.45">
      <c r="A103" s="49"/>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1"/>
    </row>
    <row r="104" spans="1:27" ht="14.45">
      <c r="A104" s="49"/>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1"/>
    </row>
    <row r="105" spans="1:27" ht="14.45">
      <c r="A105" s="49"/>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1"/>
    </row>
    <row r="106" spans="1:27" ht="14.45">
      <c r="A106" s="49"/>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1"/>
    </row>
    <row r="107" spans="1:27" ht="14.45">
      <c r="A107" s="49"/>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1"/>
    </row>
    <row r="108" spans="1:27" ht="14.45">
      <c r="A108" s="4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1"/>
    </row>
    <row r="109" spans="1:27" ht="14.45">
      <c r="A109" s="4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1"/>
    </row>
    <row r="110" spans="1:27" ht="14.45">
      <c r="A110" s="4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1"/>
    </row>
    <row r="111" spans="1:27" ht="14.45">
      <c r="A111" s="4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1"/>
    </row>
    <row r="112" spans="1:27" ht="14.45">
      <c r="A112" s="49"/>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1"/>
    </row>
    <row r="113" spans="1:27" ht="14.45">
      <c r="A113" s="49"/>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1"/>
    </row>
    <row r="114" spans="1:27" ht="14.45">
      <c r="A114" s="49"/>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1"/>
    </row>
    <row r="115" spans="1:27" ht="14.45">
      <c r="A115" s="49"/>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1"/>
    </row>
    <row r="116" spans="1:27" ht="14.45">
      <c r="A116" s="49"/>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1"/>
    </row>
    <row r="117" spans="1:27" ht="14.45">
      <c r="A117" s="49"/>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1"/>
    </row>
    <row r="118" spans="1:27" ht="14.45">
      <c r="A118" s="49"/>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1"/>
    </row>
    <row r="119" spans="1:27" ht="14.45">
      <c r="A119" s="49"/>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1"/>
    </row>
    <row r="120" spans="1:27" ht="14.45">
      <c r="A120" s="49"/>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1"/>
    </row>
    <row r="121" spans="1:27" ht="14.45">
      <c r="A121" s="49"/>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1"/>
    </row>
    <row r="122" spans="1:27" ht="14.45">
      <c r="A122" s="49"/>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1"/>
    </row>
    <row r="123" spans="1:27" ht="14.45">
      <c r="A123" s="49"/>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1"/>
    </row>
    <row r="124" spans="1:27" ht="14.45">
      <c r="A124" s="49"/>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1"/>
    </row>
    <row r="125" spans="1:27" ht="14.45">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1"/>
    </row>
    <row r="126" spans="1:27" ht="14.45">
      <c r="A126" s="49"/>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1"/>
    </row>
    <row r="127" spans="1:27" ht="14.45">
      <c r="A127" s="49"/>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1"/>
    </row>
    <row r="128" spans="1:27" ht="14.45">
      <c r="A128" s="49"/>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1"/>
    </row>
    <row r="129" spans="1:27" ht="14.45">
      <c r="A129" s="49"/>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1"/>
    </row>
    <row r="130" spans="1:27" ht="14.45">
      <c r="A130" s="49"/>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1"/>
    </row>
    <row r="131" spans="1:27" ht="14.45">
      <c r="A131" s="49"/>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1"/>
    </row>
    <row r="132" spans="1:27" ht="14.45">
      <c r="A132" s="49"/>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1"/>
    </row>
    <row r="133" spans="1:27" ht="14.45">
      <c r="A133" s="49"/>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1"/>
    </row>
    <row r="134" spans="1:27" ht="14.45">
      <c r="A134" s="49"/>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1"/>
    </row>
    <row r="135" spans="1:27" ht="14.45">
      <c r="A135" s="49"/>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1"/>
    </row>
    <row r="136" spans="1:27" ht="14.45">
      <c r="A136" s="49"/>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1"/>
    </row>
    <row r="137" spans="1:27" ht="14.45">
      <c r="A137" s="49"/>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1"/>
    </row>
    <row r="138" spans="1:27" ht="14.45">
      <c r="A138" s="49"/>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1"/>
    </row>
    <row r="139" spans="1:27" ht="14.45">
      <c r="A139" s="49"/>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1"/>
    </row>
    <row r="140" spans="1:27" ht="14.45">
      <c r="A140" s="49"/>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1"/>
    </row>
    <row r="141" spans="1:27" ht="14.45">
      <c r="A141" s="49"/>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1"/>
    </row>
    <row r="142" spans="1:27" ht="14.45">
      <c r="A142" s="49"/>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1"/>
    </row>
    <row r="143" spans="1:27" ht="14.45">
      <c r="A143" s="49"/>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1"/>
    </row>
    <row r="144" spans="1:27" ht="14.45">
      <c r="A144" s="49"/>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1"/>
    </row>
    <row r="145" spans="1:27" ht="14.45">
      <c r="A145" s="49"/>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1"/>
    </row>
    <row r="146" spans="1:27" ht="14.45">
      <c r="A146" s="49"/>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1"/>
    </row>
    <row r="147" spans="1:27" ht="14.45">
      <c r="A147" s="49"/>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1"/>
    </row>
    <row r="148" spans="1:27" ht="14.45">
      <c r="A148" s="49"/>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1"/>
    </row>
    <row r="149" spans="1:27" ht="14.45">
      <c r="A149" s="49"/>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1"/>
    </row>
    <row r="150" spans="1:27" ht="14.45">
      <c r="A150" s="49"/>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1"/>
    </row>
    <row r="151" spans="1:27" ht="14.45">
      <c r="A151" s="49"/>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1"/>
    </row>
    <row r="152" spans="1:27" ht="14.45">
      <c r="A152" s="49"/>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1"/>
    </row>
    <row r="153" spans="1:27" ht="14.45">
      <c r="A153" s="49"/>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1"/>
    </row>
    <row r="154" spans="1:27" ht="14.45">
      <c r="A154" s="49"/>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1"/>
    </row>
    <row r="155" spans="1:27" ht="14.45">
      <c r="A155" s="49"/>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1"/>
    </row>
    <row r="156" spans="1:27" ht="14.45">
      <c r="A156" s="49"/>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1"/>
    </row>
    <row r="157" spans="1:27" ht="14.45">
      <c r="A157" s="4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1"/>
    </row>
    <row r="158" spans="1:27" ht="14.45">
      <c r="A158" s="49"/>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1"/>
    </row>
    <row r="159" spans="1:27" ht="14.45">
      <c r="A159" s="49"/>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1"/>
    </row>
    <row r="160" spans="1:27" ht="14.45">
      <c r="A160" s="49"/>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1"/>
    </row>
    <row r="161" spans="1:27" ht="14.45">
      <c r="A161" s="49"/>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1"/>
    </row>
    <row r="162" spans="1:27" ht="14.45">
      <c r="A162" s="49"/>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1"/>
    </row>
    <row r="163" spans="1:27" ht="14.45">
      <c r="A163" s="49"/>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1"/>
    </row>
    <row r="164" spans="1:27" ht="14.45">
      <c r="A164" s="49"/>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1"/>
    </row>
    <row r="165" spans="1:27" ht="14.45">
      <c r="A165" s="49"/>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1"/>
    </row>
    <row r="166" spans="1:27" ht="14.45">
      <c r="A166" s="49"/>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1"/>
    </row>
    <row r="167" spans="1:27" ht="14.45">
      <c r="A167" s="49"/>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1"/>
    </row>
    <row r="168" spans="1:27" ht="14.45">
      <c r="A168" s="49"/>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1"/>
    </row>
    <row r="169" spans="1:27" ht="14.45">
      <c r="A169" s="49"/>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1"/>
    </row>
    <row r="170" spans="1:27" ht="14.45">
      <c r="A170" s="49"/>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1"/>
    </row>
    <row r="171" spans="1:27" ht="14.45">
      <c r="A171" s="49"/>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1"/>
    </row>
    <row r="172" spans="1:27" ht="14.45">
      <c r="A172" s="49"/>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1"/>
    </row>
    <row r="173" spans="1:27" ht="14.45">
      <c r="A173" s="49"/>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1"/>
    </row>
    <row r="174" spans="1:27" ht="14.45">
      <c r="A174" s="49"/>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1"/>
    </row>
    <row r="175" spans="1:27" ht="14.45">
      <c r="A175" s="49"/>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1"/>
    </row>
    <row r="176" spans="1:27" ht="14.45">
      <c r="A176" s="49"/>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1"/>
    </row>
    <row r="177" spans="1:27" ht="14.45">
      <c r="A177" s="49"/>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1"/>
    </row>
    <row r="178" spans="1:27" ht="14.45">
      <c r="A178" s="49"/>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1"/>
    </row>
    <row r="179" spans="1:27" ht="14.45">
      <c r="A179" s="49"/>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1"/>
    </row>
    <row r="180" spans="1:27" ht="14.45">
      <c r="A180" s="49"/>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1"/>
    </row>
    <row r="181" spans="1:27" ht="14.45">
      <c r="A181" s="49"/>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1"/>
    </row>
    <row r="182" spans="1:27" ht="14.45">
      <c r="A182" s="49"/>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1"/>
    </row>
    <row r="183" spans="1:27" ht="14.45">
      <c r="A183" s="49"/>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1"/>
    </row>
    <row r="184" spans="1:27" ht="14.45">
      <c r="A184" s="49"/>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1"/>
    </row>
    <row r="185" spans="1:27" ht="14.45">
      <c r="A185" s="49"/>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1"/>
    </row>
    <row r="186" spans="1:27" ht="14.45">
      <c r="A186" s="49"/>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1"/>
    </row>
    <row r="187" spans="1:27" ht="14.45">
      <c r="A187" s="49"/>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1"/>
    </row>
    <row r="188" spans="1:27" ht="14.45">
      <c r="A188" s="49"/>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1"/>
    </row>
    <row r="189" spans="1:27" ht="14.45">
      <c r="A189" s="49"/>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1"/>
    </row>
    <row r="190" spans="1:27" ht="14.45">
      <c r="A190" s="49"/>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1"/>
    </row>
    <row r="191" spans="1:27" ht="14.45">
      <c r="A191" s="49"/>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1"/>
    </row>
    <row r="192" spans="1:27" ht="14.45">
      <c r="A192" s="49"/>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1"/>
    </row>
    <row r="193" spans="1:27" ht="14.45">
      <c r="A193" s="49"/>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1"/>
    </row>
    <row r="194" spans="1:27" ht="14.45">
      <c r="A194" s="49"/>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1"/>
    </row>
    <row r="195" spans="1:27" ht="14.45">
      <c r="A195" s="49"/>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1"/>
    </row>
    <row r="196" spans="1:27" ht="14.45">
      <c r="A196" s="49"/>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1"/>
    </row>
    <row r="197" spans="1:27" ht="14.45">
      <c r="A197" s="49"/>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1"/>
    </row>
    <row r="198" spans="1:27" ht="14.45">
      <c r="A198" s="49"/>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1"/>
    </row>
    <row r="199" spans="1:27" ht="14.45">
      <c r="A199" s="49"/>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1"/>
    </row>
    <row r="200" spans="1:27" ht="14.45">
      <c r="A200" s="49"/>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1"/>
    </row>
    <row r="201" spans="1:27" ht="14.45">
      <c r="A201" s="49"/>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1"/>
    </row>
    <row r="202" spans="1:27" ht="14.45">
      <c r="A202" s="49"/>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1"/>
    </row>
    <row r="203" spans="1:27" ht="14.45">
      <c r="A203" s="49"/>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1"/>
    </row>
    <row r="204" spans="1:27" ht="14.45">
      <c r="A204" s="49"/>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1"/>
    </row>
    <row r="205" spans="1:27" ht="14.45">
      <c r="A205" s="49"/>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1"/>
    </row>
    <row r="206" spans="1:27" ht="14.45">
      <c r="A206" s="49"/>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1"/>
    </row>
    <row r="207" spans="1:27" ht="14.45">
      <c r="A207" s="49"/>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1"/>
    </row>
    <row r="208" spans="1:27" ht="14.45">
      <c r="A208" s="49"/>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1"/>
    </row>
    <row r="209" spans="1:27" ht="14.45">
      <c r="A209" s="49"/>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1"/>
    </row>
    <row r="210" spans="1:27" ht="14.45">
      <c r="A210" s="49"/>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1"/>
    </row>
    <row r="211" spans="1:27" ht="14.45">
      <c r="A211" s="49"/>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1"/>
    </row>
    <row r="212" spans="1:27" ht="14.45">
      <c r="A212" s="49"/>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1"/>
    </row>
    <row r="213" spans="1:27" ht="14.45">
      <c r="A213" s="49"/>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1"/>
    </row>
    <row r="214" spans="1:27" ht="14.45">
      <c r="A214" s="49"/>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1"/>
    </row>
    <row r="215" spans="1:27" ht="14.45">
      <c r="A215" s="49"/>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1"/>
    </row>
    <row r="216" spans="1:27" ht="14.45">
      <c r="A216" s="49"/>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1"/>
    </row>
    <row r="217" spans="1:27" ht="14.45">
      <c r="A217" s="49"/>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1"/>
    </row>
    <row r="218" spans="1:27" ht="14.45">
      <c r="A218" s="49"/>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1"/>
    </row>
    <row r="219" spans="1:27" ht="14.45">
      <c r="A219" s="49"/>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1"/>
    </row>
    <row r="220" spans="1:27" ht="14.45">
      <c r="A220" s="49"/>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1"/>
    </row>
    <row r="221" spans="1:27" ht="14.45">
      <c r="A221" s="49"/>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1"/>
    </row>
    <row r="222" spans="1:27" ht="14.45">
      <c r="A222" s="49"/>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1"/>
    </row>
    <row r="223" spans="1:27" ht="14.45">
      <c r="A223" s="49"/>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1"/>
    </row>
    <row r="224" spans="1:27" ht="14.45">
      <c r="A224" s="49"/>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1"/>
    </row>
    <row r="225" spans="1:27" ht="14.45">
      <c r="A225" s="49"/>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1"/>
    </row>
    <row r="226" spans="1:27" ht="14.45">
      <c r="A226" s="49"/>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1"/>
    </row>
    <row r="227" spans="1:27" ht="14.45">
      <c r="A227" s="49"/>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1"/>
    </row>
    <row r="228" spans="1:27" ht="14.45">
      <c r="A228" s="49"/>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1"/>
    </row>
    <row r="229" spans="1:27" ht="14.45">
      <c r="A229" s="49"/>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1"/>
    </row>
    <row r="230" spans="1:27" ht="14.45">
      <c r="A230" s="49"/>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1"/>
    </row>
    <row r="231" spans="1:27" ht="14.45">
      <c r="A231" s="49"/>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1"/>
    </row>
    <row r="232" spans="1:27" ht="14.45">
      <c r="A232" s="49"/>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1"/>
    </row>
    <row r="233" spans="1:27" ht="14.45">
      <c r="A233" s="49"/>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1"/>
    </row>
    <row r="234" spans="1:27" ht="14.45">
      <c r="A234" s="49"/>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1"/>
    </row>
    <row r="235" spans="1:27" ht="14.45">
      <c r="A235" s="49"/>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1"/>
    </row>
    <row r="236" spans="1:27" ht="14.45">
      <c r="A236" s="49"/>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1"/>
    </row>
    <row r="237" spans="1:27" ht="14.45">
      <c r="A237" s="49"/>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1"/>
    </row>
    <row r="238" spans="1:27" ht="14.45">
      <c r="A238" s="49"/>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1"/>
    </row>
    <row r="239" spans="1:27" ht="14.45">
      <c r="A239" s="49"/>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1"/>
    </row>
    <row r="240" spans="1:27" ht="14.45">
      <c r="A240" s="49"/>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1"/>
    </row>
    <row r="241" spans="1:27" ht="14.45">
      <c r="A241" s="49"/>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1"/>
    </row>
    <row r="242" spans="1:27" ht="14.45">
      <c r="A242" s="49"/>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1"/>
    </row>
    <row r="243" spans="1:27" ht="14.45">
      <c r="A243" s="49"/>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1"/>
    </row>
    <row r="244" spans="1:27" ht="14.45">
      <c r="A244" s="49"/>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1"/>
    </row>
    <row r="245" spans="1:27" ht="14.45">
      <c r="A245" s="49"/>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1"/>
    </row>
    <row r="246" spans="1:27" ht="14.45">
      <c r="A246" s="49"/>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1"/>
    </row>
    <row r="247" spans="1:27" ht="14.45">
      <c r="A247" s="49"/>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1"/>
    </row>
    <row r="248" spans="1:27" ht="14.45">
      <c r="A248" s="49"/>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1"/>
    </row>
    <row r="249" spans="1:27" ht="14.45">
      <c r="A249" s="49"/>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1"/>
    </row>
    <row r="250" spans="1:27" ht="14.45">
      <c r="A250" s="49"/>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1"/>
    </row>
    <row r="251" spans="1:27" ht="14.45">
      <c r="A251" s="49"/>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1"/>
    </row>
    <row r="252" spans="1:27" ht="14.45">
      <c r="A252" s="49"/>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1"/>
    </row>
    <row r="253" spans="1:27" ht="14.45">
      <c r="A253" s="49"/>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1"/>
    </row>
    <row r="254" spans="1:27" ht="14.45">
      <c r="A254" s="49"/>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1"/>
    </row>
    <row r="255" spans="1:27" ht="14.45">
      <c r="A255" s="49"/>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1"/>
    </row>
    <row r="256" spans="1:27" ht="14.45">
      <c r="A256" s="49"/>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1"/>
    </row>
    <row r="257" spans="1:27" ht="14.45">
      <c r="A257" s="49"/>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1"/>
    </row>
    <row r="258" spans="1:27" ht="14.45">
      <c r="A258" s="49"/>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1"/>
    </row>
    <row r="259" spans="1:27" ht="14.45">
      <c r="A259" s="49"/>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1"/>
    </row>
    <row r="260" spans="1:27" ht="14.45">
      <c r="A260" s="49"/>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1"/>
    </row>
    <row r="261" spans="1:27" ht="14.45">
      <c r="A261" s="49"/>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1"/>
    </row>
    <row r="262" spans="1:27" ht="14.45">
      <c r="A262" s="49"/>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1"/>
    </row>
    <row r="263" spans="1:27" ht="14.45">
      <c r="A263" s="49"/>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1"/>
    </row>
    <row r="264" spans="1:27" ht="14.45">
      <c r="A264" s="49"/>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1"/>
    </row>
    <row r="265" spans="1:27" ht="14.45">
      <c r="A265" s="49"/>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1"/>
    </row>
    <row r="266" spans="1:27" ht="14.45">
      <c r="A266" s="49"/>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1"/>
    </row>
    <row r="267" spans="1:27" ht="14.45">
      <c r="A267" s="49"/>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1"/>
    </row>
    <row r="268" spans="1:27" ht="14.45">
      <c r="A268" s="49"/>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1"/>
    </row>
    <row r="269" spans="1:27" ht="14.45">
      <c r="A269" s="49"/>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1"/>
    </row>
    <row r="270" spans="1:27" ht="14.45">
      <c r="A270" s="49"/>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1"/>
    </row>
    <row r="271" spans="1:27" ht="14.45">
      <c r="A271" s="49"/>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1"/>
    </row>
    <row r="272" spans="1:27" ht="14.45">
      <c r="A272" s="49"/>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1"/>
    </row>
    <row r="273" spans="1:27" ht="14.45">
      <c r="A273" s="49"/>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1"/>
    </row>
    <row r="274" spans="1:27" ht="14.45">
      <c r="A274" s="49"/>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1"/>
    </row>
    <row r="275" spans="1:27" ht="14.45">
      <c r="A275" s="49"/>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1"/>
    </row>
    <row r="276" spans="1:27" ht="14.45">
      <c r="A276" s="49"/>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1"/>
    </row>
    <row r="277" spans="1:27" ht="14.45">
      <c r="A277" s="49"/>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1"/>
    </row>
    <row r="278" spans="1:27" ht="14.45">
      <c r="A278" s="49"/>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1"/>
    </row>
    <row r="279" spans="1:27" ht="14.45">
      <c r="A279" s="49"/>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1"/>
    </row>
    <row r="280" spans="1:27" ht="14.45">
      <c r="A280" s="49"/>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1"/>
    </row>
    <row r="281" spans="1:27" ht="14.45">
      <c r="A281" s="49"/>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1"/>
    </row>
    <row r="282" spans="1:27" ht="14.45">
      <c r="A282" s="49"/>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1"/>
    </row>
    <row r="283" spans="1:27" ht="14.45">
      <c r="A283" s="49"/>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1"/>
    </row>
    <row r="284" spans="1:27" ht="14.45">
      <c r="A284" s="49"/>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1"/>
    </row>
    <row r="285" spans="1:27" ht="14.45">
      <c r="A285" s="49"/>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1"/>
    </row>
    <row r="286" spans="1:27" ht="14.45">
      <c r="A286" s="49"/>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1"/>
    </row>
    <row r="287" spans="1:27" ht="14.45">
      <c r="A287" s="49"/>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1"/>
    </row>
    <row r="288" spans="1:27" ht="14.45">
      <c r="A288" s="49"/>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1"/>
    </row>
    <row r="289" spans="1:27" ht="14.45">
      <c r="A289" s="49"/>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1"/>
    </row>
    <row r="290" spans="1:27" ht="14.45">
      <c r="A290" s="49"/>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1"/>
    </row>
    <row r="291" spans="1:27" ht="14.45">
      <c r="A291" s="49"/>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1"/>
    </row>
    <row r="292" spans="1:27" ht="14.45">
      <c r="A292" s="49"/>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1"/>
    </row>
    <row r="293" spans="1:27" ht="14.45">
      <c r="A293" s="49"/>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1"/>
    </row>
    <row r="294" spans="1:27" ht="14.45">
      <c r="A294" s="49"/>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1"/>
    </row>
    <row r="295" spans="1:27" ht="14.45">
      <c r="A295" s="49"/>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1"/>
    </row>
    <row r="296" spans="1:27" ht="14.45">
      <c r="A296" s="49"/>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1"/>
    </row>
    <row r="297" spans="1:27" ht="14.45">
      <c r="A297" s="49"/>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1"/>
    </row>
    <row r="298" spans="1:27" ht="14.45">
      <c r="A298" s="49"/>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1"/>
    </row>
    <row r="299" spans="1:27" ht="14.45">
      <c r="A299" s="49"/>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1"/>
    </row>
    <row r="300" spans="1:27" ht="14.45">
      <c r="A300" s="49"/>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1"/>
    </row>
    <row r="301" spans="1:27" ht="14.45">
      <c r="A301" s="49"/>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1"/>
    </row>
    <row r="302" spans="1:27" ht="14.45">
      <c r="A302" s="49"/>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1"/>
    </row>
    <row r="303" spans="1:27" ht="14.45">
      <c r="A303" s="49"/>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1"/>
    </row>
    <row r="304" spans="1:27" ht="14.45">
      <c r="A304" s="49"/>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1"/>
    </row>
    <row r="305" spans="1:27" ht="14.45">
      <c r="A305" s="49"/>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1"/>
    </row>
    <row r="306" spans="1:27" ht="14.45">
      <c r="A306" s="49"/>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1"/>
    </row>
    <row r="307" spans="1:27" ht="14.45">
      <c r="A307" s="49"/>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1"/>
    </row>
    <row r="308" spans="1:27" ht="14.45">
      <c r="A308" s="49"/>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1"/>
    </row>
    <row r="309" spans="1:27" ht="14.45">
      <c r="A309" s="49"/>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1"/>
    </row>
    <row r="310" spans="1:27" ht="14.45">
      <c r="A310" s="49"/>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1"/>
    </row>
    <row r="311" spans="1:27" ht="14.45">
      <c r="A311" s="49"/>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1"/>
    </row>
    <row r="312" spans="1:27" ht="14.45">
      <c r="A312" s="49"/>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1"/>
    </row>
    <row r="313" spans="1:27" ht="14.45">
      <c r="A313" s="49"/>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1"/>
    </row>
    <row r="314" spans="1:27" ht="14.45">
      <c r="A314" s="49"/>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1"/>
    </row>
    <row r="315" spans="1:27" ht="14.45">
      <c r="A315" s="49"/>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1"/>
    </row>
    <row r="316" spans="1:27" ht="14.45">
      <c r="A316" s="49"/>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1"/>
    </row>
    <row r="317" spans="1:27" ht="14.45">
      <c r="A317" s="49"/>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1"/>
    </row>
    <row r="318" spans="1:27" ht="14.45">
      <c r="A318" s="49"/>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1"/>
    </row>
    <row r="319" spans="1:27" ht="14.45">
      <c r="A319" s="49"/>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1"/>
    </row>
    <row r="320" spans="1:27" ht="14.45">
      <c r="A320" s="49"/>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1"/>
    </row>
    <row r="321" spans="1:27" ht="14.45">
      <c r="A321" s="49"/>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1"/>
    </row>
    <row r="322" spans="1:27" ht="14.45">
      <c r="A322" s="49"/>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1"/>
    </row>
    <row r="323" spans="1:27" ht="14.45">
      <c r="A323" s="49"/>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1"/>
    </row>
    <row r="324" spans="1:27" ht="14.45">
      <c r="A324" s="49"/>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1"/>
    </row>
    <row r="325" spans="1:27" ht="14.45">
      <c r="A325" s="49"/>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1"/>
    </row>
    <row r="326" spans="1:27" ht="14.45">
      <c r="A326" s="49"/>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1"/>
    </row>
    <row r="327" spans="1:27" ht="14.45">
      <c r="A327" s="49"/>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1"/>
    </row>
    <row r="328" spans="1:27" ht="14.45">
      <c r="A328" s="49"/>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1"/>
    </row>
    <row r="329" spans="1:27" ht="14.45">
      <c r="A329" s="49"/>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1"/>
    </row>
    <row r="330" spans="1:27" ht="14.45">
      <c r="A330" s="49"/>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1"/>
    </row>
    <row r="331" spans="1:27" ht="14.45">
      <c r="A331" s="49"/>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1"/>
    </row>
    <row r="332" spans="1:27" ht="14.45">
      <c r="A332" s="49"/>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1"/>
    </row>
    <row r="333" spans="1:27" ht="14.45">
      <c r="A333" s="49"/>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1"/>
    </row>
    <row r="334" spans="1:27" ht="14.45">
      <c r="A334" s="49"/>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1"/>
    </row>
    <row r="335" spans="1:27" ht="14.45">
      <c r="A335" s="49"/>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1"/>
    </row>
    <row r="336" spans="1:27" ht="14.45">
      <c r="A336" s="49"/>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1"/>
    </row>
    <row r="337" spans="1:27" ht="14.45">
      <c r="A337" s="49"/>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1"/>
    </row>
    <row r="338" spans="1:27" ht="14.45">
      <c r="A338" s="49"/>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1"/>
    </row>
    <row r="339" spans="1:27" ht="14.45">
      <c r="A339" s="49"/>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1"/>
    </row>
    <row r="340" spans="1:27" ht="14.45">
      <c r="A340" s="49"/>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1"/>
    </row>
    <row r="341" spans="1:27" ht="14.45">
      <c r="A341" s="49"/>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1"/>
    </row>
    <row r="342" spans="1:27" ht="14.45">
      <c r="A342" s="49"/>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1"/>
    </row>
    <row r="343" spans="1:27" ht="14.45">
      <c r="A343" s="49"/>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1"/>
    </row>
    <row r="344" spans="1:27" ht="14.45">
      <c r="A344" s="49"/>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1"/>
    </row>
    <row r="345" spans="1:27" ht="14.45">
      <c r="A345" s="49"/>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1"/>
    </row>
    <row r="346" spans="1:27" ht="14.45">
      <c r="A346" s="49"/>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1"/>
    </row>
    <row r="347" spans="1:27" ht="14.45">
      <c r="A347" s="49"/>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1"/>
    </row>
    <row r="348" spans="1:27" ht="14.45">
      <c r="A348" s="49"/>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1"/>
    </row>
    <row r="349" spans="1:27" ht="14.45">
      <c r="A349" s="49"/>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1"/>
    </row>
    <row r="350" spans="1:27" ht="14.45">
      <c r="A350" s="49"/>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1"/>
    </row>
    <row r="351" spans="1:27" ht="14.45">
      <c r="A351" s="49"/>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1"/>
    </row>
    <row r="352" spans="1:27" ht="14.45">
      <c r="A352" s="49"/>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1"/>
    </row>
    <row r="353" spans="1:27" ht="14.45">
      <c r="A353" s="49"/>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1"/>
    </row>
    <row r="354" spans="1:27" ht="14.45">
      <c r="A354" s="49"/>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1"/>
    </row>
    <row r="355" spans="1:27" ht="14.45">
      <c r="A355" s="49"/>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1"/>
    </row>
    <row r="356" spans="1:27" ht="14.45">
      <c r="A356" s="49"/>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1"/>
    </row>
    <row r="357" spans="1:27" ht="14.45">
      <c r="A357" s="49"/>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1"/>
    </row>
    <row r="358" spans="1:27" ht="14.45">
      <c r="A358" s="49"/>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1"/>
    </row>
    <row r="359" spans="1:27" ht="14.45">
      <c r="A359" s="49"/>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1"/>
    </row>
    <row r="360" spans="1:27" ht="14.45">
      <c r="A360" s="49"/>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1"/>
    </row>
    <row r="361" spans="1:27" ht="14.45">
      <c r="A361" s="49"/>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1"/>
    </row>
    <row r="362" spans="1:27" ht="14.45">
      <c r="A362" s="49"/>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1"/>
    </row>
    <row r="363" spans="1:27" ht="14.45">
      <c r="A363" s="49"/>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1"/>
    </row>
    <row r="364" spans="1:27" ht="14.45">
      <c r="A364" s="49"/>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1"/>
    </row>
    <row r="365" spans="1:27" ht="14.45">
      <c r="A365" s="49"/>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1"/>
    </row>
    <row r="366" spans="1:27" ht="14.45">
      <c r="A366" s="49"/>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1"/>
    </row>
    <row r="367" spans="1:27" ht="14.45">
      <c r="A367" s="49"/>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1"/>
    </row>
    <row r="368" spans="1:27" ht="14.45">
      <c r="A368" s="49"/>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1"/>
    </row>
    <row r="369" spans="1:27" ht="14.45">
      <c r="A369" s="49"/>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1"/>
    </row>
    <row r="370" spans="1:27" ht="14.45">
      <c r="A370" s="49"/>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1"/>
    </row>
    <row r="371" spans="1:27" ht="14.45">
      <c r="A371" s="49"/>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1"/>
    </row>
    <row r="372" spans="1:27" ht="14.45">
      <c r="A372" s="49"/>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1"/>
    </row>
    <row r="373" spans="1:27" ht="14.45">
      <c r="A373" s="49"/>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1"/>
    </row>
    <row r="374" spans="1:27" ht="14.45">
      <c r="A374" s="49"/>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1"/>
    </row>
    <row r="375" spans="1:27" ht="14.45">
      <c r="A375" s="49"/>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1"/>
    </row>
    <row r="376" spans="1:27" ht="14.45">
      <c r="A376" s="49"/>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1"/>
    </row>
    <row r="377" spans="1:27" ht="14.45">
      <c r="A377" s="49"/>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1"/>
    </row>
    <row r="378" spans="1:27" ht="14.45">
      <c r="A378" s="49"/>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1"/>
    </row>
    <row r="379" spans="1:27" ht="14.45">
      <c r="A379" s="49"/>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1"/>
    </row>
    <row r="380" spans="1:27" ht="14.45">
      <c r="A380" s="49"/>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1"/>
    </row>
    <row r="381" spans="1:27" ht="14.45">
      <c r="A381" s="49"/>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1"/>
    </row>
    <row r="382" spans="1:27" ht="14.45">
      <c r="A382" s="49"/>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1"/>
    </row>
    <row r="383" spans="1:27" ht="14.45">
      <c r="A383" s="49"/>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1"/>
    </row>
    <row r="384" spans="1:27" ht="14.45">
      <c r="A384" s="49"/>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1"/>
    </row>
    <row r="385" spans="1:27" ht="14.45">
      <c r="A385" s="49"/>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1"/>
    </row>
    <row r="386" spans="1:27" ht="14.45">
      <c r="A386" s="49"/>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1"/>
    </row>
    <row r="387" spans="1:27" ht="14.45">
      <c r="A387" s="49"/>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1"/>
    </row>
    <row r="388" spans="1:27" ht="14.45">
      <c r="A388" s="49"/>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1"/>
    </row>
    <row r="389" spans="1:27" ht="14.45">
      <c r="A389" s="49"/>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1"/>
    </row>
    <row r="390" spans="1:27" ht="14.45">
      <c r="A390" s="49"/>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1"/>
    </row>
    <row r="391" spans="1:27" ht="14.45">
      <c r="A391" s="49"/>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1"/>
    </row>
    <row r="392" spans="1:27" ht="14.45">
      <c r="A392" s="49"/>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1"/>
    </row>
    <row r="393" spans="1:27" ht="14.45">
      <c r="A393" s="49"/>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1"/>
    </row>
    <row r="394" spans="1:27" ht="14.45">
      <c r="A394" s="49"/>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1"/>
    </row>
    <row r="395" spans="1:27" ht="14.45">
      <c r="A395" s="49"/>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1"/>
    </row>
    <row r="396" spans="1:27" ht="14.45">
      <c r="A396" s="49"/>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1"/>
    </row>
    <row r="397" spans="1:27" ht="14.45">
      <c r="A397" s="49"/>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1"/>
    </row>
    <row r="398" spans="1:27" ht="14.45">
      <c r="A398" s="49"/>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1"/>
    </row>
    <row r="399" spans="1:27" ht="14.45">
      <c r="A399" s="49"/>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1"/>
    </row>
    <row r="400" spans="1:27" ht="14.45">
      <c r="A400" s="49"/>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1"/>
    </row>
    <row r="401" spans="1:27" ht="14.45">
      <c r="A401" s="49"/>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1"/>
    </row>
    <row r="402" spans="1:27" ht="14.45">
      <c r="A402" s="49"/>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1"/>
    </row>
    <row r="403" spans="1:27" ht="14.45">
      <c r="A403" s="49"/>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1"/>
    </row>
    <row r="404" spans="1:27" ht="14.45">
      <c r="A404" s="49"/>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1"/>
    </row>
    <row r="405" spans="1:27" ht="14.45">
      <c r="A405" s="49"/>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1"/>
    </row>
    <row r="406" spans="1:27" ht="14.45">
      <c r="A406" s="49"/>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1"/>
    </row>
    <row r="407" spans="1:27" ht="14.45">
      <c r="A407" s="49"/>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1"/>
    </row>
    <row r="408" spans="1:27" ht="14.45">
      <c r="A408" s="49"/>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1"/>
    </row>
    <row r="409" spans="1:27" ht="14.45">
      <c r="A409" s="49"/>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1"/>
    </row>
    <row r="410" spans="1:27" ht="14.45">
      <c r="A410" s="49"/>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1"/>
    </row>
    <row r="411" spans="1:27" ht="14.45">
      <c r="A411" s="49"/>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1"/>
    </row>
    <row r="412" spans="1:27" ht="14.45">
      <c r="A412" s="49"/>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1"/>
    </row>
    <row r="413" spans="1:27" ht="14.45">
      <c r="A413" s="49"/>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1"/>
    </row>
    <row r="414" spans="1:27" ht="14.45">
      <c r="A414" s="49"/>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1"/>
    </row>
    <row r="415" spans="1:27" ht="14.45">
      <c r="A415" s="49"/>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1"/>
    </row>
    <row r="416" spans="1:27" ht="14.45">
      <c r="A416" s="49"/>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1"/>
    </row>
    <row r="417" spans="1:27" ht="14.45">
      <c r="A417" s="49"/>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1"/>
    </row>
    <row r="418" spans="1:27" ht="14.45">
      <c r="A418" s="49"/>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1"/>
    </row>
    <row r="419" spans="1:27" ht="14.45">
      <c r="A419" s="49"/>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1"/>
    </row>
    <row r="420" spans="1:27" ht="14.45">
      <c r="A420" s="49"/>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1"/>
    </row>
    <row r="421" spans="1:27" ht="14.45">
      <c r="A421" s="49"/>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1"/>
    </row>
    <row r="422" spans="1:27" ht="14.45">
      <c r="A422" s="49"/>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1"/>
    </row>
    <row r="423" spans="1:27" ht="14.45">
      <c r="A423" s="49"/>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1"/>
    </row>
    <row r="424" spans="1:27" ht="14.45">
      <c r="A424" s="49"/>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1"/>
    </row>
    <row r="425" spans="1:27" ht="14.45">
      <c r="A425" s="49"/>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1"/>
    </row>
    <row r="426" spans="1:27" ht="14.45">
      <c r="A426" s="49"/>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1"/>
    </row>
    <row r="427" spans="1:27" ht="14.45">
      <c r="A427" s="49"/>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1"/>
    </row>
    <row r="428" spans="1:27" ht="14.45">
      <c r="A428" s="49"/>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1"/>
    </row>
    <row r="429" spans="1:27" ht="14.45">
      <c r="A429" s="49"/>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1"/>
    </row>
    <row r="430" spans="1:27" ht="14.45">
      <c r="A430" s="49"/>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1"/>
    </row>
    <row r="431" spans="1:27" ht="14.45">
      <c r="A431" s="49"/>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1"/>
    </row>
    <row r="432" spans="1:27" ht="14.45">
      <c r="A432" s="49"/>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1"/>
    </row>
    <row r="433" spans="1:27" ht="14.45">
      <c r="A433" s="49"/>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1"/>
    </row>
    <row r="434" spans="1:27" ht="14.45">
      <c r="A434" s="49"/>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1"/>
    </row>
    <row r="435" spans="1:27" ht="14.45">
      <c r="A435" s="49"/>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1"/>
    </row>
    <row r="436" spans="1:27" ht="14.45">
      <c r="A436" s="49"/>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1"/>
    </row>
    <row r="437" spans="1:27" ht="14.45">
      <c r="A437" s="49"/>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1"/>
    </row>
    <row r="438" spans="1:27" ht="14.45">
      <c r="A438" s="49"/>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1"/>
    </row>
    <row r="439" spans="1:27" ht="14.45">
      <c r="A439" s="49"/>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1"/>
    </row>
    <row r="440" spans="1:27" ht="14.45">
      <c r="A440" s="49"/>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1"/>
    </row>
    <row r="441" spans="1:27" ht="14.45">
      <c r="A441" s="49"/>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1"/>
    </row>
    <row r="442" spans="1:27" ht="14.45">
      <c r="A442" s="49"/>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1"/>
    </row>
    <row r="443" spans="1:27" ht="14.45">
      <c r="A443" s="49"/>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1"/>
    </row>
    <row r="444" spans="1:27" ht="14.45">
      <c r="A444" s="49"/>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1"/>
    </row>
    <row r="445" spans="1:27" ht="14.45">
      <c r="A445" s="49"/>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1"/>
    </row>
    <row r="446" spans="1:27" ht="14.45">
      <c r="A446" s="49"/>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1"/>
    </row>
    <row r="447" spans="1:27" ht="14.45">
      <c r="A447" s="49"/>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1"/>
    </row>
    <row r="448" spans="1:27" ht="14.45">
      <c r="A448" s="49"/>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1"/>
    </row>
    <row r="449" spans="1:27" ht="14.45">
      <c r="A449" s="49"/>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1"/>
    </row>
    <row r="450" spans="1:27" ht="14.45">
      <c r="A450" s="49"/>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1"/>
    </row>
    <row r="451" spans="1:27" ht="14.45">
      <c r="A451" s="49"/>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1"/>
    </row>
    <row r="452" spans="1:27" ht="14.45">
      <c r="A452" s="49"/>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1"/>
    </row>
    <row r="453" spans="1:27" ht="14.45">
      <c r="A453" s="49"/>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1"/>
    </row>
    <row r="454" spans="1:27" ht="14.45">
      <c r="A454" s="49"/>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1"/>
    </row>
    <row r="455" spans="1:27" ht="14.45">
      <c r="A455" s="49"/>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1"/>
    </row>
    <row r="456" spans="1:27" ht="14.45">
      <c r="A456" s="49"/>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1"/>
    </row>
    <row r="457" spans="1:27" ht="14.45">
      <c r="A457" s="49"/>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1"/>
    </row>
    <row r="458" spans="1:27" ht="14.45">
      <c r="A458" s="49"/>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1"/>
    </row>
    <row r="459" spans="1:27" ht="14.45">
      <c r="A459" s="49"/>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1"/>
    </row>
    <row r="460" spans="1:27" ht="14.45">
      <c r="A460" s="49"/>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1"/>
    </row>
    <row r="461" spans="1:27" ht="14.45">
      <c r="A461" s="49"/>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1"/>
    </row>
    <row r="462" spans="1:27" ht="14.45">
      <c r="A462" s="49"/>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1"/>
    </row>
    <row r="463" spans="1:27" ht="14.45">
      <c r="A463" s="49"/>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1"/>
    </row>
    <row r="464" spans="1:27" ht="14.45">
      <c r="A464" s="49"/>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1"/>
    </row>
    <row r="465" spans="1:27" ht="14.45">
      <c r="A465" s="49"/>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1"/>
    </row>
    <row r="466" spans="1:27" ht="14.45">
      <c r="A466" s="49"/>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1"/>
    </row>
    <row r="467" spans="1:27" ht="14.45">
      <c r="A467" s="49"/>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1"/>
    </row>
    <row r="468" spans="1:27" ht="14.45">
      <c r="A468" s="49"/>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1"/>
    </row>
    <row r="469" spans="1:27" ht="14.45">
      <c r="A469" s="49"/>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1"/>
    </row>
    <row r="470" spans="1:27" ht="14.45">
      <c r="A470" s="49"/>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1"/>
    </row>
    <row r="471" spans="1:27" ht="14.45">
      <c r="A471" s="49"/>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1"/>
    </row>
    <row r="472" spans="1:27" ht="14.45">
      <c r="A472" s="49"/>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1"/>
    </row>
    <row r="473" spans="1:27" ht="14.45">
      <c r="A473" s="49"/>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1"/>
    </row>
    <row r="474" spans="1:27" ht="14.45">
      <c r="A474" s="49"/>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1"/>
    </row>
    <row r="475" spans="1:27" ht="14.45">
      <c r="A475" s="49"/>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1"/>
    </row>
    <row r="476" spans="1:27" ht="14.45">
      <c r="A476" s="49"/>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1"/>
    </row>
    <row r="477" spans="1:27" ht="14.45">
      <c r="A477" s="49"/>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1"/>
    </row>
    <row r="478" spans="1:27" ht="14.45">
      <c r="A478" s="49"/>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1"/>
    </row>
    <row r="479" spans="1:27" ht="14.45">
      <c r="A479" s="49"/>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1"/>
    </row>
    <row r="480" spans="1:27" ht="14.45">
      <c r="A480" s="49"/>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1"/>
    </row>
    <row r="481" spans="1:27" ht="14.45">
      <c r="A481" s="49"/>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1"/>
    </row>
    <row r="482" spans="1:27" ht="14.45">
      <c r="A482" s="49"/>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1"/>
    </row>
    <row r="483" spans="1:27" ht="14.45">
      <c r="A483" s="49"/>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1"/>
    </row>
    <row r="484" spans="1:27" ht="14.45">
      <c r="A484" s="49"/>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1"/>
    </row>
    <row r="485" spans="1:27" ht="14.45">
      <c r="A485" s="49"/>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1"/>
    </row>
    <row r="486" spans="1:27" ht="14.45">
      <c r="A486" s="49"/>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1"/>
    </row>
    <row r="487" spans="1:27" ht="14.45">
      <c r="A487" s="49"/>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1"/>
    </row>
    <row r="488" spans="1:27" ht="14.45">
      <c r="A488" s="49"/>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1"/>
    </row>
    <row r="489" spans="1:27" ht="14.45">
      <c r="A489" s="49"/>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1"/>
    </row>
    <row r="490" spans="1:27" ht="14.45">
      <c r="A490" s="49"/>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1"/>
    </row>
    <row r="491" spans="1:27" ht="14.45">
      <c r="A491" s="49"/>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1"/>
    </row>
    <row r="492" spans="1:27" ht="14.45">
      <c r="A492" s="49"/>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1"/>
    </row>
    <row r="493" spans="1:27" ht="14.45">
      <c r="A493" s="49"/>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1"/>
    </row>
    <row r="494" spans="1:27" ht="14.45">
      <c r="A494" s="49"/>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1"/>
    </row>
    <row r="495" spans="1:27" ht="14.45">
      <c r="A495" s="49"/>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1"/>
    </row>
    <row r="496" spans="1:27" ht="14.45">
      <c r="A496" s="49"/>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1"/>
    </row>
    <row r="497" spans="1:27" ht="14.45">
      <c r="A497" s="49"/>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1"/>
    </row>
    <row r="498" spans="1:27" ht="14.45">
      <c r="A498" s="49"/>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1"/>
    </row>
    <row r="499" spans="1:27" ht="14.45">
      <c r="A499" s="49"/>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1"/>
    </row>
    <row r="500" spans="1:27" ht="14.45">
      <c r="A500" s="49"/>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1"/>
    </row>
    <row r="501" spans="1:27" ht="14.45">
      <c r="A501" s="49"/>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1"/>
    </row>
    <row r="502" spans="1:27" ht="14.45">
      <c r="A502" s="49"/>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1"/>
    </row>
    <row r="503" spans="1:27" ht="14.45">
      <c r="A503" s="49"/>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1"/>
    </row>
    <row r="504" spans="1:27" ht="14.45">
      <c r="A504" s="49"/>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1"/>
    </row>
    <row r="505" spans="1:27" ht="14.45">
      <c r="A505" s="49"/>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1"/>
    </row>
    <row r="506" spans="1:27" ht="14.45">
      <c r="A506" s="49"/>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1"/>
    </row>
    <row r="507" spans="1:27" ht="14.45">
      <c r="A507" s="49"/>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1"/>
    </row>
    <row r="508" spans="1:27" ht="14.45">
      <c r="A508" s="49"/>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1"/>
    </row>
    <row r="509" spans="1:27" ht="14.45">
      <c r="A509" s="49"/>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1"/>
    </row>
    <row r="510" spans="1:27" ht="14.45">
      <c r="A510" s="49"/>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1"/>
    </row>
    <row r="511" spans="1:27" ht="14.45">
      <c r="A511" s="49"/>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1"/>
    </row>
    <row r="512" spans="1:27" ht="14.45">
      <c r="A512" s="49"/>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1"/>
    </row>
    <row r="513" spans="1:27" ht="14.45">
      <c r="A513" s="49"/>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1"/>
    </row>
    <row r="514" spans="1:27" ht="14.45">
      <c r="A514" s="49"/>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1"/>
    </row>
    <row r="515" spans="1:27" ht="14.45">
      <c r="A515" s="49"/>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1"/>
    </row>
    <row r="516" spans="1:27" ht="14.45">
      <c r="A516" s="49"/>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1"/>
    </row>
    <row r="517" spans="1:27" ht="14.45">
      <c r="A517" s="49"/>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1"/>
    </row>
    <row r="518" spans="1:27" ht="14.45">
      <c r="A518" s="49"/>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1"/>
    </row>
    <row r="519" spans="1:27" ht="14.45">
      <c r="A519" s="49"/>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1"/>
    </row>
    <row r="520" spans="1:27" ht="14.45">
      <c r="A520" s="49"/>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1"/>
    </row>
    <row r="521" spans="1:27" ht="14.45">
      <c r="A521" s="49"/>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1"/>
    </row>
    <row r="522" spans="1:27" ht="14.45">
      <c r="A522" s="49"/>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1"/>
    </row>
    <row r="523" spans="1:27" ht="14.45">
      <c r="A523" s="49"/>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1"/>
    </row>
    <row r="524" spans="1:27" ht="14.45">
      <c r="A524" s="49"/>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1"/>
    </row>
    <row r="525" spans="1:27" ht="14.45">
      <c r="A525" s="49"/>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1"/>
    </row>
    <row r="526" spans="1:27" ht="14.45">
      <c r="A526" s="49"/>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1"/>
    </row>
    <row r="527" spans="1:27" ht="14.45">
      <c r="A527" s="49"/>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1"/>
    </row>
    <row r="528" spans="1:27" ht="14.45">
      <c r="A528" s="49"/>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1"/>
    </row>
    <row r="529" spans="1:27" ht="14.45">
      <c r="A529" s="49"/>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1"/>
    </row>
    <row r="530" spans="1:27" ht="14.45">
      <c r="A530" s="49"/>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1"/>
    </row>
    <row r="531" spans="1:27" ht="14.45">
      <c r="A531" s="49"/>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1"/>
    </row>
    <row r="532" spans="1:27" ht="14.45">
      <c r="A532" s="49"/>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1"/>
    </row>
    <row r="533" spans="1:27" ht="14.45">
      <c r="A533" s="49"/>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1"/>
    </row>
    <row r="534" spans="1:27" ht="14.45">
      <c r="A534" s="49"/>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1"/>
    </row>
    <row r="535" spans="1:27" ht="14.45">
      <c r="A535" s="49"/>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1"/>
    </row>
    <row r="536" spans="1:27" ht="14.45">
      <c r="A536" s="49"/>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1"/>
    </row>
    <row r="537" spans="1:27" ht="14.45">
      <c r="A537" s="49"/>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1"/>
    </row>
    <row r="538" spans="1:27" ht="14.45">
      <c r="A538" s="49"/>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1"/>
    </row>
    <row r="539" spans="1:27" ht="14.45">
      <c r="A539" s="49"/>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1"/>
    </row>
    <row r="540" spans="1:27" ht="14.45">
      <c r="A540" s="49"/>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1"/>
    </row>
    <row r="541" spans="1:27" ht="14.45">
      <c r="A541" s="49"/>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1"/>
    </row>
    <row r="542" spans="1:27" ht="14.45">
      <c r="A542" s="49"/>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1"/>
    </row>
    <row r="543" spans="1:27" ht="14.45">
      <c r="A543" s="49"/>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1"/>
    </row>
    <row r="544" spans="1:27" ht="14.45">
      <c r="A544" s="49"/>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1"/>
    </row>
    <row r="545" spans="1:27" ht="14.45">
      <c r="A545" s="49"/>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1"/>
    </row>
    <row r="546" spans="1:27" ht="14.45">
      <c r="A546" s="49"/>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1"/>
    </row>
    <row r="547" spans="1:27" ht="14.45">
      <c r="A547" s="49"/>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1"/>
    </row>
    <row r="548" spans="1:27" ht="14.45">
      <c r="A548" s="49"/>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1"/>
    </row>
    <row r="549" spans="1:27" ht="14.45">
      <c r="A549" s="49"/>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1"/>
    </row>
    <row r="550" spans="1:27" ht="14.45">
      <c r="A550" s="49"/>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1"/>
    </row>
    <row r="551" spans="1:27" ht="14.45">
      <c r="A551" s="49"/>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1"/>
    </row>
    <row r="552" spans="1:27" ht="14.45">
      <c r="A552" s="49"/>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1"/>
    </row>
    <row r="553" spans="1:27" ht="14.45">
      <c r="A553" s="49"/>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1"/>
    </row>
    <row r="554" spans="1:27" ht="14.45">
      <c r="A554" s="49"/>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1"/>
    </row>
    <row r="555" spans="1:27" ht="14.45">
      <c r="A555" s="49"/>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1"/>
    </row>
    <row r="556" spans="1:27" ht="14.45">
      <c r="A556" s="49"/>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1"/>
    </row>
    <row r="557" spans="1:27" ht="14.45">
      <c r="A557" s="49"/>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1"/>
    </row>
    <row r="558" spans="1:27" ht="14.45">
      <c r="A558" s="49"/>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1"/>
    </row>
    <row r="559" spans="1:27" ht="14.45">
      <c r="A559" s="49"/>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1"/>
    </row>
    <row r="560" spans="1:27" ht="14.45">
      <c r="A560" s="49"/>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1"/>
    </row>
    <row r="561" spans="1:27" ht="14.45">
      <c r="A561" s="49"/>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1"/>
    </row>
    <row r="562" spans="1:27" ht="14.45">
      <c r="A562" s="49"/>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1"/>
    </row>
    <row r="563" spans="1:27" ht="14.45">
      <c r="A563" s="49"/>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1"/>
    </row>
    <row r="564" spans="1:27" ht="14.45">
      <c r="A564" s="49"/>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1"/>
    </row>
    <row r="565" spans="1:27" ht="14.45">
      <c r="A565" s="49"/>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1"/>
    </row>
    <row r="566" spans="1:27" ht="14.45">
      <c r="A566" s="49"/>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1"/>
    </row>
    <row r="567" spans="1:27" ht="14.45">
      <c r="A567" s="49"/>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1"/>
    </row>
    <row r="568" spans="1:27" ht="14.45">
      <c r="A568" s="49"/>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1"/>
    </row>
    <row r="569" spans="1:27" ht="14.45">
      <c r="A569" s="49"/>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1"/>
    </row>
    <row r="570" spans="1:27" ht="14.45">
      <c r="A570" s="49"/>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1"/>
    </row>
    <row r="571" spans="1:27" ht="14.45">
      <c r="A571" s="49"/>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1"/>
    </row>
    <row r="572" spans="1:27" ht="14.45">
      <c r="A572" s="49"/>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1"/>
    </row>
    <row r="573" spans="1:27" ht="14.45">
      <c r="A573" s="49"/>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1"/>
    </row>
    <row r="574" spans="1:27" ht="14.45">
      <c r="A574" s="49"/>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1"/>
    </row>
    <row r="575" spans="1:27" ht="14.45">
      <c r="A575" s="49"/>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1"/>
    </row>
    <row r="576" spans="1:27" ht="14.45">
      <c r="A576" s="49"/>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1"/>
    </row>
    <row r="577" spans="1:27" ht="14.45">
      <c r="A577" s="49"/>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1"/>
    </row>
    <row r="578" spans="1:27" ht="14.45">
      <c r="A578" s="49"/>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1"/>
    </row>
    <row r="579" spans="1:27" ht="14.45">
      <c r="A579" s="49"/>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1"/>
    </row>
    <row r="580" spans="1:27" ht="14.45">
      <c r="A580" s="49"/>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1"/>
    </row>
    <row r="581" spans="1:27" ht="14.45">
      <c r="A581" s="49"/>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1"/>
    </row>
    <row r="582" spans="1:27" ht="14.45">
      <c r="A582" s="49"/>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1"/>
    </row>
    <row r="583" spans="1:27" ht="14.45">
      <c r="A583" s="49"/>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1"/>
    </row>
    <row r="584" spans="1:27" ht="14.45">
      <c r="A584" s="49"/>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1"/>
    </row>
    <row r="585" spans="1:27" ht="14.45">
      <c r="A585" s="49"/>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1"/>
    </row>
    <row r="586" spans="1:27" ht="14.45">
      <c r="A586" s="49"/>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1"/>
    </row>
    <row r="587" spans="1:27" ht="14.45">
      <c r="A587" s="49"/>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1"/>
    </row>
    <row r="588" spans="1:27" ht="14.45">
      <c r="A588" s="49"/>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1"/>
    </row>
    <row r="589" spans="1:27" ht="14.45">
      <c r="A589" s="49"/>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1"/>
    </row>
    <row r="590" spans="1:27" ht="14.45">
      <c r="A590" s="49"/>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1"/>
    </row>
    <row r="591" spans="1:27" ht="14.45">
      <c r="A591" s="49"/>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1"/>
    </row>
    <row r="592" spans="1:27" ht="14.45">
      <c r="A592" s="49"/>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1"/>
    </row>
    <row r="593" spans="1:27" ht="14.45">
      <c r="A593" s="49"/>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1"/>
    </row>
    <row r="594" spans="1:27" ht="14.45">
      <c r="A594" s="49"/>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1"/>
    </row>
    <row r="595" spans="1:27" ht="14.45">
      <c r="A595" s="49"/>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1"/>
    </row>
    <row r="596" spans="1:27" ht="14.45">
      <c r="A596" s="49"/>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1"/>
    </row>
    <row r="597" spans="1:27" ht="14.45">
      <c r="A597" s="49"/>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1"/>
    </row>
    <row r="598" spans="1:27" ht="14.45">
      <c r="A598" s="49"/>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1"/>
    </row>
    <row r="599" spans="1:27" ht="14.45">
      <c r="A599" s="49"/>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1"/>
    </row>
    <row r="600" spans="1:27" ht="14.45">
      <c r="A600" s="49"/>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1"/>
    </row>
    <row r="601" spans="1:27" ht="14.45">
      <c r="A601" s="49"/>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1"/>
    </row>
    <row r="602" spans="1:27" ht="14.45">
      <c r="A602" s="49"/>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1"/>
    </row>
    <row r="603" spans="1:27" ht="14.45">
      <c r="A603" s="49"/>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1"/>
    </row>
    <row r="604" spans="1:27" ht="14.45">
      <c r="A604" s="49"/>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1"/>
    </row>
    <row r="605" spans="1:27" ht="14.45">
      <c r="A605" s="49"/>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1"/>
    </row>
    <row r="606" spans="1:27" ht="14.45">
      <c r="A606" s="49"/>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1"/>
    </row>
    <row r="607" spans="1:27" ht="14.45">
      <c r="A607" s="49"/>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1"/>
    </row>
    <row r="608" spans="1:27" ht="14.45">
      <c r="A608" s="49"/>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1"/>
    </row>
    <row r="609" spans="1:27" ht="14.45">
      <c r="A609" s="49"/>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1"/>
    </row>
    <row r="610" spans="1:27" ht="14.45">
      <c r="A610" s="49"/>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1"/>
    </row>
    <row r="611" spans="1:27" ht="14.45">
      <c r="A611" s="49"/>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1"/>
    </row>
    <row r="612" spans="1:27" ht="14.45">
      <c r="A612" s="49"/>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1"/>
    </row>
    <row r="613" spans="1:27" ht="14.45">
      <c r="A613" s="49"/>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1"/>
    </row>
    <row r="614" spans="1:27" ht="14.45">
      <c r="A614" s="49"/>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1"/>
    </row>
    <row r="615" spans="1:27" ht="14.45">
      <c r="A615" s="49"/>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1"/>
    </row>
    <row r="616" spans="1:27" ht="14.45">
      <c r="A616" s="49"/>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1"/>
    </row>
    <row r="617" spans="1:27" ht="14.45">
      <c r="A617" s="49"/>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1"/>
    </row>
    <row r="618" spans="1:27" ht="14.45">
      <c r="A618" s="49"/>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1"/>
    </row>
    <row r="619" spans="1:27" ht="14.45">
      <c r="A619" s="49"/>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1"/>
    </row>
    <row r="620" spans="1:27" ht="14.45">
      <c r="A620" s="49"/>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1"/>
    </row>
    <row r="621" spans="1:27" ht="14.45">
      <c r="A621" s="49"/>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1"/>
    </row>
    <row r="622" spans="1:27" ht="14.45">
      <c r="A622" s="49"/>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1"/>
    </row>
    <row r="623" spans="1:27" ht="14.45">
      <c r="A623" s="49"/>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1"/>
    </row>
    <row r="624" spans="1:27" ht="14.45">
      <c r="A624" s="49"/>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1"/>
    </row>
    <row r="625" spans="1:27" ht="14.45">
      <c r="A625" s="49"/>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1"/>
    </row>
    <row r="626" spans="1:27" ht="14.45">
      <c r="A626" s="49"/>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1"/>
    </row>
    <row r="627" spans="1:27" ht="14.45">
      <c r="A627" s="49"/>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1"/>
    </row>
    <row r="628" spans="1:27" ht="14.45">
      <c r="A628" s="49"/>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1"/>
    </row>
    <row r="629" spans="1:27" ht="14.45">
      <c r="A629" s="49"/>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1"/>
    </row>
    <row r="630" spans="1:27" ht="14.45">
      <c r="A630" s="49"/>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1"/>
    </row>
    <row r="631" spans="1:27" ht="14.45">
      <c r="A631" s="49"/>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1"/>
    </row>
    <row r="632" spans="1:27" ht="14.45">
      <c r="A632" s="49"/>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1"/>
    </row>
    <row r="633" spans="1:27" ht="14.45">
      <c r="A633" s="49"/>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1"/>
    </row>
    <row r="634" spans="1:27" ht="14.45">
      <c r="A634" s="49"/>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1"/>
    </row>
    <row r="635" spans="1:27" ht="14.45">
      <c r="A635" s="49"/>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1"/>
    </row>
    <row r="636" spans="1:27" ht="14.45">
      <c r="A636" s="49"/>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1"/>
    </row>
    <row r="637" spans="1:27" ht="14.45">
      <c r="A637" s="49"/>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1"/>
    </row>
    <row r="638" spans="1:27" ht="14.45">
      <c r="A638" s="49"/>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1"/>
    </row>
    <row r="639" spans="1:27" ht="14.45">
      <c r="A639" s="49"/>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1"/>
    </row>
    <row r="640" spans="1:27" ht="14.45">
      <c r="A640" s="49"/>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1"/>
    </row>
    <row r="641" spans="1:27" ht="14.45">
      <c r="A641" s="49"/>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1"/>
    </row>
    <row r="642" spans="1:27" ht="14.45">
      <c r="A642" s="49"/>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1"/>
    </row>
    <row r="643" spans="1:27" ht="14.45">
      <c r="A643" s="49"/>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1"/>
    </row>
    <row r="644" spans="1:27" ht="14.45">
      <c r="A644" s="49"/>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1"/>
    </row>
    <row r="645" spans="1:27" ht="14.45">
      <c r="A645" s="49"/>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1"/>
    </row>
    <row r="646" spans="1:27" ht="14.45">
      <c r="A646" s="49"/>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1"/>
    </row>
    <row r="647" spans="1:27" ht="14.45">
      <c r="A647" s="49"/>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1"/>
    </row>
    <row r="648" spans="1:27" ht="14.45">
      <c r="A648" s="49"/>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1"/>
    </row>
    <row r="649" spans="1:27" ht="14.45">
      <c r="A649" s="49"/>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1"/>
    </row>
    <row r="650" spans="1:27" ht="14.45">
      <c r="A650" s="49"/>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1"/>
    </row>
    <row r="651" spans="1:27" ht="14.45">
      <c r="A651" s="49"/>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1"/>
    </row>
    <row r="652" spans="1:27" ht="14.45">
      <c r="A652" s="49"/>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1"/>
    </row>
    <row r="653" spans="1:27" ht="14.45">
      <c r="A653" s="49"/>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1"/>
    </row>
    <row r="654" spans="1:27" ht="14.45">
      <c r="A654" s="49"/>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1"/>
    </row>
    <row r="655" spans="1:27" ht="14.45">
      <c r="A655" s="49"/>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1"/>
    </row>
    <row r="656" spans="1:27" ht="14.45">
      <c r="A656" s="49"/>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1"/>
    </row>
    <row r="657" spans="1:27" ht="14.45">
      <c r="A657" s="49"/>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1"/>
    </row>
    <row r="658" spans="1:27" ht="14.45">
      <c r="A658" s="49"/>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1"/>
    </row>
    <row r="659" spans="1:27" ht="14.45">
      <c r="A659" s="49"/>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1"/>
    </row>
    <row r="660" spans="1:27" ht="14.45">
      <c r="A660" s="49"/>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1"/>
    </row>
    <row r="661" spans="1:27" ht="14.45">
      <c r="A661" s="49"/>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1"/>
    </row>
    <row r="662" spans="1:27" ht="14.45">
      <c r="A662" s="49"/>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1"/>
    </row>
    <row r="663" spans="1:27" ht="14.45">
      <c r="A663" s="49"/>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1"/>
    </row>
    <row r="664" spans="1:27" ht="14.45">
      <c r="A664" s="49"/>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1"/>
    </row>
    <row r="665" spans="1:27" ht="14.45">
      <c r="A665" s="49"/>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1"/>
    </row>
    <row r="666" spans="1:27" ht="14.45">
      <c r="A666" s="49"/>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1"/>
    </row>
    <row r="667" spans="1:27" ht="14.45">
      <c r="A667" s="49"/>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1"/>
    </row>
    <row r="668" spans="1:27" ht="14.45">
      <c r="A668" s="49"/>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1"/>
    </row>
    <row r="669" spans="1:27" ht="14.45">
      <c r="A669" s="49"/>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1"/>
    </row>
    <row r="670" spans="1:27" ht="14.45">
      <c r="A670" s="49"/>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1"/>
    </row>
    <row r="671" spans="1:27" ht="14.45">
      <c r="A671" s="49"/>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1"/>
    </row>
    <row r="672" spans="1:27" ht="14.45">
      <c r="A672" s="49"/>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1"/>
    </row>
    <row r="673" spans="1:27" ht="14.45">
      <c r="A673" s="49"/>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1"/>
    </row>
    <row r="674" spans="1:27" ht="14.45">
      <c r="A674" s="49"/>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1"/>
    </row>
    <row r="675" spans="1:27" ht="14.45">
      <c r="A675" s="49"/>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1"/>
    </row>
    <row r="676" spans="1:27" ht="14.45">
      <c r="A676" s="49"/>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1"/>
    </row>
    <row r="677" spans="1:27" ht="14.45">
      <c r="A677" s="49"/>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1"/>
    </row>
    <row r="678" spans="1:27" ht="14.45">
      <c r="A678" s="49"/>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1"/>
    </row>
    <row r="679" spans="1:27" ht="14.45">
      <c r="A679" s="49"/>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1"/>
    </row>
    <row r="680" spans="1:27" ht="14.45">
      <c r="A680" s="49"/>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1"/>
    </row>
    <row r="681" spans="1:27" ht="14.45">
      <c r="A681" s="49"/>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1"/>
    </row>
    <row r="682" spans="1:27" ht="14.45">
      <c r="A682" s="49"/>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1"/>
    </row>
    <row r="683" spans="1:27" ht="14.45">
      <c r="A683" s="49"/>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1"/>
    </row>
    <row r="684" spans="1:27" ht="14.45">
      <c r="A684" s="49"/>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1"/>
    </row>
    <row r="685" spans="1:27" ht="14.45">
      <c r="A685" s="49"/>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1"/>
    </row>
    <row r="686" spans="1:27" ht="14.45">
      <c r="A686" s="49"/>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1"/>
    </row>
    <row r="687" spans="1:27" ht="14.45">
      <c r="A687" s="49"/>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1"/>
    </row>
    <row r="688" spans="1:27" ht="14.45">
      <c r="A688" s="49"/>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1"/>
    </row>
    <row r="689" spans="1:27" ht="14.45">
      <c r="A689" s="49"/>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1"/>
    </row>
    <row r="690" spans="1:27" ht="14.45">
      <c r="A690" s="49"/>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1"/>
    </row>
    <row r="691" spans="1:27" ht="14.45">
      <c r="A691" s="49"/>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1"/>
    </row>
    <row r="692" spans="1:27" ht="14.45">
      <c r="A692" s="49"/>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1"/>
    </row>
    <row r="693" spans="1:27" ht="14.45">
      <c r="A693" s="49"/>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1"/>
    </row>
    <row r="694" spans="1:27" ht="14.45">
      <c r="A694" s="49"/>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1"/>
    </row>
    <row r="695" spans="1:27" ht="14.45">
      <c r="A695" s="49"/>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1"/>
    </row>
    <row r="696" spans="1:27" ht="14.45">
      <c r="A696" s="49"/>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1"/>
    </row>
    <row r="697" spans="1:27" ht="14.45">
      <c r="A697" s="49"/>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1"/>
    </row>
    <row r="698" spans="1:27" ht="14.45">
      <c r="A698" s="49"/>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1"/>
    </row>
    <row r="699" spans="1:27" ht="14.45">
      <c r="A699" s="49"/>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1"/>
    </row>
    <row r="700" spans="1:27" ht="14.45">
      <c r="A700" s="49"/>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1"/>
    </row>
    <row r="701" spans="1:27" ht="14.45">
      <c r="A701" s="49"/>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1"/>
    </row>
    <row r="702" spans="1:27" ht="14.45">
      <c r="A702" s="49"/>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1"/>
    </row>
    <row r="703" spans="1:27" ht="14.45">
      <c r="A703" s="49"/>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1"/>
    </row>
    <row r="704" spans="1:27" ht="14.45">
      <c r="A704" s="49"/>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1"/>
    </row>
    <row r="705" spans="1:27" ht="14.45">
      <c r="A705" s="49"/>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1"/>
    </row>
    <row r="706" spans="1:27" ht="14.45">
      <c r="A706" s="49"/>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1"/>
    </row>
    <row r="707" spans="1:27" ht="14.45">
      <c r="A707" s="49"/>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1"/>
    </row>
    <row r="708" spans="1:27" ht="14.45">
      <c r="A708" s="49"/>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1"/>
    </row>
    <row r="709" spans="1:27" ht="14.45">
      <c r="A709" s="49"/>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1"/>
    </row>
    <row r="710" spans="1:27" ht="14.45">
      <c r="A710" s="49"/>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1"/>
    </row>
    <row r="711" spans="1:27" ht="14.45">
      <c r="A711" s="49"/>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1"/>
    </row>
    <row r="712" spans="1:27" ht="14.45">
      <c r="A712" s="49"/>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1"/>
    </row>
    <row r="713" spans="1:27" ht="14.45">
      <c r="A713" s="49"/>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1"/>
    </row>
    <row r="714" spans="1:27" ht="14.45">
      <c r="A714" s="49"/>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1"/>
    </row>
    <row r="715" spans="1:27" ht="14.45">
      <c r="A715" s="49"/>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1"/>
    </row>
    <row r="716" spans="1:27" ht="14.45">
      <c r="A716" s="49"/>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1"/>
    </row>
    <row r="717" spans="1:27" ht="14.45">
      <c r="A717" s="49"/>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1"/>
    </row>
    <row r="718" spans="1:27" ht="14.45">
      <c r="A718" s="49"/>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1"/>
    </row>
    <row r="719" spans="1:27" ht="14.45">
      <c r="A719" s="49"/>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1"/>
    </row>
    <row r="720" spans="1:27" ht="14.45">
      <c r="A720" s="49"/>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1"/>
    </row>
    <row r="721" spans="1:27" ht="14.45">
      <c r="A721" s="49"/>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1"/>
    </row>
    <row r="722" spans="1:27" ht="14.45">
      <c r="A722" s="49"/>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1"/>
    </row>
    <row r="723" spans="1:27" ht="14.45">
      <c r="A723" s="49"/>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1"/>
    </row>
    <row r="724" spans="1:27" ht="14.45">
      <c r="A724" s="49"/>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1"/>
    </row>
    <row r="725" spans="1:27" ht="14.45">
      <c r="A725" s="49"/>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1"/>
    </row>
    <row r="726" spans="1:27" ht="14.45">
      <c r="A726" s="49"/>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1"/>
    </row>
    <row r="727" spans="1:27" ht="14.45">
      <c r="A727" s="49"/>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1"/>
    </row>
    <row r="728" spans="1:27" ht="14.45">
      <c r="A728" s="49"/>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1"/>
    </row>
    <row r="729" spans="1:27" ht="14.45">
      <c r="A729" s="49"/>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1"/>
    </row>
    <row r="730" spans="1:27" ht="14.45">
      <c r="A730" s="49"/>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1"/>
    </row>
    <row r="731" spans="1:27" ht="14.45">
      <c r="A731" s="49"/>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1"/>
    </row>
    <row r="732" spans="1:27" ht="14.45">
      <c r="A732" s="49"/>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1"/>
    </row>
    <row r="733" spans="1:27" ht="14.45">
      <c r="A733" s="49"/>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1"/>
    </row>
    <row r="734" spans="1:27" ht="14.45">
      <c r="A734" s="49"/>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1"/>
    </row>
    <row r="735" spans="1:27" ht="14.45">
      <c r="A735" s="49"/>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1"/>
    </row>
    <row r="736" spans="1:27" ht="14.45">
      <c r="A736" s="49"/>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1"/>
    </row>
    <row r="737" spans="1:27" ht="14.45">
      <c r="A737" s="49"/>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1"/>
    </row>
    <row r="738" spans="1:27" ht="14.45">
      <c r="A738" s="49"/>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1"/>
    </row>
    <row r="739" spans="1:27" ht="14.45">
      <c r="A739" s="49"/>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1"/>
    </row>
    <row r="740" spans="1:27" ht="14.45">
      <c r="A740" s="49"/>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1"/>
    </row>
    <row r="741" spans="1:27" ht="14.45">
      <c r="A741" s="49"/>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1"/>
    </row>
    <row r="742" spans="1:27" ht="14.45">
      <c r="A742" s="49"/>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1"/>
    </row>
    <row r="743" spans="1:27" ht="14.45">
      <c r="A743" s="49"/>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1"/>
    </row>
    <row r="744" spans="1:27" ht="14.45">
      <c r="A744" s="49"/>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1"/>
    </row>
    <row r="745" spans="1:27" ht="14.45">
      <c r="A745" s="49"/>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1"/>
    </row>
    <row r="746" spans="1:27" ht="14.45">
      <c r="A746" s="49"/>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1"/>
    </row>
    <row r="747" spans="1:27" ht="14.45">
      <c r="A747" s="49"/>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1"/>
    </row>
    <row r="748" spans="1:27" ht="14.45">
      <c r="A748" s="49"/>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1"/>
    </row>
    <row r="749" spans="1:27" ht="14.45">
      <c r="A749" s="49"/>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1"/>
    </row>
    <row r="750" spans="1:27" ht="14.45">
      <c r="A750" s="49"/>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1"/>
    </row>
    <row r="751" spans="1:27" ht="14.45">
      <c r="A751" s="49"/>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1"/>
    </row>
    <row r="752" spans="1:27" ht="14.45">
      <c r="A752" s="49"/>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1"/>
    </row>
    <row r="753" spans="1:27" ht="14.45">
      <c r="A753" s="49"/>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1"/>
    </row>
    <row r="754" spans="1:27" ht="14.45">
      <c r="A754" s="49"/>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1"/>
    </row>
    <row r="755" spans="1:27" ht="14.45">
      <c r="A755" s="49"/>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1"/>
    </row>
    <row r="756" spans="1:27" ht="14.45">
      <c r="A756" s="49"/>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1"/>
    </row>
    <row r="757" spans="1:27" ht="14.45">
      <c r="A757" s="49"/>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1"/>
    </row>
    <row r="758" spans="1:27" ht="14.45">
      <c r="A758" s="49"/>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1"/>
    </row>
    <row r="759" spans="1:27" ht="14.45">
      <c r="A759" s="49"/>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1"/>
    </row>
    <row r="760" spans="1:27" ht="14.45">
      <c r="A760" s="49"/>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1"/>
    </row>
    <row r="761" spans="1:27" ht="14.45">
      <c r="A761" s="49"/>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1"/>
    </row>
    <row r="762" spans="1:27" ht="14.45">
      <c r="A762" s="49"/>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1"/>
    </row>
    <row r="763" spans="1:27" ht="14.45">
      <c r="A763" s="49"/>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1"/>
    </row>
    <row r="764" spans="1:27" ht="14.45">
      <c r="A764" s="49"/>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1"/>
    </row>
    <row r="765" spans="1:27" ht="14.45">
      <c r="A765" s="49"/>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1"/>
    </row>
    <row r="766" spans="1:27" ht="14.45">
      <c r="A766" s="49"/>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1"/>
    </row>
    <row r="767" spans="1:27" ht="14.45">
      <c r="A767" s="49"/>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1"/>
    </row>
    <row r="768" spans="1:27" ht="14.45">
      <c r="A768" s="49"/>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1"/>
    </row>
    <row r="769" spans="1:27" ht="14.45">
      <c r="A769" s="49"/>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1"/>
    </row>
    <row r="770" spans="1:27" ht="14.45">
      <c r="A770" s="49"/>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1"/>
    </row>
    <row r="771" spans="1:27" ht="14.45">
      <c r="A771" s="49"/>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1"/>
    </row>
    <row r="772" spans="1:27" ht="14.45">
      <c r="A772" s="49"/>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1"/>
    </row>
    <row r="773" spans="1:27" ht="14.45">
      <c r="A773" s="49"/>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1"/>
    </row>
    <row r="774" spans="1:27" ht="14.45">
      <c r="A774" s="49"/>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1"/>
    </row>
    <row r="775" spans="1:27" ht="14.45">
      <c r="A775" s="49"/>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1"/>
    </row>
    <row r="776" spans="1:27" ht="14.45">
      <c r="A776" s="49"/>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1"/>
    </row>
    <row r="777" spans="1:27" ht="14.45">
      <c r="A777" s="49"/>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1"/>
    </row>
    <row r="778" spans="1:27" ht="14.45">
      <c r="A778" s="49"/>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1"/>
    </row>
    <row r="779" spans="1:27" ht="14.45">
      <c r="A779" s="49"/>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1"/>
    </row>
    <row r="780" spans="1:27" ht="14.45">
      <c r="A780" s="49"/>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1"/>
    </row>
    <row r="781" spans="1:27" ht="14.45">
      <c r="A781" s="49"/>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1"/>
    </row>
    <row r="782" spans="1:27" ht="14.45">
      <c r="A782" s="49"/>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1"/>
    </row>
    <row r="783" spans="1:27" ht="14.45">
      <c r="A783" s="49"/>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1"/>
    </row>
    <row r="784" spans="1:27" ht="14.45">
      <c r="A784" s="49"/>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1"/>
    </row>
    <row r="785" spans="1:27" ht="14.45">
      <c r="A785" s="49"/>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1"/>
    </row>
    <row r="786" spans="1:27" ht="14.45">
      <c r="A786" s="49"/>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1"/>
    </row>
    <row r="787" spans="1:27" ht="14.45">
      <c r="A787" s="49"/>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1"/>
    </row>
    <row r="788" spans="1:27" ht="14.45">
      <c r="A788" s="49"/>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1"/>
    </row>
    <row r="789" spans="1:27" ht="14.45">
      <c r="A789" s="49"/>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1"/>
    </row>
    <row r="790" spans="1:27" ht="14.45">
      <c r="A790" s="49"/>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1"/>
    </row>
    <row r="791" spans="1:27" ht="14.45">
      <c r="A791" s="49"/>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1"/>
    </row>
    <row r="792" spans="1:27" ht="14.45">
      <c r="A792" s="49"/>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1"/>
    </row>
    <row r="793" spans="1:27" ht="14.45">
      <c r="A793" s="49"/>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1"/>
    </row>
    <row r="794" spans="1:27" ht="14.45">
      <c r="A794" s="49"/>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1"/>
    </row>
    <row r="795" spans="1:27" ht="14.45">
      <c r="A795" s="49"/>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1"/>
    </row>
    <row r="796" spans="1:27" ht="14.45">
      <c r="A796" s="49"/>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1"/>
    </row>
    <row r="797" spans="1:27" ht="14.45">
      <c r="A797" s="49"/>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1"/>
    </row>
    <row r="798" spans="1:27" ht="14.45">
      <c r="A798" s="49"/>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1"/>
    </row>
    <row r="799" spans="1:27" ht="14.45">
      <c r="A799" s="49"/>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1"/>
    </row>
    <row r="800" spans="1:27" ht="14.45">
      <c r="A800" s="49"/>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1"/>
    </row>
    <row r="801" spans="1:27" ht="14.45">
      <c r="A801" s="49"/>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1"/>
    </row>
    <row r="802" spans="1:27" ht="14.45">
      <c r="A802" s="49"/>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1"/>
    </row>
    <row r="803" spans="1:27" ht="14.45">
      <c r="A803" s="49"/>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1"/>
    </row>
    <row r="804" spans="1:27" ht="14.45">
      <c r="A804" s="49"/>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1"/>
    </row>
    <row r="805" spans="1:27" ht="14.45">
      <c r="A805" s="49"/>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1"/>
    </row>
    <row r="806" spans="1:27" ht="14.45">
      <c r="A806" s="49"/>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1"/>
    </row>
    <row r="807" spans="1:27" ht="14.45">
      <c r="A807" s="49"/>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1"/>
    </row>
    <row r="808" spans="1:27" ht="14.45">
      <c r="A808" s="49"/>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1"/>
    </row>
    <row r="809" spans="1:27" ht="14.45">
      <c r="A809" s="49"/>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1"/>
    </row>
    <row r="810" spans="1:27" ht="14.45">
      <c r="A810" s="49"/>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1"/>
    </row>
    <row r="811" spans="1:27" ht="14.45">
      <c r="A811" s="49"/>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1"/>
    </row>
    <row r="812" spans="1:27" ht="14.45">
      <c r="A812" s="49"/>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1"/>
    </row>
    <row r="813" spans="1:27" ht="14.45">
      <c r="A813" s="49"/>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1"/>
    </row>
    <row r="814" spans="1:27" ht="14.45">
      <c r="A814" s="49"/>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1"/>
    </row>
    <row r="815" spans="1:27" ht="14.45">
      <c r="A815" s="49"/>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1"/>
    </row>
    <row r="816" spans="1:27" ht="14.45">
      <c r="A816" s="49"/>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1"/>
    </row>
    <row r="817" spans="1:27" ht="14.45">
      <c r="A817" s="49"/>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1"/>
    </row>
    <row r="818" spans="1:27" ht="14.45">
      <c r="A818" s="49"/>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1"/>
    </row>
    <row r="819" spans="1:27" ht="14.45">
      <c r="A819" s="49"/>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1"/>
    </row>
    <row r="820" spans="1:27" ht="14.45">
      <c r="A820" s="49"/>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1"/>
    </row>
    <row r="821" spans="1:27" ht="14.45">
      <c r="A821" s="49"/>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1"/>
    </row>
    <row r="822" spans="1:27" ht="14.45">
      <c r="A822" s="49"/>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1"/>
    </row>
    <row r="823" spans="1:27" ht="14.45">
      <c r="A823" s="49"/>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1"/>
    </row>
    <row r="824" spans="1:27" ht="14.45">
      <c r="A824" s="49"/>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1"/>
    </row>
    <row r="825" spans="1:27" ht="14.45">
      <c r="A825" s="49"/>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1"/>
    </row>
    <row r="826" spans="1:27" ht="14.45">
      <c r="A826" s="49"/>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1"/>
    </row>
    <row r="827" spans="1:27" ht="14.45">
      <c r="A827" s="49"/>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1"/>
    </row>
    <row r="828" spans="1:27" ht="14.45">
      <c r="A828" s="49"/>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1"/>
    </row>
    <row r="829" spans="1:27" ht="14.45">
      <c r="A829" s="49"/>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1"/>
    </row>
    <row r="830" spans="1:27" ht="14.45">
      <c r="A830" s="49"/>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1"/>
    </row>
    <row r="831" spans="1:27" ht="14.45">
      <c r="A831" s="49"/>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1"/>
    </row>
    <row r="832" spans="1:27" ht="14.45">
      <c r="A832" s="49"/>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1"/>
    </row>
    <row r="833" spans="1:27" ht="14.45">
      <c r="A833" s="49"/>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1"/>
    </row>
    <row r="834" spans="1:27" ht="14.45">
      <c r="A834" s="49"/>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1"/>
    </row>
    <row r="835" spans="1:27" ht="14.45">
      <c r="A835" s="49"/>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1"/>
    </row>
    <row r="836" spans="1:27" ht="14.45">
      <c r="A836" s="49"/>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1"/>
    </row>
    <row r="837" spans="1:27" ht="14.45">
      <c r="A837" s="49"/>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1"/>
    </row>
    <row r="838" spans="1:27" ht="14.45">
      <c r="A838" s="49"/>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1"/>
    </row>
    <row r="839" spans="1:27" ht="14.45">
      <c r="A839" s="49"/>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1"/>
    </row>
    <row r="840" spans="1:27" ht="14.45">
      <c r="A840" s="49"/>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1"/>
    </row>
    <row r="841" spans="1:27" ht="14.45">
      <c r="A841" s="49"/>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1"/>
    </row>
    <row r="842" spans="1:27" ht="14.45">
      <c r="A842" s="49"/>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1"/>
    </row>
    <row r="843" spans="1:27" ht="14.45">
      <c r="A843" s="49"/>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1"/>
    </row>
    <row r="844" spans="1:27" ht="14.45">
      <c r="A844" s="49"/>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1"/>
    </row>
    <row r="845" spans="1:27" ht="14.45">
      <c r="A845" s="49"/>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1"/>
    </row>
    <row r="846" spans="1:27" ht="14.45">
      <c r="A846" s="49"/>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1"/>
    </row>
    <row r="847" spans="1:27" ht="14.45">
      <c r="A847" s="49"/>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1"/>
    </row>
    <row r="848" spans="1:27" ht="14.45">
      <c r="A848" s="49"/>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1"/>
    </row>
    <row r="849" spans="1:27" ht="14.45">
      <c r="A849" s="49"/>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1"/>
    </row>
    <row r="850" spans="1:27" ht="14.45">
      <c r="A850" s="49"/>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1"/>
    </row>
    <row r="851" spans="1:27" ht="14.45">
      <c r="A851" s="49"/>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1"/>
    </row>
    <row r="852" spans="1:27" ht="14.45">
      <c r="A852" s="49"/>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1"/>
    </row>
    <row r="853" spans="1:27" ht="14.45">
      <c r="A853" s="49"/>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1"/>
    </row>
    <row r="854" spans="1:27" ht="14.45">
      <c r="A854" s="49"/>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1"/>
    </row>
    <row r="855" spans="1:27" ht="14.45">
      <c r="A855" s="49"/>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1"/>
    </row>
    <row r="856" spans="1:27" ht="14.45">
      <c r="A856" s="49"/>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1"/>
    </row>
    <row r="857" spans="1:27" ht="14.45">
      <c r="A857" s="49"/>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1"/>
    </row>
    <row r="858" spans="1:27" ht="14.45">
      <c r="A858" s="49"/>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1"/>
    </row>
    <row r="859" spans="1:27" ht="14.45">
      <c r="A859" s="49"/>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1"/>
    </row>
    <row r="860" spans="1:27" ht="14.45">
      <c r="A860" s="49"/>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1"/>
    </row>
    <row r="861" spans="1:27" ht="14.45">
      <c r="A861" s="49"/>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1"/>
    </row>
    <row r="862" spans="1:27" ht="14.45">
      <c r="A862" s="49"/>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1"/>
    </row>
    <row r="863" spans="1:27" ht="14.45">
      <c r="A863" s="49"/>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1"/>
    </row>
    <row r="864" spans="1:27" ht="14.45">
      <c r="A864" s="49"/>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1"/>
    </row>
    <row r="865" spans="1:27" ht="14.45">
      <c r="A865" s="49"/>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1"/>
    </row>
    <row r="866" spans="1:27" ht="14.45">
      <c r="A866" s="49"/>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1"/>
    </row>
    <row r="867" spans="1:27" ht="14.45">
      <c r="A867" s="49"/>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1"/>
    </row>
    <row r="868" spans="1:27" ht="14.45">
      <c r="A868" s="49"/>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1"/>
    </row>
    <row r="869" spans="1:27" ht="14.45">
      <c r="A869" s="49"/>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1"/>
    </row>
    <row r="870" spans="1:27" ht="14.45">
      <c r="A870" s="49"/>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1"/>
    </row>
    <row r="871" spans="1:27" ht="14.45">
      <c r="A871" s="49"/>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1"/>
    </row>
    <row r="872" spans="1:27" ht="14.45">
      <c r="A872" s="49"/>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1"/>
    </row>
    <row r="873" spans="1:27" ht="14.45">
      <c r="A873" s="49"/>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1"/>
    </row>
    <row r="874" spans="1:27" ht="14.45">
      <c r="A874" s="49"/>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1"/>
    </row>
    <row r="875" spans="1:27" ht="14.45">
      <c r="A875" s="49"/>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1"/>
    </row>
    <row r="876" spans="1:27" ht="14.45">
      <c r="A876" s="49"/>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1"/>
    </row>
    <row r="877" spans="1:27" ht="14.45">
      <c r="A877" s="49"/>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1"/>
    </row>
    <row r="878" spans="1:27" ht="14.45">
      <c r="A878" s="49"/>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1"/>
    </row>
    <row r="879" spans="1:27" ht="14.45">
      <c r="A879" s="49"/>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1"/>
    </row>
    <row r="880" spans="1:27" ht="14.45">
      <c r="A880" s="49"/>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1"/>
    </row>
    <row r="881" spans="1:27" ht="14.45">
      <c r="A881" s="49"/>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1"/>
    </row>
    <row r="882" spans="1:27" ht="14.45">
      <c r="A882" s="49"/>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1"/>
    </row>
    <row r="883" spans="1:27" ht="14.45">
      <c r="A883" s="49"/>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1"/>
    </row>
    <row r="884" spans="1:27" ht="14.45">
      <c r="A884" s="49"/>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1"/>
    </row>
    <row r="885" spans="1:27" ht="14.45">
      <c r="A885" s="49"/>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1"/>
    </row>
    <row r="886" spans="1:27" ht="14.45">
      <c r="A886" s="49"/>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1"/>
    </row>
    <row r="887" spans="1:27" ht="14.45">
      <c r="A887" s="49"/>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1"/>
    </row>
    <row r="888" spans="1:27" ht="14.45">
      <c r="A888" s="49"/>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1"/>
    </row>
    <row r="889" spans="1:27" ht="14.45">
      <c r="A889" s="49"/>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1"/>
    </row>
    <row r="890" spans="1:27" ht="14.45">
      <c r="A890" s="49"/>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1"/>
    </row>
    <row r="891" spans="1:27" ht="14.45">
      <c r="A891" s="49"/>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1"/>
    </row>
    <row r="892" spans="1:27" ht="14.45">
      <c r="A892" s="49"/>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1"/>
    </row>
    <row r="893" spans="1:27" ht="14.45">
      <c r="A893" s="49"/>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1"/>
    </row>
    <row r="894" spans="1:27" ht="14.45">
      <c r="A894" s="49"/>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1"/>
    </row>
    <row r="895" spans="1:27" ht="14.45">
      <c r="A895" s="49"/>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1"/>
    </row>
    <row r="896" spans="1:27" ht="14.45">
      <c r="A896" s="49"/>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1"/>
    </row>
    <row r="897" spans="1:27" ht="14.45">
      <c r="A897" s="49"/>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1"/>
    </row>
    <row r="898" spans="1:27" ht="14.45">
      <c r="A898" s="49"/>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1"/>
    </row>
    <row r="899" spans="1:27" ht="14.45">
      <c r="A899" s="49"/>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1"/>
    </row>
    <row r="900" spans="1:27" ht="14.45">
      <c r="A900" s="49"/>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1"/>
    </row>
    <row r="901" spans="1:27" ht="14.45">
      <c r="A901" s="49"/>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1"/>
    </row>
    <row r="902" spans="1:27" ht="14.45">
      <c r="A902" s="49"/>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1"/>
    </row>
    <row r="903" spans="1:27" ht="14.45">
      <c r="A903" s="49"/>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1"/>
    </row>
    <row r="904" spans="1:27" ht="14.45">
      <c r="A904" s="49"/>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1"/>
    </row>
    <row r="905" spans="1:27" ht="14.45">
      <c r="A905" s="49"/>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1"/>
    </row>
    <row r="906" spans="1:27" ht="14.45">
      <c r="A906" s="49"/>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1"/>
    </row>
    <row r="907" spans="1:27" ht="14.45">
      <c r="A907" s="49"/>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1"/>
    </row>
    <row r="908" spans="1:27" ht="14.45">
      <c r="A908" s="49"/>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1"/>
    </row>
    <row r="909" spans="1:27" ht="14.45">
      <c r="A909" s="49"/>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1"/>
    </row>
    <row r="910" spans="1:27" ht="14.45">
      <c r="A910" s="49"/>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1"/>
    </row>
    <row r="911" spans="1:27" ht="14.45">
      <c r="A911" s="49"/>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1"/>
    </row>
    <row r="912" spans="1:27" ht="14.45">
      <c r="A912" s="49"/>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1"/>
    </row>
    <row r="913" spans="1:27" ht="14.45">
      <c r="A913" s="49"/>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1"/>
    </row>
    <row r="914" spans="1:27" ht="14.45">
      <c r="A914" s="49"/>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1"/>
    </row>
    <row r="915" spans="1:27" ht="14.45">
      <c r="A915" s="49"/>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1"/>
    </row>
    <row r="916" spans="1:27" ht="14.45">
      <c r="A916" s="49"/>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1"/>
    </row>
    <row r="917" spans="1:27" ht="14.45">
      <c r="A917" s="49"/>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1"/>
    </row>
    <row r="918" spans="1:27" ht="14.45">
      <c r="A918" s="49"/>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1"/>
    </row>
    <row r="919" spans="1:27" ht="14.45">
      <c r="A919" s="49"/>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1"/>
    </row>
    <row r="920" spans="1:27" ht="14.45">
      <c r="A920" s="49"/>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1"/>
    </row>
    <row r="921" spans="1:27" ht="14.45">
      <c r="A921" s="49"/>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1"/>
    </row>
    <row r="922" spans="1:27" ht="14.45">
      <c r="A922" s="49"/>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1"/>
    </row>
    <row r="923" spans="1:27" ht="14.45">
      <c r="A923" s="49"/>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1"/>
    </row>
    <row r="924" spans="1:27" ht="14.45">
      <c r="A924" s="49"/>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1"/>
    </row>
    <row r="925" spans="1:27" ht="14.45">
      <c r="A925" s="49"/>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1"/>
    </row>
    <row r="926" spans="1:27" ht="14.45">
      <c r="A926" s="49"/>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1"/>
    </row>
    <row r="927" spans="1:27" ht="14.45">
      <c r="A927" s="49"/>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1"/>
    </row>
    <row r="928" spans="1:27" ht="14.45">
      <c r="A928" s="49"/>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1"/>
    </row>
    <row r="929" spans="1:27" ht="14.45">
      <c r="A929" s="49"/>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1"/>
    </row>
    <row r="930" spans="1:27" ht="14.45">
      <c r="A930" s="49"/>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1"/>
    </row>
    <row r="931" spans="1:27" ht="14.45">
      <c r="A931" s="49"/>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1"/>
    </row>
    <row r="932" spans="1:27" ht="14.45">
      <c r="A932" s="49"/>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1"/>
    </row>
    <row r="933" spans="1:27" ht="14.45">
      <c r="A933" s="49"/>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1"/>
    </row>
    <row r="934" spans="1:27" ht="14.45">
      <c r="A934" s="49"/>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1"/>
    </row>
    <row r="935" spans="1:27" ht="14.45">
      <c r="A935" s="49"/>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1"/>
    </row>
    <row r="936" spans="1:27" ht="14.45">
      <c r="A936" s="49"/>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1"/>
    </row>
    <row r="937" spans="1:27" ht="14.45">
      <c r="A937" s="49"/>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1"/>
    </row>
    <row r="938" spans="1:27" ht="14.45">
      <c r="A938" s="49"/>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1"/>
    </row>
    <row r="939" spans="1:27" ht="14.45">
      <c r="A939" s="49"/>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1"/>
    </row>
    <row r="940" spans="1:27" ht="14.45">
      <c r="A940" s="49"/>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1"/>
    </row>
    <row r="941" spans="1:27" ht="14.45">
      <c r="A941" s="49"/>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1"/>
    </row>
    <row r="942" spans="1:27" ht="14.45">
      <c r="A942" s="49"/>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1"/>
    </row>
    <row r="943" spans="1:27" ht="14.45">
      <c r="A943" s="49"/>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1"/>
    </row>
    <row r="944" spans="1:27" ht="14.45">
      <c r="A944" s="49"/>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1"/>
    </row>
    <row r="945" spans="1:27" ht="14.45">
      <c r="A945" s="49"/>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1"/>
    </row>
    <row r="946" spans="1:27" ht="14.45">
      <c r="A946" s="49"/>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1"/>
    </row>
    <row r="947" spans="1:27" ht="14.45">
      <c r="A947" s="49"/>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1"/>
    </row>
    <row r="948" spans="1:27" ht="14.45">
      <c r="A948" s="49"/>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1"/>
    </row>
    <row r="949" spans="1:27" ht="14.45">
      <c r="A949" s="49"/>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1"/>
    </row>
    <row r="950" spans="1:27" ht="14.45">
      <c r="A950" s="49"/>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1"/>
    </row>
    <row r="951" spans="1:27" ht="14.45">
      <c r="A951" s="49"/>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1"/>
    </row>
    <row r="952" spans="1:27" ht="14.45">
      <c r="A952" s="49"/>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1"/>
    </row>
    <row r="953" spans="1:27" ht="14.45">
      <c r="A953" s="49"/>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1"/>
    </row>
    <row r="954" spans="1:27" ht="14.45">
      <c r="A954" s="49"/>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1"/>
    </row>
    <row r="955" spans="1:27" ht="14.45">
      <c r="A955" s="49"/>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1"/>
    </row>
    <row r="956" spans="1:27" ht="14.45">
      <c r="A956" s="49"/>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1"/>
    </row>
    <row r="957" spans="1:27" ht="14.45">
      <c r="A957" s="49"/>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1"/>
    </row>
    <row r="958" spans="1:27" ht="14.45">
      <c r="A958" s="49"/>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1"/>
    </row>
    <row r="959" spans="1:27" ht="14.45">
      <c r="A959" s="49"/>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1"/>
    </row>
    <row r="960" spans="1:27" ht="14.45">
      <c r="A960" s="49"/>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1"/>
    </row>
    <row r="961" spans="1:27" ht="14.45">
      <c r="A961" s="49"/>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1"/>
    </row>
    <row r="962" spans="1:27" ht="14.45">
      <c r="A962" s="49"/>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1"/>
    </row>
    <row r="963" spans="1:27" ht="14.45">
      <c r="A963" s="49"/>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1"/>
    </row>
    <row r="964" spans="1:27" ht="14.45">
      <c r="A964" s="49"/>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1"/>
    </row>
    <row r="965" spans="1:27" ht="14.45">
      <c r="A965" s="49"/>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1"/>
    </row>
    <row r="966" spans="1:27" ht="14.45">
      <c r="A966" s="49"/>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1"/>
    </row>
    <row r="967" spans="1:27" ht="14.45">
      <c r="A967" s="49"/>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1"/>
    </row>
    <row r="968" spans="1:27" ht="14.45">
      <c r="A968" s="49"/>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1"/>
    </row>
    <row r="969" spans="1:27" ht="14.45">
      <c r="A969" s="49"/>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1"/>
    </row>
    <row r="970" spans="1:27" ht="14.45">
      <c r="A970" s="49"/>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1"/>
    </row>
    <row r="971" spans="1:27" ht="14.45">
      <c r="A971" s="49"/>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1"/>
    </row>
    <row r="972" spans="1:27" ht="14.45">
      <c r="A972" s="49"/>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1"/>
    </row>
    <row r="973" spans="1:27" ht="14.45">
      <c r="A973" s="49"/>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1"/>
    </row>
    <row r="974" spans="1:27" ht="14.45">
      <c r="A974" s="49"/>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1"/>
    </row>
    <row r="975" spans="1:27" ht="14.45">
      <c r="A975" s="49"/>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1"/>
    </row>
    <row r="976" spans="1:27" ht="14.45">
      <c r="A976" s="49"/>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1"/>
    </row>
    <row r="977" spans="1:27" ht="14.45">
      <c r="A977" s="49"/>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1"/>
    </row>
    <row r="978" spans="1:27" ht="14.45">
      <c r="A978" s="49"/>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1"/>
    </row>
    <row r="979" spans="1:27" ht="14.45">
      <c r="A979" s="49"/>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1"/>
    </row>
    <row r="980" spans="1:27" ht="14.45">
      <c r="A980" s="49"/>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1"/>
    </row>
    <row r="981" spans="1:27" ht="14.45">
      <c r="A981" s="49"/>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1"/>
    </row>
    <row r="982" spans="1:27" ht="14.45">
      <c r="A982" s="49"/>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1"/>
    </row>
    <row r="983" spans="1:27" ht="14.45">
      <c r="A983" s="55"/>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4"/>
    </row>
  </sheetData>
  <mergeCells count="3">
    <mergeCell ref="B4:X22"/>
    <mergeCell ref="Z4:AA4"/>
    <mergeCell ref="Z12:A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S181"/>
  <sheetViews>
    <sheetView workbookViewId="0">
      <selection activeCell="A3" sqref="A3"/>
    </sheetView>
  </sheetViews>
  <sheetFormatPr defaultColWidth="12.5703125" defaultRowHeight="15.75" customHeight="1"/>
  <cols>
    <col min="2" max="2" width="15.140625" customWidth="1"/>
    <col min="3" max="3" width="30.42578125" customWidth="1"/>
    <col min="4" max="4" width="22.28515625" customWidth="1"/>
    <col min="5" max="5" width="23.85546875" customWidth="1"/>
    <col min="6" max="6" width="23" customWidth="1"/>
    <col min="7" max="7" width="21.28515625" customWidth="1"/>
    <col min="8" max="8" width="13.42578125" customWidth="1"/>
    <col min="9" max="9" width="19.140625" customWidth="1"/>
    <col min="10" max="10" width="20.140625" customWidth="1"/>
    <col min="11" max="13" width="19" customWidth="1"/>
    <col min="14" max="14" width="14.85546875" customWidth="1"/>
    <col min="15" max="15" width="13.85546875" bestFit="1" customWidth="1"/>
    <col min="16" max="16" width="16.28515625" customWidth="1"/>
    <col min="17" max="18" width="11.7109375" bestFit="1" customWidth="1"/>
    <col min="19" max="19" width="12.7109375" customWidth="1"/>
    <col min="20" max="20" width="11.7109375" bestFit="1" customWidth="1"/>
  </cols>
  <sheetData>
    <row r="1" spans="1:16" ht="15.75" customHeight="1">
      <c r="P1" s="24"/>
    </row>
    <row r="2" spans="1:16" ht="15.75" customHeight="1">
      <c r="A2" s="1" t="s">
        <v>10</v>
      </c>
      <c r="B2" s="1" t="s">
        <v>11</v>
      </c>
      <c r="C2" s="1" t="s">
        <v>12</v>
      </c>
      <c r="D2" s="1" t="s">
        <v>13</v>
      </c>
      <c r="E2" s="1" t="s">
        <v>14</v>
      </c>
      <c r="F2" s="1" t="s">
        <v>15</v>
      </c>
      <c r="G2" s="1" t="s">
        <v>16</v>
      </c>
      <c r="H2" s="1" t="s">
        <v>17</v>
      </c>
      <c r="I2" s="17" t="s">
        <v>18</v>
      </c>
      <c r="J2" s="17" t="s">
        <v>19</v>
      </c>
      <c r="K2" s="17" t="s">
        <v>20</v>
      </c>
      <c r="L2" s="17" t="s">
        <v>21</v>
      </c>
      <c r="M2" s="17" t="s">
        <v>22</v>
      </c>
      <c r="N2" s="56" t="s">
        <v>23</v>
      </c>
    </row>
    <row r="3" spans="1:16" ht="15.75" customHeight="1">
      <c r="A3" s="32">
        <v>22907200</v>
      </c>
      <c r="B3" s="32">
        <v>11</v>
      </c>
      <c r="C3" s="33">
        <v>1</v>
      </c>
      <c r="D3" s="32" t="s">
        <v>24</v>
      </c>
      <c r="E3" s="33">
        <v>10</v>
      </c>
      <c r="F3" s="32" t="s">
        <v>25</v>
      </c>
      <c r="G3" s="34">
        <v>1</v>
      </c>
      <c r="H3" s="32" t="s">
        <v>26</v>
      </c>
      <c r="I3" s="38">
        <f>SUMIFS(ES_1[LENGTH_EX_SU],ES_1[STN],ES_1[[#This Row],[STN]],ES_1[DISCIPLINE_TYPE],"Out-of-School Suspension")+SUMIFS(ES_1[LENGTH_EX_SU],ES_1[STN],ES_1[[#This Row],[STN]],ES_1[DISCIPLINE_TYPE],"Expulsion")</f>
        <v>0</v>
      </c>
      <c r="J3" s="39">
        <f>IF(ES_1[[#This Row],[Count Exp/Sus]]&gt;10,1,0)</f>
        <v>0</v>
      </c>
      <c r="K3" s="39" t="str">
        <f>TRIM(IF(J3=1,A3 &amp;"-included",0))</f>
        <v>0</v>
      </c>
      <c r="L3" s="39">
        <f>IF(J3=1,IF(COUNTIFS($A$3:A3,A3,J$3:J3,1)=1,A3&amp;"-included",0),0)</f>
        <v>0</v>
      </c>
      <c r="M3" s="39" cm="1">
        <f t="array" ref="M3">IF(ES_1[[#This Row],[Included Exp/Sus]]=1,IF(SUMPRODUCT((ES_1[STN]=ES_1[[#This Row],[STN]])*(ES_1[Included Exp/Sus]=1)*(ROW(ES_1[STN])&lt;=ROW()))=1,1,0),0)</f>
        <v>0</v>
      </c>
      <c r="N3" s="39" t="str">
        <f>_xlfn.XLOOKUP(ES_1[[#This Row],[STN]],SE_1[STN],SE_1[Ethnicity],"",0)</f>
        <v>White</v>
      </c>
    </row>
    <row r="4" spans="1:16" ht="15.75" customHeight="1">
      <c r="A4" s="32">
        <v>22907200</v>
      </c>
      <c r="B4" s="32">
        <v>11</v>
      </c>
      <c r="C4" s="33">
        <v>1</v>
      </c>
      <c r="D4" s="32" t="s">
        <v>24</v>
      </c>
      <c r="E4" s="33">
        <v>15</v>
      </c>
      <c r="F4" s="32" t="s">
        <v>27</v>
      </c>
      <c r="G4" s="34"/>
      <c r="H4" s="32" t="s">
        <v>26</v>
      </c>
      <c r="I4" s="35">
        <f>SUMIFS(ES_1[LENGTH_EX_SU],ES_1[STN],ES_1[[#This Row],[STN]],ES_1[DISCIPLINE_TYPE],"Out-of-School Suspension")+SUMIFS(ES_1[LENGTH_EX_SU],ES_1[STN],ES_1[[#This Row],[STN]],ES_1[DISCIPLINE_TYPE],"Expulsion")</f>
        <v>0</v>
      </c>
      <c r="J4" s="32">
        <f>IF(ES_1[[#This Row],[Count Exp/Sus]]&gt;10,1,0)</f>
        <v>0</v>
      </c>
      <c r="K4" s="32" t="str">
        <f t="shared" ref="K4:K21" si="0">TRIM(IF(J4=1,A4 &amp;"-included",0))</f>
        <v>0</v>
      </c>
      <c r="L4" s="32">
        <f>IF(J4=1,IF(COUNTIFS($A$3:A4,A4,J$3:J4,1)=1,A4&amp;"-included",0),0)</f>
        <v>0</v>
      </c>
      <c r="M4" s="32" cm="1">
        <f t="array" ref="M4">IF(ES_1[[#This Row],[Included Exp/Sus]]=1,IF(SUMPRODUCT((ES_1[STN]=ES_1[[#This Row],[STN]])*(ES_1[Included Exp/Sus]=1)*(ROW(ES_1[STN])&lt;=ROW()))=1,1,0),0)</f>
        <v>0</v>
      </c>
      <c r="N4" s="32" t="str">
        <f>_xlfn.XLOOKUP(ES_1[[#This Row],[STN]],SE_1[STN],SE_1[Ethnicity],"",0)</f>
        <v>White</v>
      </c>
    </row>
    <row r="5" spans="1:16" ht="15.75" customHeight="1">
      <c r="A5" s="32">
        <v>22907202</v>
      </c>
      <c r="B5" s="32">
        <v>12</v>
      </c>
      <c r="C5" s="33">
        <v>1</v>
      </c>
      <c r="D5" s="32" t="s">
        <v>24</v>
      </c>
      <c r="E5" s="33">
        <v>16</v>
      </c>
      <c r="F5" s="32" t="s">
        <v>28</v>
      </c>
      <c r="G5" s="34">
        <v>1</v>
      </c>
      <c r="H5" s="32" t="s">
        <v>29</v>
      </c>
      <c r="I5" s="35">
        <f>SUMIFS(ES_1[LENGTH_EX_SU],ES_1[STN],ES_1[[#This Row],[STN]],ES_1[DISCIPLINE_TYPE],"Out-of-School Suspension")+SUMIFS(ES_1[LENGTH_EX_SU],ES_1[STN],ES_1[[#This Row],[STN]],ES_1[DISCIPLINE_TYPE],"Expulsion")</f>
        <v>0</v>
      </c>
      <c r="J5" s="32">
        <f>IF(ES_1[[#This Row],[Count Exp/Sus]]&gt;10,1,0)</f>
        <v>0</v>
      </c>
      <c r="K5" s="32" t="str">
        <f t="shared" si="0"/>
        <v>0</v>
      </c>
      <c r="L5" s="32">
        <f>IF(J5=1,IF(COUNTIFS($A$3:A5,A5,J$3:J5,1)=1,A5&amp;"-included",0),0)</f>
        <v>0</v>
      </c>
      <c r="M5" s="32" cm="1">
        <f t="array" ref="M5">IF(ES_1[[#This Row],[Included Exp/Sus]]=1,IF(SUMPRODUCT((ES_1[STN]=ES_1[[#This Row],[STN]])*(ES_1[Included Exp/Sus]=1)*(ROW(ES_1[STN])&lt;=ROW()))=1,1,0),0)</f>
        <v>0</v>
      </c>
      <c r="N5" s="32" t="str">
        <f>_xlfn.XLOOKUP(ES_1[[#This Row],[STN]],SE_1[STN],SE_1[Ethnicity],"",0)</f>
        <v/>
      </c>
    </row>
    <row r="6" spans="1:16" ht="15.75" customHeight="1">
      <c r="A6" s="32">
        <v>22907502</v>
      </c>
      <c r="B6" s="32">
        <v>12</v>
      </c>
      <c r="C6" s="33">
        <v>1</v>
      </c>
      <c r="D6" s="32" t="s">
        <v>24</v>
      </c>
      <c r="E6" s="33">
        <v>10</v>
      </c>
      <c r="F6" s="32" t="s">
        <v>25</v>
      </c>
      <c r="G6" s="34">
        <v>1</v>
      </c>
      <c r="H6" s="32" t="s">
        <v>29</v>
      </c>
      <c r="I6" s="35">
        <f>SUMIFS(ES_1[LENGTH_EX_SU],ES_1[STN],ES_1[[#This Row],[STN]],ES_1[DISCIPLINE_TYPE],"Out-of-School Suspension")+SUMIFS(ES_1[LENGTH_EX_SU],ES_1[STN],ES_1[[#This Row],[STN]],ES_1[DISCIPLINE_TYPE],"Expulsion")</f>
        <v>0</v>
      </c>
      <c r="J6" s="32">
        <f>IF(ES_1[[#This Row],[Count Exp/Sus]]&gt;10,1,0)</f>
        <v>0</v>
      </c>
      <c r="K6" s="32" t="str">
        <f t="shared" si="0"/>
        <v>0</v>
      </c>
      <c r="L6" s="32">
        <f>IF(J6=1,IF(COUNTIFS($A$3:A6,A6,J$3:J6,1)=1,A6&amp;"-included",0),0)</f>
        <v>0</v>
      </c>
      <c r="M6" s="32" cm="1">
        <f t="array" ref="M6">IF(ES_1[[#This Row],[Included Exp/Sus]]=1,IF(SUMPRODUCT((ES_1[STN]=ES_1[[#This Row],[STN]])*(ES_1[Included Exp/Sus]=1)*(ROW(ES_1[STN])&lt;=ROW()))=1,1,0),0)</f>
        <v>0</v>
      </c>
      <c r="N6" s="32" t="str">
        <f>_xlfn.XLOOKUP(ES_1[[#This Row],[STN]],SE_1[STN],SE_1[Ethnicity],"",0)</f>
        <v/>
      </c>
    </row>
    <row r="7" spans="1:16" ht="15.75" customHeight="1">
      <c r="A7" s="32">
        <v>22907599</v>
      </c>
      <c r="B7" s="32">
        <v>11</v>
      </c>
      <c r="C7" s="33">
        <v>1</v>
      </c>
      <c r="D7" s="32" t="s">
        <v>24</v>
      </c>
      <c r="E7" s="33">
        <v>7</v>
      </c>
      <c r="F7" s="32" t="s">
        <v>30</v>
      </c>
      <c r="G7" s="34">
        <v>2</v>
      </c>
      <c r="H7" s="32" t="s">
        <v>26</v>
      </c>
      <c r="I7" s="35">
        <f>SUMIFS(ES_1[LENGTH_EX_SU],ES_1[STN],ES_1[[#This Row],[STN]],ES_1[DISCIPLINE_TYPE],"Out-of-School Suspension")+SUMIFS(ES_1[LENGTH_EX_SU],ES_1[STN],ES_1[[#This Row],[STN]],ES_1[DISCIPLINE_TYPE],"Expulsion")</f>
        <v>0</v>
      </c>
      <c r="J7" s="32">
        <f>IF(ES_1[[#This Row],[Count Exp/Sus]]&gt;10,1,0)</f>
        <v>0</v>
      </c>
      <c r="K7" s="32" t="str">
        <f t="shared" si="0"/>
        <v>0</v>
      </c>
      <c r="L7" s="32">
        <f>IF(J7=1,IF(COUNTIFS($A$3:A7,A7,J$3:J7,1)=1,A7&amp;"-included",0),0)</f>
        <v>0</v>
      </c>
      <c r="M7" s="32" cm="1">
        <f t="array" ref="M7">IF(ES_1[[#This Row],[Included Exp/Sus]]=1,IF(SUMPRODUCT((ES_1[STN]=ES_1[[#This Row],[STN]])*(ES_1[Included Exp/Sus]=1)*(ROW(ES_1[STN])&lt;=ROW()))=1,1,0),0)</f>
        <v>0</v>
      </c>
      <c r="N7" s="32" t="str">
        <f>_xlfn.XLOOKUP(ES_1[[#This Row],[STN]],SE_1[STN],SE_1[Ethnicity],"",0)</f>
        <v>White</v>
      </c>
    </row>
    <row r="8" spans="1:16" ht="15.75" customHeight="1">
      <c r="A8" s="32">
        <v>22907674</v>
      </c>
      <c r="B8" s="32">
        <v>10</v>
      </c>
      <c r="C8" s="33">
        <v>1</v>
      </c>
      <c r="D8" s="32" t="s">
        <v>24</v>
      </c>
      <c r="E8" s="33">
        <v>16</v>
      </c>
      <c r="F8" s="32" t="s">
        <v>28</v>
      </c>
      <c r="G8" s="34">
        <v>1</v>
      </c>
      <c r="H8" s="32" t="s">
        <v>26</v>
      </c>
      <c r="I8" s="35">
        <f>SUMIFS(ES_1[LENGTH_EX_SU],ES_1[STN],ES_1[[#This Row],[STN]],ES_1[DISCIPLINE_TYPE],"Out-of-School Suspension")+SUMIFS(ES_1[LENGTH_EX_SU],ES_1[STN],ES_1[[#This Row],[STN]],ES_1[DISCIPLINE_TYPE],"Expulsion")</f>
        <v>1</v>
      </c>
      <c r="J8" s="32">
        <f>IF(ES_1[[#This Row],[Count Exp/Sus]]&gt;10,1,0)</f>
        <v>0</v>
      </c>
      <c r="K8" s="32" t="str">
        <f t="shared" si="0"/>
        <v>0</v>
      </c>
      <c r="L8" s="32">
        <f>IF(J8=1,IF(COUNTIFS($A$3:A8,A8,J$3:J8,1)=1,A8&amp;"-included",0),0)</f>
        <v>0</v>
      </c>
      <c r="M8" s="32" cm="1">
        <f t="array" ref="M8">IF(ES_1[[#This Row],[Included Exp/Sus]]=1,IF(SUMPRODUCT((ES_1[STN]=ES_1[[#This Row],[STN]])*(ES_1[Included Exp/Sus]=1)*(ROW(ES_1[STN])&lt;=ROW()))=1,1,0),0)</f>
        <v>0</v>
      </c>
      <c r="N8" s="32" t="str">
        <f>_xlfn.XLOOKUP(ES_1[[#This Row],[STN]],SE_1[STN],SE_1[Ethnicity],"",0)</f>
        <v>White</v>
      </c>
      <c r="O8" s="29"/>
    </row>
    <row r="9" spans="1:16" ht="15.75" customHeight="1">
      <c r="A9" s="32">
        <v>22907674</v>
      </c>
      <c r="B9" s="32">
        <v>10</v>
      </c>
      <c r="C9" s="33">
        <v>2</v>
      </c>
      <c r="D9" s="32" t="s">
        <v>31</v>
      </c>
      <c r="E9" s="33">
        <v>14</v>
      </c>
      <c r="F9" s="32" t="s">
        <v>32</v>
      </c>
      <c r="G9" s="34">
        <v>1</v>
      </c>
      <c r="H9" s="32" t="s">
        <v>26</v>
      </c>
      <c r="I9" s="35">
        <f>SUMIFS(ES_1[LENGTH_EX_SU],ES_1[STN],ES_1[[#This Row],[STN]],ES_1[DISCIPLINE_TYPE],"Out-of-School Suspension")+SUMIFS(ES_1[LENGTH_EX_SU],ES_1[STN],ES_1[[#This Row],[STN]],ES_1[DISCIPLINE_TYPE],"Expulsion")</f>
        <v>1</v>
      </c>
      <c r="J9" s="32">
        <f>IF(ES_1[[#This Row],[Count Exp/Sus]]&gt;10,1,0)</f>
        <v>0</v>
      </c>
      <c r="K9" s="32" t="str">
        <f t="shared" si="0"/>
        <v>0</v>
      </c>
      <c r="L9" s="32">
        <f>IF(J9=1,IF(COUNTIFS($A$3:A9,A9,J$3:J9,1)=1,A9&amp;"-included",0),0)</f>
        <v>0</v>
      </c>
      <c r="M9" s="32" cm="1">
        <f t="array" ref="M9">IF(ES_1[[#This Row],[Included Exp/Sus]]=1,IF(SUMPRODUCT((ES_1[STN]=ES_1[[#This Row],[STN]])*(ES_1[Included Exp/Sus]=1)*(ROW(ES_1[STN])&lt;=ROW()))=1,1,0),0)</f>
        <v>0</v>
      </c>
      <c r="N9" s="32" t="str">
        <f>_xlfn.XLOOKUP(ES_1[[#This Row],[STN]],SE_1[STN],SE_1[Ethnicity],"",0)</f>
        <v>White</v>
      </c>
    </row>
    <row r="10" spans="1:16" ht="15.75" customHeight="1">
      <c r="A10" s="32">
        <v>22907674</v>
      </c>
      <c r="B10" s="32">
        <v>10</v>
      </c>
      <c r="C10" s="33">
        <v>1</v>
      </c>
      <c r="D10" s="32" t="s">
        <v>24</v>
      </c>
      <c r="E10" s="33">
        <v>14</v>
      </c>
      <c r="F10" s="32" t="s">
        <v>32</v>
      </c>
      <c r="G10" s="34">
        <v>1</v>
      </c>
      <c r="H10" s="32" t="s">
        <v>26</v>
      </c>
      <c r="I10" s="35">
        <f>SUMIFS(ES_1[LENGTH_EX_SU],ES_1[STN],ES_1[[#This Row],[STN]],ES_1[DISCIPLINE_TYPE],"Out-of-School Suspension")+SUMIFS(ES_1[LENGTH_EX_SU],ES_1[STN],ES_1[[#This Row],[STN]],ES_1[DISCIPLINE_TYPE],"Expulsion")</f>
        <v>1</v>
      </c>
      <c r="J10" s="32">
        <f>IF(ES_1[[#This Row],[Count Exp/Sus]]&gt;10,1,0)</f>
        <v>0</v>
      </c>
      <c r="K10" s="32" t="str">
        <f t="shared" si="0"/>
        <v>0</v>
      </c>
      <c r="L10" s="32">
        <f>IF(J10=1,IF(COUNTIFS($A$3:A10,A10,J$3:J10,1)=1,A10&amp;"-included",0),0)</f>
        <v>0</v>
      </c>
      <c r="M10" s="32" cm="1">
        <f t="array" ref="M10">IF(ES_1[[#This Row],[Included Exp/Sus]]=1,IF(SUMPRODUCT((ES_1[STN]=ES_1[[#This Row],[STN]])*(ES_1[Included Exp/Sus]=1)*(ROW(ES_1[STN])&lt;=ROW()))=1,1,0),0)</f>
        <v>0</v>
      </c>
      <c r="N10" s="32" t="str">
        <f>_xlfn.XLOOKUP(ES_1[[#This Row],[STN]],SE_1[STN],SE_1[Ethnicity],"",0)</f>
        <v>White</v>
      </c>
    </row>
    <row r="11" spans="1:16" ht="15.75" customHeight="1">
      <c r="A11" s="32">
        <v>22907679</v>
      </c>
      <c r="B11" s="32">
        <v>11</v>
      </c>
      <c r="C11" s="33">
        <v>2</v>
      </c>
      <c r="D11" s="32" t="s">
        <v>31</v>
      </c>
      <c r="E11" s="33">
        <v>14</v>
      </c>
      <c r="F11" s="32" t="s">
        <v>32</v>
      </c>
      <c r="G11" s="34">
        <v>1</v>
      </c>
      <c r="H11" s="32" t="s">
        <v>26</v>
      </c>
      <c r="I11" s="35">
        <f>SUMIFS(ES_1[LENGTH_EX_SU],ES_1[STN],ES_1[[#This Row],[STN]],ES_1[DISCIPLINE_TYPE],"Out-of-School Suspension")+SUMIFS(ES_1[LENGTH_EX_SU],ES_1[STN],ES_1[[#This Row],[STN]],ES_1[DISCIPLINE_TYPE],"Expulsion")</f>
        <v>1</v>
      </c>
      <c r="J11" s="32">
        <f>IF(ES_1[[#This Row],[Count Exp/Sus]]&gt;10,1,0)</f>
        <v>0</v>
      </c>
      <c r="K11" s="32" t="str">
        <f t="shared" si="0"/>
        <v>0</v>
      </c>
      <c r="L11" s="32">
        <f>IF(J11=1,IF(COUNTIFS($A$3:A11,A11,J$3:J11,1)=1,A11&amp;"-included",0),0)</f>
        <v>0</v>
      </c>
      <c r="M11" s="32" cm="1">
        <f t="array" ref="M11">IF(ES_1[[#This Row],[Included Exp/Sus]]=1,IF(SUMPRODUCT((ES_1[STN]=ES_1[[#This Row],[STN]])*(ES_1[Included Exp/Sus]=1)*(ROW(ES_1[STN])&lt;=ROW()))=1,1,0),0)</f>
        <v>0</v>
      </c>
      <c r="N11" s="32" t="str">
        <f>_xlfn.XLOOKUP(ES_1[[#This Row],[STN]],SE_1[STN],SE_1[Ethnicity],"",0)</f>
        <v>White</v>
      </c>
    </row>
    <row r="12" spans="1:16" ht="15.75" customHeight="1">
      <c r="A12" s="32">
        <v>22908518</v>
      </c>
      <c r="B12" s="32">
        <v>11</v>
      </c>
      <c r="C12" s="33">
        <v>1</v>
      </c>
      <c r="D12" s="32" t="s">
        <v>24</v>
      </c>
      <c r="E12" s="33">
        <v>10</v>
      </c>
      <c r="F12" s="32" t="s">
        <v>25</v>
      </c>
      <c r="G12" s="34">
        <v>1</v>
      </c>
      <c r="H12" s="32" t="s">
        <v>29</v>
      </c>
      <c r="I12" s="35">
        <f>SUMIFS(ES_1[LENGTH_EX_SU],ES_1[STN],ES_1[[#This Row],[STN]],ES_1[DISCIPLINE_TYPE],"Out-of-School Suspension")+SUMIFS(ES_1[LENGTH_EX_SU],ES_1[STN],ES_1[[#This Row],[STN]],ES_1[DISCIPLINE_TYPE],"Expulsion")</f>
        <v>0</v>
      </c>
      <c r="J12" s="32">
        <f>IF(ES_1[[#This Row],[Count Exp/Sus]]&gt;10,1,0)</f>
        <v>0</v>
      </c>
      <c r="K12" s="32" t="str">
        <f t="shared" si="0"/>
        <v>0</v>
      </c>
      <c r="L12" s="32">
        <f>IF(J12=1,IF(COUNTIFS($A$3:A12,A12,J$3:J12,1)=1,A12&amp;"-included",0),0)</f>
        <v>0</v>
      </c>
      <c r="M12" s="32" cm="1">
        <f t="array" ref="M12">IF(ES_1[[#This Row],[Included Exp/Sus]]=1,IF(SUMPRODUCT((ES_1[STN]=ES_1[[#This Row],[STN]])*(ES_1[Included Exp/Sus]=1)*(ROW(ES_1[STN])&lt;=ROW()))=1,1,0),0)</f>
        <v>0</v>
      </c>
      <c r="N12" s="32" t="str">
        <f>_xlfn.XLOOKUP(ES_1[[#This Row],[STN]],SE_1[STN],SE_1[Ethnicity],"",0)</f>
        <v/>
      </c>
    </row>
    <row r="13" spans="1:16" ht="15.75" customHeight="1">
      <c r="A13" s="32">
        <v>22908518</v>
      </c>
      <c r="B13" s="32">
        <v>11</v>
      </c>
      <c r="C13" s="33">
        <v>1</v>
      </c>
      <c r="D13" s="32" t="s">
        <v>24</v>
      </c>
      <c r="E13" s="33">
        <v>10</v>
      </c>
      <c r="F13" s="32" t="s">
        <v>25</v>
      </c>
      <c r="G13" s="34">
        <v>1</v>
      </c>
      <c r="H13" s="32" t="s">
        <v>29</v>
      </c>
      <c r="I13" s="35">
        <f>SUMIFS(ES_1[LENGTH_EX_SU],ES_1[STN],ES_1[[#This Row],[STN]],ES_1[DISCIPLINE_TYPE],"Out-of-School Suspension")+SUMIFS(ES_1[LENGTH_EX_SU],ES_1[STN],ES_1[[#This Row],[STN]],ES_1[DISCIPLINE_TYPE],"Expulsion")</f>
        <v>0</v>
      </c>
      <c r="J13" s="32">
        <f>IF(ES_1[[#This Row],[Count Exp/Sus]]&gt;10,1,0)</f>
        <v>0</v>
      </c>
      <c r="K13" s="32" t="str">
        <f t="shared" si="0"/>
        <v>0</v>
      </c>
      <c r="L13" s="32">
        <f>IF(J13=1,IF(COUNTIFS($A$3:A13,A13,J$3:J13,1)=1,A13&amp;"-included",0),0)</f>
        <v>0</v>
      </c>
      <c r="M13" s="32" cm="1">
        <f t="array" ref="M13">IF(ES_1[[#This Row],[Included Exp/Sus]]=1,IF(SUMPRODUCT((ES_1[STN]=ES_1[[#This Row],[STN]])*(ES_1[Included Exp/Sus]=1)*(ROW(ES_1[STN])&lt;=ROW()))=1,1,0),0)</f>
        <v>0</v>
      </c>
      <c r="N13" s="32" t="str">
        <f>_xlfn.XLOOKUP(ES_1[[#This Row],[STN]],SE_1[STN],SE_1[Ethnicity],"",0)</f>
        <v/>
      </c>
    </row>
    <row r="14" spans="1:16" ht="15.75" customHeight="1">
      <c r="A14" s="32">
        <v>22908518</v>
      </c>
      <c r="B14" s="32">
        <v>11</v>
      </c>
      <c r="C14" s="33">
        <v>1</v>
      </c>
      <c r="D14" s="32" t="s">
        <v>24</v>
      </c>
      <c r="E14" s="33">
        <v>10</v>
      </c>
      <c r="F14" s="32" t="s">
        <v>25</v>
      </c>
      <c r="G14" s="34">
        <v>1</v>
      </c>
      <c r="H14" s="32" t="s">
        <v>29</v>
      </c>
      <c r="I14" s="35">
        <f>SUMIFS(ES_1[LENGTH_EX_SU],ES_1[STN],ES_1[[#This Row],[STN]],ES_1[DISCIPLINE_TYPE],"Out-of-School Suspension")+SUMIFS(ES_1[LENGTH_EX_SU],ES_1[STN],ES_1[[#This Row],[STN]],ES_1[DISCIPLINE_TYPE],"Expulsion")</f>
        <v>0</v>
      </c>
      <c r="J14" s="32">
        <f>IF(ES_1[[#This Row],[Count Exp/Sus]]&gt;10,1,0)</f>
        <v>0</v>
      </c>
      <c r="K14" s="32" t="str">
        <f t="shared" si="0"/>
        <v>0</v>
      </c>
      <c r="L14" s="32">
        <f>IF(J14=1,IF(COUNTIFS($A$3:A14,A14,J$3:J14,1)=1,A14&amp;"-included",0),0)</f>
        <v>0</v>
      </c>
      <c r="M14" s="32" cm="1">
        <f t="array" ref="M14">IF(ES_1[[#This Row],[Included Exp/Sus]]=1,IF(SUMPRODUCT((ES_1[STN]=ES_1[[#This Row],[STN]])*(ES_1[Included Exp/Sus]=1)*(ROW(ES_1[STN])&lt;=ROW()))=1,1,0),0)</f>
        <v>0</v>
      </c>
      <c r="N14" s="32" t="str">
        <f>_xlfn.XLOOKUP(ES_1[[#This Row],[STN]],SE_1[STN],SE_1[Ethnicity],"",0)</f>
        <v/>
      </c>
    </row>
    <row r="15" spans="1:16" ht="15.75" customHeight="1">
      <c r="A15" s="32">
        <v>22908533</v>
      </c>
      <c r="B15" s="32">
        <v>9</v>
      </c>
      <c r="C15" s="33">
        <v>2</v>
      </c>
      <c r="D15" s="32" t="s">
        <v>31</v>
      </c>
      <c r="E15" s="33">
        <v>2</v>
      </c>
      <c r="F15" s="32" t="s">
        <v>33</v>
      </c>
      <c r="G15" s="34">
        <v>5</v>
      </c>
      <c r="H15" s="32" t="s">
        <v>26</v>
      </c>
      <c r="I15" s="35">
        <f>SUMIFS(ES_1[LENGTH_EX_SU],ES_1[STN],ES_1[[#This Row],[STN]],ES_1[DISCIPLINE_TYPE],"Out-of-School Suspension")+SUMIFS(ES_1[LENGTH_EX_SU],ES_1[STN],ES_1[[#This Row],[STN]],ES_1[DISCIPLINE_TYPE],"Expulsion")</f>
        <v>10</v>
      </c>
      <c r="J15" s="32">
        <f>IF(ES_1[[#This Row],[Count Exp/Sus]]&gt;10,1,0)</f>
        <v>0</v>
      </c>
      <c r="K15" s="32" t="str">
        <f t="shared" si="0"/>
        <v>0</v>
      </c>
      <c r="L15" s="32">
        <f>IF(J15=1,IF(COUNTIFS($A$3:A15,A15,J$3:J15,1)=1,A15&amp;"-included",0),0)</f>
        <v>0</v>
      </c>
      <c r="M15" s="32" cm="1">
        <f t="array" ref="M15">IF(ES_1[[#This Row],[Included Exp/Sus]]=1,IF(SUMPRODUCT((ES_1[STN]=ES_1[[#This Row],[STN]])*(ES_1[Included Exp/Sus]=1)*(ROW(ES_1[STN])&lt;=ROW()))=1,1,0),0)</f>
        <v>0</v>
      </c>
      <c r="N15" s="32" t="str">
        <f>_xlfn.XLOOKUP(ES_1[[#This Row],[STN]],SE_1[STN],SE_1[Ethnicity],"",0)</f>
        <v>White</v>
      </c>
    </row>
    <row r="16" spans="1:16" ht="15.75" customHeight="1">
      <c r="A16" s="32">
        <v>22908533</v>
      </c>
      <c r="B16" s="32">
        <v>9</v>
      </c>
      <c r="C16" s="33">
        <v>2</v>
      </c>
      <c r="D16" s="32" t="s">
        <v>31</v>
      </c>
      <c r="E16" s="33">
        <v>15</v>
      </c>
      <c r="F16" s="32" t="s">
        <v>33</v>
      </c>
      <c r="G16" s="34">
        <v>5</v>
      </c>
      <c r="H16" s="32" t="s">
        <v>26</v>
      </c>
      <c r="I16" s="35">
        <f>SUMIFS(ES_1[LENGTH_EX_SU],ES_1[STN],ES_1[[#This Row],[STN]],ES_1[DISCIPLINE_TYPE],"Out-of-School Suspension")+SUMIFS(ES_1[LENGTH_EX_SU],ES_1[STN],ES_1[[#This Row],[STN]],ES_1[DISCIPLINE_TYPE],"Expulsion")</f>
        <v>10</v>
      </c>
      <c r="J16" s="32">
        <f>IF(ES_1[[#This Row],[Count Exp/Sus]]&gt;10,1,0)</f>
        <v>0</v>
      </c>
      <c r="K16" s="32" t="str">
        <f t="shared" si="0"/>
        <v>0</v>
      </c>
      <c r="L16" s="32">
        <f>IF(J16=1,IF(COUNTIFS($A$3:A16,A16,J$3:J16,1)=1,A16&amp;"-included",0),0)</f>
        <v>0</v>
      </c>
      <c r="M16" s="32" cm="1">
        <f t="array" ref="M16">IF(ES_1[[#This Row],[Included Exp/Sus]]=1,IF(SUMPRODUCT((ES_1[STN]=ES_1[[#This Row],[STN]])*(ES_1[Included Exp/Sus]=1)*(ROW(ES_1[STN])&lt;=ROW()))=1,1,0),0)</f>
        <v>0</v>
      </c>
      <c r="N16" s="32" t="str">
        <f>_xlfn.XLOOKUP(ES_1[[#This Row],[STN]],SE_1[STN],SE_1[Ethnicity],"",0)</f>
        <v>White</v>
      </c>
    </row>
    <row r="17" spans="1:14" ht="15.75" customHeight="1">
      <c r="A17" s="32">
        <v>22908537</v>
      </c>
      <c r="B17" s="32">
        <v>10</v>
      </c>
      <c r="C17" s="33">
        <v>1</v>
      </c>
      <c r="D17" s="32" t="s">
        <v>24</v>
      </c>
      <c r="E17" s="33">
        <v>15</v>
      </c>
      <c r="F17" s="32" t="s">
        <v>27</v>
      </c>
      <c r="G17" s="34">
        <v>1</v>
      </c>
      <c r="H17" s="32" t="s">
        <v>29</v>
      </c>
      <c r="I17" s="35">
        <f>SUMIFS(ES_1[LENGTH_EX_SU],ES_1[STN],ES_1[[#This Row],[STN]],ES_1[DISCIPLINE_TYPE],"Out-of-School Suspension")+SUMIFS(ES_1[LENGTH_EX_SU],ES_1[STN],ES_1[[#This Row],[STN]],ES_1[DISCIPLINE_TYPE],"Expulsion")</f>
        <v>0</v>
      </c>
      <c r="J17" s="32">
        <f>IF(ES_1[[#This Row],[Count Exp/Sus]]&gt;10,1,0)</f>
        <v>0</v>
      </c>
      <c r="K17" s="32" t="str">
        <f t="shared" si="0"/>
        <v>0</v>
      </c>
      <c r="L17" s="32">
        <f>IF(J17=1,IF(COUNTIFS($A$3:A17,A17,J$3:J17,1)=1,A17&amp;"-included",0),0)</f>
        <v>0</v>
      </c>
      <c r="M17" s="32" cm="1">
        <f t="array" ref="M17">IF(ES_1[[#This Row],[Included Exp/Sus]]=1,IF(SUMPRODUCT((ES_1[STN]=ES_1[[#This Row],[STN]])*(ES_1[Included Exp/Sus]=1)*(ROW(ES_1[STN])&lt;=ROW()))=1,1,0),0)</f>
        <v>0</v>
      </c>
      <c r="N17" s="32" t="str">
        <f>_xlfn.XLOOKUP(ES_1[[#This Row],[STN]],SE_1[STN],SE_1[Ethnicity],"",0)</f>
        <v/>
      </c>
    </row>
    <row r="18" spans="1:14" ht="15.75" customHeight="1">
      <c r="A18" s="32">
        <v>22908548</v>
      </c>
      <c r="B18" s="32">
        <v>10</v>
      </c>
      <c r="C18" s="33">
        <v>2</v>
      </c>
      <c r="D18" s="32" t="s">
        <v>31</v>
      </c>
      <c r="E18" s="33">
        <v>2</v>
      </c>
      <c r="F18" s="32" t="s">
        <v>33</v>
      </c>
      <c r="G18" s="34">
        <v>1</v>
      </c>
      <c r="H18" s="32" t="s">
        <v>29</v>
      </c>
      <c r="I18" s="35">
        <f>SUMIFS(ES_1[LENGTH_EX_SU],ES_1[STN],ES_1[[#This Row],[STN]],ES_1[DISCIPLINE_TYPE],"Out-of-School Suspension")+SUMIFS(ES_1[LENGTH_EX_SU],ES_1[STN],ES_1[[#This Row],[STN]],ES_1[DISCIPLINE_TYPE],"Expulsion")</f>
        <v>1</v>
      </c>
      <c r="J18" s="32">
        <f>IF(ES_1[[#This Row],[Count Exp/Sus]]&gt;10,1,0)</f>
        <v>0</v>
      </c>
      <c r="K18" s="32" t="str">
        <f t="shared" si="0"/>
        <v>0</v>
      </c>
      <c r="L18" s="32">
        <f>IF(J18=1,IF(COUNTIFS($A$3:A18,A18,J$3:J18,1)=1,A18&amp;"-included",0),0)</f>
        <v>0</v>
      </c>
      <c r="M18" s="32" cm="1">
        <f t="array" ref="M18">IF(ES_1[[#This Row],[Included Exp/Sus]]=1,IF(SUMPRODUCT((ES_1[STN]=ES_1[[#This Row],[STN]])*(ES_1[Included Exp/Sus]=1)*(ROW(ES_1[STN])&lt;=ROW()))=1,1,0),0)</f>
        <v>0</v>
      </c>
      <c r="N18" s="32" t="str">
        <f>_xlfn.XLOOKUP(ES_1[[#This Row],[STN]],SE_1[STN],SE_1[Ethnicity],"",0)</f>
        <v/>
      </c>
    </row>
    <row r="19" spans="1:14" ht="15.75" customHeight="1">
      <c r="A19" s="32">
        <v>22908548</v>
      </c>
      <c r="B19" s="32">
        <v>10</v>
      </c>
      <c r="C19" s="33">
        <v>1</v>
      </c>
      <c r="D19" s="32" t="s">
        <v>24</v>
      </c>
      <c r="E19" s="33">
        <v>15</v>
      </c>
      <c r="F19" s="32" t="s">
        <v>27</v>
      </c>
      <c r="G19" s="34">
        <v>1</v>
      </c>
      <c r="H19" s="32" t="s">
        <v>29</v>
      </c>
      <c r="I19" s="35">
        <f>SUMIFS(ES_1[LENGTH_EX_SU],ES_1[STN],ES_1[[#This Row],[STN]],ES_1[DISCIPLINE_TYPE],"Out-of-School Suspension")+SUMIFS(ES_1[LENGTH_EX_SU],ES_1[STN],ES_1[[#This Row],[STN]],ES_1[DISCIPLINE_TYPE],"Expulsion")</f>
        <v>1</v>
      </c>
      <c r="J19" s="32">
        <f>IF(ES_1[[#This Row],[Count Exp/Sus]]&gt;10,1,0)</f>
        <v>0</v>
      </c>
      <c r="K19" s="32" t="str">
        <f t="shared" si="0"/>
        <v>0</v>
      </c>
      <c r="L19" s="32">
        <f>IF(J19=1,IF(COUNTIFS($A$3:A19,A19,J$3:J19,1)=1,A19&amp;"-included",0),0)</f>
        <v>0</v>
      </c>
      <c r="M19" s="32" cm="1">
        <f t="array" ref="M19">IF(ES_1[[#This Row],[Included Exp/Sus]]=1,IF(SUMPRODUCT((ES_1[STN]=ES_1[[#This Row],[STN]])*(ES_1[Included Exp/Sus]=1)*(ROW(ES_1[STN])&lt;=ROW()))=1,1,0),0)</f>
        <v>0</v>
      </c>
      <c r="N19" s="32" t="str">
        <f>_xlfn.XLOOKUP(ES_1[[#This Row],[STN]],SE_1[STN],SE_1[Ethnicity],"",0)</f>
        <v/>
      </c>
    </row>
    <row r="20" spans="1:14" ht="15.75" customHeight="1">
      <c r="A20" s="32">
        <v>22908559</v>
      </c>
      <c r="B20" s="32">
        <v>11</v>
      </c>
      <c r="C20" s="33">
        <v>2</v>
      </c>
      <c r="D20" s="32" t="s">
        <v>31</v>
      </c>
      <c r="E20" s="33">
        <v>13</v>
      </c>
      <c r="F20" s="32" t="s">
        <v>34</v>
      </c>
      <c r="G20" s="34">
        <v>1</v>
      </c>
      <c r="H20" s="32" t="s">
        <v>29</v>
      </c>
      <c r="I20" s="35">
        <f>SUMIFS(ES_1[LENGTH_EX_SU],ES_1[STN],ES_1[[#This Row],[STN]],ES_1[DISCIPLINE_TYPE],"Out-of-School Suspension")+SUMIFS(ES_1[LENGTH_EX_SU],ES_1[STN],ES_1[[#This Row],[STN]],ES_1[DISCIPLINE_TYPE],"Expulsion")</f>
        <v>1</v>
      </c>
      <c r="J20" s="32">
        <f>IF(ES_1[[#This Row],[Count Exp/Sus]]&gt;10,1,0)</f>
        <v>0</v>
      </c>
      <c r="K20" s="32" t="str">
        <f t="shared" si="0"/>
        <v>0</v>
      </c>
      <c r="L20" s="32">
        <f>IF(J20=1,IF(COUNTIFS($A$3:A20,A20,J$3:J20,1)=1,A20&amp;"-included",0),0)</f>
        <v>0</v>
      </c>
      <c r="M20" s="32" cm="1">
        <f t="array" ref="M20">IF(ES_1[[#This Row],[Included Exp/Sus]]=1,IF(SUMPRODUCT((ES_1[STN]=ES_1[[#This Row],[STN]])*(ES_1[Included Exp/Sus]=1)*(ROW(ES_1[STN])&lt;=ROW()))=1,1,0),0)</f>
        <v>0</v>
      </c>
      <c r="N20" s="32" t="str">
        <f>_xlfn.XLOOKUP(ES_1[[#This Row],[STN]],SE_1[STN],SE_1[Ethnicity],"",0)</f>
        <v/>
      </c>
    </row>
    <row r="21" spans="1:14" ht="15.75" customHeight="1">
      <c r="A21" s="32">
        <v>22908743</v>
      </c>
      <c r="B21" s="32">
        <v>11</v>
      </c>
      <c r="C21" s="33">
        <v>2</v>
      </c>
      <c r="D21" s="32" t="s">
        <v>31</v>
      </c>
      <c r="E21" s="33">
        <v>16</v>
      </c>
      <c r="F21" s="32" t="s">
        <v>28</v>
      </c>
      <c r="G21" s="34">
        <v>10</v>
      </c>
      <c r="H21" s="32" t="s">
        <v>26</v>
      </c>
      <c r="I21" s="35">
        <f>SUMIFS(ES_1[LENGTH_EX_SU],ES_1[STN],ES_1[[#This Row],[STN]],ES_1[DISCIPLINE_TYPE],"Out-of-School Suspension")+SUMIFS(ES_1[LENGTH_EX_SU],ES_1[STN],ES_1[[#This Row],[STN]],ES_1[DISCIPLINE_TYPE],"Expulsion")</f>
        <v>10</v>
      </c>
      <c r="J21" s="32">
        <f>IF(ES_1[[#This Row],[Count Exp/Sus]]&gt;10,1,0)</f>
        <v>0</v>
      </c>
      <c r="K21" s="32" t="str">
        <f t="shared" si="0"/>
        <v>0</v>
      </c>
      <c r="L21" s="32">
        <f>IF(J21=1,IF(COUNTIFS($A$3:A21,A21,J$3:J21,1)=1,A21&amp;"-included",0),0)</f>
        <v>0</v>
      </c>
      <c r="M21" s="32" cm="1">
        <f t="array" ref="M21">IF(ES_1[[#This Row],[Included Exp/Sus]]=1,IF(SUMPRODUCT((ES_1[STN]=ES_1[[#This Row],[STN]])*(ES_1[Included Exp/Sus]=1)*(ROW(ES_1[STN])&lt;=ROW()))=1,1,0),0)</f>
        <v>0</v>
      </c>
      <c r="N21" s="32" t="str">
        <f>_xlfn.XLOOKUP(ES_1[[#This Row],[STN]],SE_1[STN],SE_1[Ethnicity],"",0)</f>
        <v>Black - African American</v>
      </c>
    </row>
    <row r="22" spans="1:14" ht="15.75" customHeight="1">
      <c r="A22" s="32">
        <v>22908746</v>
      </c>
      <c r="B22" s="32">
        <v>11</v>
      </c>
      <c r="C22" s="33">
        <v>3</v>
      </c>
      <c r="D22" s="32" t="s">
        <v>35</v>
      </c>
      <c r="E22" s="33">
        <v>2</v>
      </c>
      <c r="F22" s="32" t="s">
        <v>33</v>
      </c>
      <c r="G22" s="34">
        <v>74</v>
      </c>
      <c r="H22" s="32" t="s">
        <v>29</v>
      </c>
      <c r="I22" s="35">
        <f>SUMIFS(ES_1[LENGTH_EX_SU],ES_1[STN],ES_1[[#This Row],[STN]],ES_1[DISCIPLINE_TYPE],"Out-of-School Suspension")+SUMIFS(ES_1[LENGTH_EX_SU],ES_1[STN],ES_1[[#This Row],[STN]],ES_1[DISCIPLINE_TYPE],"Expulsion")</f>
        <v>74</v>
      </c>
      <c r="J22" s="32">
        <f>IF(ES_1[[#This Row],[Count Exp/Sus]]&gt;10,1,0)</f>
        <v>1</v>
      </c>
      <c r="K22" s="32" t="str">
        <f t="shared" ref="K22:K53" si="1">TRIM(IF(J22=1,A22 &amp;"-included",0))</f>
        <v>22908746-included</v>
      </c>
      <c r="L22" s="32" t="str">
        <f>IF(J22=1,IF(COUNTIFS($A$3:A22,A22,J$3:J22,1)=1,A22&amp;"-included",0),0)</f>
        <v>22908746-included</v>
      </c>
      <c r="M22" s="32" cm="1">
        <f t="array" ref="M22">IF(ES_1[[#This Row],[Included Exp/Sus]]=1,IF(SUMPRODUCT((ES_1[STN]=ES_1[[#This Row],[STN]])*(ES_1[Included Exp/Sus]=1)*(ROW(ES_1[STN])&lt;=ROW()))=1,1,0),0)</f>
        <v>1</v>
      </c>
      <c r="N22" s="32" t="str">
        <f>_xlfn.XLOOKUP(ES_1[[#This Row],[STN]],SE_1[STN],SE_1[Ethnicity],"",0)</f>
        <v/>
      </c>
    </row>
    <row r="23" spans="1:14" ht="15.75" customHeight="1">
      <c r="A23" s="32">
        <v>22909528</v>
      </c>
      <c r="B23" s="32">
        <v>9</v>
      </c>
      <c r="C23" s="33">
        <v>1</v>
      </c>
      <c r="D23" s="32" t="s">
        <v>24</v>
      </c>
      <c r="E23" s="33">
        <v>14</v>
      </c>
      <c r="F23" s="32" t="s">
        <v>32</v>
      </c>
      <c r="G23" s="34">
        <v>1</v>
      </c>
      <c r="H23" s="32" t="s">
        <v>26</v>
      </c>
      <c r="I23" s="35">
        <f>SUMIFS(ES_1[LENGTH_EX_SU],ES_1[STN],ES_1[[#This Row],[STN]],ES_1[DISCIPLINE_TYPE],"Out-of-School Suspension")+SUMIFS(ES_1[LENGTH_EX_SU],ES_1[STN],ES_1[[#This Row],[STN]],ES_1[DISCIPLINE_TYPE],"Expulsion")</f>
        <v>0</v>
      </c>
      <c r="J23" s="32">
        <f>IF(ES_1[[#This Row],[Count Exp/Sus]]&gt;10,1,0)</f>
        <v>0</v>
      </c>
      <c r="K23" s="32" t="str">
        <f t="shared" si="1"/>
        <v>0</v>
      </c>
      <c r="L23" s="32">
        <f>IF(J23=1,IF(COUNTIFS($A$3:A23,A23,J$3:J23,1)=1,A23&amp;"-included",0),0)</f>
        <v>0</v>
      </c>
      <c r="M23" s="32" cm="1">
        <f t="array" ref="M23">IF(ES_1[[#This Row],[Included Exp/Sus]]=1,IF(SUMPRODUCT((ES_1[STN]=ES_1[[#This Row],[STN]])*(ES_1[Included Exp/Sus]=1)*(ROW(ES_1[STN])&lt;=ROW()))=1,1,0),0)</f>
        <v>0</v>
      </c>
      <c r="N23" s="32" t="str">
        <f>_xlfn.XLOOKUP(ES_1[[#This Row],[STN]],SE_1[STN],SE_1[Ethnicity],"",0)</f>
        <v>White</v>
      </c>
    </row>
    <row r="24" spans="1:14" ht="14.45">
      <c r="A24" s="32">
        <v>22909529</v>
      </c>
      <c r="B24" s="32">
        <v>10</v>
      </c>
      <c r="C24" s="33">
        <v>2</v>
      </c>
      <c r="D24" s="32" t="s">
        <v>31</v>
      </c>
      <c r="E24" s="33">
        <v>15</v>
      </c>
      <c r="F24" s="32" t="s">
        <v>27</v>
      </c>
      <c r="G24" s="34">
        <v>2</v>
      </c>
      <c r="H24" s="32" t="s">
        <v>29</v>
      </c>
      <c r="I24" s="35">
        <f>SUMIFS(ES_1[LENGTH_EX_SU],ES_1[STN],ES_1[[#This Row],[STN]],ES_1[DISCIPLINE_TYPE],"Out-of-School Suspension")+SUMIFS(ES_1[LENGTH_EX_SU],ES_1[STN],ES_1[[#This Row],[STN]],ES_1[DISCIPLINE_TYPE],"Expulsion")</f>
        <v>2</v>
      </c>
      <c r="J24" s="32">
        <f>IF(ES_1[[#This Row],[Count Exp/Sus]]&gt;10,1,0)</f>
        <v>0</v>
      </c>
      <c r="K24" s="32" t="str">
        <f t="shared" si="1"/>
        <v>0</v>
      </c>
      <c r="L24" s="32">
        <f>IF(J24=1,IF(COUNTIFS($A$3:A24,A24,J$3:J24,1)=1,A24&amp;"-included",0),0)</f>
        <v>0</v>
      </c>
      <c r="M24" s="32" cm="1">
        <f t="array" ref="M24">IF(ES_1[[#This Row],[Included Exp/Sus]]=1,IF(SUMPRODUCT((ES_1[STN]=ES_1[[#This Row],[STN]])*(ES_1[Included Exp/Sus]=1)*(ROW(ES_1[STN])&lt;=ROW()))=1,1,0),0)</f>
        <v>0</v>
      </c>
      <c r="N24" s="32" t="str">
        <f>_xlfn.XLOOKUP(ES_1[[#This Row],[STN]],SE_1[STN],SE_1[Ethnicity],"",0)</f>
        <v/>
      </c>
    </row>
    <row r="25" spans="1:14" ht="14.45">
      <c r="A25" s="32">
        <v>22909541</v>
      </c>
      <c r="B25" s="32">
        <v>9</v>
      </c>
      <c r="C25" s="33">
        <v>2</v>
      </c>
      <c r="D25" s="32" t="s">
        <v>31</v>
      </c>
      <c r="E25" s="33">
        <v>2</v>
      </c>
      <c r="F25" s="32" t="s">
        <v>33</v>
      </c>
      <c r="G25" s="34">
        <v>2</v>
      </c>
      <c r="H25" s="32" t="s">
        <v>26</v>
      </c>
      <c r="I25" s="35">
        <f>SUMIFS(ES_1[LENGTH_EX_SU],ES_1[STN],ES_1[[#This Row],[STN]],ES_1[DISCIPLINE_TYPE],"Out-of-School Suspension")+SUMIFS(ES_1[LENGTH_EX_SU],ES_1[STN],ES_1[[#This Row],[STN]],ES_1[DISCIPLINE_TYPE],"Expulsion")</f>
        <v>2</v>
      </c>
      <c r="J25" s="32">
        <f>IF(ES_1[[#This Row],[Count Exp/Sus]]&gt;10,1,0)</f>
        <v>0</v>
      </c>
      <c r="K25" s="32" t="str">
        <f t="shared" si="1"/>
        <v>0</v>
      </c>
      <c r="L25" s="32">
        <f>IF(J25=1,IF(COUNTIFS($A$3:A25,A25,J$3:J25,1)=1,A25&amp;"-included",0),0)</f>
        <v>0</v>
      </c>
      <c r="M25" s="32" cm="1">
        <f t="array" ref="M25">IF(ES_1[[#This Row],[Included Exp/Sus]]=1,IF(SUMPRODUCT((ES_1[STN]=ES_1[[#This Row],[STN]])*(ES_1[Included Exp/Sus]=1)*(ROW(ES_1[STN])&lt;=ROW()))=1,1,0),0)</f>
        <v>0</v>
      </c>
      <c r="N25" s="32" t="str">
        <f>_xlfn.XLOOKUP(ES_1[[#This Row],[STN]],SE_1[STN],SE_1[Ethnicity],"",0)</f>
        <v>White</v>
      </c>
    </row>
    <row r="26" spans="1:14" ht="14.45">
      <c r="A26" s="32">
        <v>22909544</v>
      </c>
      <c r="B26" s="32">
        <v>9</v>
      </c>
      <c r="C26" s="33">
        <v>1</v>
      </c>
      <c r="D26" s="32" t="s">
        <v>24</v>
      </c>
      <c r="E26" s="33">
        <v>10</v>
      </c>
      <c r="F26" s="32" t="s">
        <v>25</v>
      </c>
      <c r="G26" s="34">
        <v>1</v>
      </c>
      <c r="H26" s="32" t="s">
        <v>26</v>
      </c>
      <c r="I26" s="35">
        <f>SUMIFS(ES_1[LENGTH_EX_SU],ES_1[STN],ES_1[[#This Row],[STN]],ES_1[DISCIPLINE_TYPE],"Out-of-School Suspension")+SUMIFS(ES_1[LENGTH_EX_SU],ES_1[STN],ES_1[[#This Row],[STN]],ES_1[DISCIPLINE_TYPE],"Expulsion")</f>
        <v>0</v>
      </c>
      <c r="J26" s="32">
        <f>IF(ES_1[[#This Row],[Count Exp/Sus]]&gt;10,1,0)</f>
        <v>0</v>
      </c>
      <c r="K26" s="32" t="str">
        <f t="shared" si="1"/>
        <v>0</v>
      </c>
      <c r="L26" s="32">
        <f>IF(J26=1,IF(COUNTIFS($A$3:A26,A26,J$3:J26,1)=1,A26&amp;"-included",0),0)</f>
        <v>0</v>
      </c>
      <c r="M26" s="32" cm="1">
        <f t="array" ref="M26">IF(ES_1[[#This Row],[Included Exp/Sus]]=1,IF(SUMPRODUCT((ES_1[STN]=ES_1[[#This Row],[STN]])*(ES_1[Included Exp/Sus]=1)*(ROW(ES_1[STN])&lt;=ROW()))=1,1,0),0)</f>
        <v>0</v>
      </c>
      <c r="N26" s="32" t="str">
        <f>_xlfn.XLOOKUP(ES_1[[#This Row],[STN]],SE_1[STN],SE_1[Ethnicity],"",0)</f>
        <v>White</v>
      </c>
    </row>
    <row r="27" spans="1:14" ht="14.45">
      <c r="A27" s="32">
        <v>22909568</v>
      </c>
      <c r="B27" s="32">
        <v>9</v>
      </c>
      <c r="C27" s="33">
        <v>2</v>
      </c>
      <c r="D27" s="32" t="s">
        <v>31</v>
      </c>
      <c r="E27" s="33">
        <v>14</v>
      </c>
      <c r="F27" s="32" t="s">
        <v>32</v>
      </c>
      <c r="G27" s="34">
        <v>3</v>
      </c>
      <c r="H27" s="32" t="s">
        <v>29</v>
      </c>
      <c r="I27" s="35">
        <f>SUMIFS(ES_1[LENGTH_EX_SU],ES_1[STN],ES_1[[#This Row],[STN]],ES_1[DISCIPLINE_TYPE],"Out-of-School Suspension")+SUMIFS(ES_1[LENGTH_EX_SU],ES_1[STN],ES_1[[#This Row],[STN]],ES_1[DISCIPLINE_TYPE],"Expulsion")</f>
        <v>3</v>
      </c>
      <c r="J27" s="32">
        <f>IF(ES_1[[#This Row],[Count Exp/Sus]]&gt;10,1,0)</f>
        <v>0</v>
      </c>
      <c r="K27" s="32" t="str">
        <f t="shared" si="1"/>
        <v>0</v>
      </c>
      <c r="L27" s="32">
        <f>IF(J27=1,IF(COUNTIFS($A$3:A27,A27,J$3:J27,1)=1,A27&amp;"-included",0),0)</f>
        <v>0</v>
      </c>
      <c r="M27" s="32" cm="1">
        <f t="array" ref="M27">IF(ES_1[[#This Row],[Included Exp/Sus]]=1,IF(SUMPRODUCT((ES_1[STN]=ES_1[[#This Row],[STN]])*(ES_1[Included Exp/Sus]=1)*(ROW(ES_1[STN])&lt;=ROW()))=1,1,0),0)</f>
        <v>0</v>
      </c>
      <c r="N27" s="32" t="str">
        <f>_xlfn.XLOOKUP(ES_1[[#This Row],[STN]],SE_1[STN],SE_1[Ethnicity],"",0)</f>
        <v/>
      </c>
    </row>
    <row r="28" spans="1:14" ht="14.45">
      <c r="A28" s="32">
        <v>22909568</v>
      </c>
      <c r="B28" s="32">
        <v>9</v>
      </c>
      <c r="C28" s="33">
        <v>1</v>
      </c>
      <c r="D28" s="32" t="s">
        <v>24</v>
      </c>
      <c r="E28" s="33">
        <v>16</v>
      </c>
      <c r="F28" s="32" t="s">
        <v>28</v>
      </c>
      <c r="G28" s="34">
        <v>1</v>
      </c>
      <c r="H28" s="32" t="s">
        <v>29</v>
      </c>
      <c r="I28" s="35">
        <f>SUMIFS(ES_1[LENGTH_EX_SU],ES_1[STN],ES_1[[#This Row],[STN]],ES_1[DISCIPLINE_TYPE],"Out-of-School Suspension")+SUMIFS(ES_1[LENGTH_EX_SU],ES_1[STN],ES_1[[#This Row],[STN]],ES_1[DISCIPLINE_TYPE],"Expulsion")</f>
        <v>3</v>
      </c>
      <c r="J28" s="32">
        <f>IF(ES_1[[#This Row],[Count Exp/Sus]]&gt;10,1,0)</f>
        <v>0</v>
      </c>
      <c r="K28" s="32" t="str">
        <f t="shared" si="1"/>
        <v>0</v>
      </c>
      <c r="L28" s="32">
        <f>IF(J28=1,IF(COUNTIFS($A$3:A28,A28,J$3:J28,1)=1,A28&amp;"-included",0),0)</f>
        <v>0</v>
      </c>
      <c r="M28" s="32" cm="1">
        <f t="array" ref="M28">IF(ES_1[[#This Row],[Included Exp/Sus]]=1,IF(SUMPRODUCT((ES_1[STN]=ES_1[[#This Row],[STN]])*(ES_1[Included Exp/Sus]=1)*(ROW(ES_1[STN])&lt;=ROW()))=1,1,0),0)</f>
        <v>0</v>
      </c>
      <c r="N28" s="32" t="str">
        <f>_xlfn.XLOOKUP(ES_1[[#This Row],[STN]],SE_1[STN],SE_1[Ethnicity],"",0)</f>
        <v/>
      </c>
    </row>
    <row r="29" spans="1:14" ht="14.45">
      <c r="A29" s="32">
        <v>22909568</v>
      </c>
      <c r="B29" s="32">
        <v>9</v>
      </c>
      <c r="C29" s="33">
        <v>1</v>
      </c>
      <c r="D29" s="32" t="s">
        <v>24</v>
      </c>
      <c r="E29" s="33">
        <v>16</v>
      </c>
      <c r="F29" s="32" t="s">
        <v>28</v>
      </c>
      <c r="G29" s="34">
        <v>1</v>
      </c>
      <c r="H29" s="32" t="s">
        <v>29</v>
      </c>
      <c r="I29" s="35">
        <f>SUMIFS(ES_1[LENGTH_EX_SU],ES_1[STN],ES_1[[#This Row],[STN]],ES_1[DISCIPLINE_TYPE],"Out-of-School Suspension")+SUMIFS(ES_1[LENGTH_EX_SU],ES_1[STN],ES_1[[#This Row],[STN]],ES_1[DISCIPLINE_TYPE],"Expulsion")</f>
        <v>3</v>
      </c>
      <c r="J29" s="32">
        <f>IF(ES_1[[#This Row],[Count Exp/Sus]]&gt;10,1,0)</f>
        <v>0</v>
      </c>
      <c r="K29" s="32" t="str">
        <f t="shared" si="1"/>
        <v>0</v>
      </c>
      <c r="L29" s="32">
        <f>IF(J29=1,IF(COUNTIFS($A$3:A29,A29,J$3:J29,1)=1,A29&amp;"-included",0),0)</f>
        <v>0</v>
      </c>
      <c r="M29" s="32" cm="1">
        <f t="array" ref="M29">IF(ES_1[[#This Row],[Included Exp/Sus]]=1,IF(SUMPRODUCT((ES_1[STN]=ES_1[[#This Row],[STN]])*(ES_1[Included Exp/Sus]=1)*(ROW(ES_1[STN])&lt;=ROW()))=1,1,0),0)</f>
        <v>0</v>
      </c>
      <c r="N29" s="32" t="str">
        <f>_xlfn.XLOOKUP(ES_1[[#This Row],[STN]],SE_1[STN],SE_1[Ethnicity],"",0)</f>
        <v/>
      </c>
    </row>
    <row r="30" spans="1:14" ht="14.45">
      <c r="A30" s="32">
        <v>22909622</v>
      </c>
      <c r="B30" s="32">
        <v>10</v>
      </c>
      <c r="C30" s="33">
        <v>1</v>
      </c>
      <c r="D30" s="32" t="s">
        <v>24</v>
      </c>
      <c r="E30" s="33">
        <v>10</v>
      </c>
      <c r="F30" s="32" t="s">
        <v>25</v>
      </c>
      <c r="G30" s="34">
        <v>1</v>
      </c>
      <c r="H30" s="32" t="s">
        <v>26</v>
      </c>
      <c r="I30" s="35">
        <f>SUMIFS(ES_1[LENGTH_EX_SU],ES_1[STN],ES_1[[#This Row],[STN]],ES_1[DISCIPLINE_TYPE],"Out-of-School Suspension")+SUMIFS(ES_1[LENGTH_EX_SU],ES_1[STN],ES_1[[#This Row],[STN]],ES_1[DISCIPLINE_TYPE],"Expulsion")</f>
        <v>0</v>
      </c>
      <c r="J30" s="32">
        <f>IF(ES_1[[#This Row],[Count Exp/Sus]]&gt;10,1,0)</f>
        <v>0</v>
      </c>
      <c r="K30" s="32" t="str">
        <f t="shared" si="1"/>
        <v>0</v>
      </c>
      <c r="L30" s="32">
        <f>IF(J30=1,IF(COUNTIFS($A$3:A30,A30,J$3:J30,1)=1,A30&amp;"-included",0),0)</f>
        <v>0</v>
      </c>
      <c r="M30" s="32" cm="1">
        <f t="array" ref="M30">IF(ES_1[[#This Row],[Included Exp/Sus]]=1,IF(SUMPRODUCT((ES_1[STN]=ES_1[[#This Row],[STN]])*(ES_1[Included Exp/Sus]=1)*(ROW(ES_1[STN])&lt;=ROW()))=1,1,0),0)</f>
        <v>0</v>
      </c>
      <c r="N30" s="32" t="str">
        <f>_xlfn.XLOOKUP(ES_1[[#This Row],[STN]],SE_1[STN],SE_1[Ethnicity],"",0)</f>
        <v>White</v>
      </c>
    </row>
    <row r="31" spans="1:14" ht="14.45">
      <c r="A31" s="32">
        <v>22909622</v>
      </c>
      <c r="B31" s="32">
        <v>10</v>
      </c>
      <c r="C31" s="33">
        <v>1</v>
      </c>
      <c r="D31" s="32" t="s">
        <v>24</v>
      </c>
      <c r="E31" s="33">
        <v>16</v>
      </c>
      <c r="F31" s="32" t="s">
        <v>28</v>
      </c>
      <c r="G31" s="34">
        <v>2</v>
      </c>
      <c r="H31" s="32" t="s">
        <v>26</v>
      </c>
      <c r="I31" s="35">
        <f>SUMIFS(ES_1[LENGTH_EX_SU],ES_1[STN],ES_1[[#This Row],[STN]],ES_1[DISCIPLINE_TYPE],"Out-of-School Suspension")+SUMIFS(ES_1[LENGTH_EX_SU],ES_1[STN],ES_1[[#This Row],[STN]],ES_1[DISCIPLINE_TYPE],"Expulsion")</f>
        <v>0</v>
      </c>
      <c r="J31" s="32">
        <f>IF(ES_1[[#This Row],[Count Exp/Sus]]&gt;10,1,0)</f>
        <v>0</v>
      </c>
      <c r="K31" s="32" t="str">
        <f t="shared" si="1"/>
        <v>0</v>
      </c>
      <c r="L31" s="32">
        <f>IF(J31=1,IF(COUNTIFS($A$3:A31,A31,J$3:J31,1)=1,A31&amp;"-included",0),0)</f>
        <v>0</v>
      </c>
      <c r="M31" s="32" cm="1">
        <f t="array" ref="M31">IF(ES_1[[#This Row],[Included Exp/Sus]]=1,IF(SUMPRODUCT((ES_1[STN]=ES_1[[#This Row],[STN]])*(ES_1[Included Exp/Sus]=1)*(ROW(ES_1[STN])&lt;=ROW()))=1,1,0),0)</f>
        <v>0</v>
      </c>
      <c r="N31" s="32" t="str">
        <f>_xlfn.XLOOKUP(ES_1[[#This Row],[STN]],SE_1[STN],SE_1[Ethnicity],"",0)</f>
        <v>White</v>
      </c>
    </row>
    <row r="32" spans="1:14" ht="14.45">
      <c r="A32" s="32">
        <v>22909622</v>
      </c>
      <c r="B32" s="32">
        <v>10</v>
      </c>
      <c r="C32" s="33">
        <v>1</v>
      </c>
      <c r="D32" s="32" t="s">
        <v>24</v>
      </c>
      <c r="E32" s="33">
        <v>16</v>
      </c>
      <c r="F32" s="32" t="s">
        <v>28</v>
      </c>
      <c r="G32" s="34">
        <v>2</v>
      </c>
      <c r="H32" s="32" t="s">
        <v>26</v>
      </c>
      <c r="I32" s="35">
        <f>SUMIFS(ES_1[LENGTH_EX_SU],ES_1[STN],ES_1[[#This Row],[STN]],ES_1[DISCIPLINE_TYPE],"Out-of-School Suspension")+SUMIFS(ES_1[LENGTH_EX_SU],ES_1[STN],ES_1[[#This Row],[STN]],ES_1[DISCIPLINE_TYPE],"Expulsion")</f>
        <v>0</v>
      </c>
      <c r="J32" s="32">
        <f>IF(ES_1[[#This Row],[Count Exp/Sus]]&gt;10,1,0)</f>
        <v>0</v>
      </c>
      <c r="K32" s="32" t="str">
        <f t="shared" si="1"/>
        <v>0</v>
      </c>
      <c r="L32" s="32">
        <f>IF(J32=1,IF(COUNTIFS($A$3:A32,A32,J$3:J32,1)=1,A32&amp;"-included",0),0)</f>
        <v>0</v>
      </c>
      <c r="M32" s="32" cm="1">
        <f t="array" ref="M32">IF(ES_1[[#This Row],[Included Exp/Sus]]=1,IF(SUMPRODUCT((ES_1[STN]=ES_1[[#This Row],[STN]])*(ES_1[Included Exp/Sus]=1)*(ROW(ES_1[STN])&lt;=ROW()))=1,1,0),0)</f>
        <v>0</v>
      </c>
      <c r="N32" s="32" t="str">
        <f>_xlfn.XLOOKUP(ES_1[[#This Row],[STN]],SE_1[STN],SE_1[Ethnicity],"",0)</f>
        <v>White</v>
      </c>
    </row>
    <row r="33" spans="1:14" ht="14.45">
      <c r="A33" s="32">
        <v>22909628</v>
      </c>
      <c r="B33" s="32">
        <v>9</v>
      </c>
      <c r="C33" s="33">
        <v>2</v>
      </c>
      <c r="D33" s="32" t="s">
        <v>31</v>
      </c>
      <c r="E33" s="33">
        <v>11</v>
      </c>
      <c r="F33" s="32" t="s">
        <v>36</v>
      </c>
      <c r="G33" s="34">
        <v>4</v>
      </c>
      <c r="H33" s="32" t="s">
        <v>26</v>
      </c>
      <c r="I33" s="35">
        <f>SUMIFS(ES_1[LENGTH_EX_SU],ES_1[STN],ES_1[[#This Row],[STN]],ES_1[DISCIPLINE_TYPE],"Out-of-School Suspension")+SUMIFS(ES_1[LENGTH_EX_SU],ES_1[STN],ES_1[[#This Row],[STN]],ES_1[DISCIPLINE_TYPE],"Expulsion")</f>
        <v>4</v>
      </c>
      <c r="J33" s="32">
        <f>IF(ES_1[[#This Row],[Count Exp/Sus]]&gt;10,1,0)</f>
        <v>0</v>
      </c>
      <c r="K33" s="32" t="str">
        <f t="shared" si="1"/>
        <v>0</v>
      </c>
      <c r="L33" s="32">
        <f>IF(J33=1,IF(COUNTIFS($A$3:A33,A33,J$3:J33,1)=1,A33&amp;"-included",0),0)</f>
        <v>0</v>
      </c>
      <c r="M33" s="32" cm="1">
        <f t="array" ref="M33">IF(ES_1[[#This Row],[Included Exp/Sus]]=1,IF(SUMPRODUCT((ES_1[STN]=ES_1[[#This Row],[STN]])*(ES_1[Included Exp/Sus]=1)*(ROW(ES_1[STN])&lt;=ROW()))=1,1,0),0)</f>
        <v>0</v>
      </c>
      <c r="N33" s="32" t="str">
        <f>_xlfn.XLOOKUP(ES_1[[#This Row],[STN]],SE_1[STN],SE_1[Ethnicity],"",0)</f>
        <v>Hispanic Ethnicity and of any race</v>
      </c>
    </row>
    <row r="34" spans="1:14" ht="14.45">
      <c r="A34" s="32">
        <v>22910073</v>
      </c>
      <c r="B34" s="32">
        <v>9</v>
      </c>
      <c r="C34" s="33">
        <v>2</v>
      </c>
      <c r="D34" s="32" t="s">
        <v>31</v>
      </c>
      <c r="E34" s="33">
        <v>11</v>
      </c>
      <c r="F34" s="32" t="s">
        <v>36</v>
      </c>
      <c r="G34" s="34">
        <v>1</v>
      </c>
      <c r="H34" s="32" t="s">
        <v>29</v>
      </c>
      <c r="I34" s="35">
        <f>SUMIFS(ES_1[LENGTH_EX_SU],ES_1[STN],ES_1[[#This Row],[STN]],ES_1[DISCIPLINE_TYPE],"Out-of-School Suspension")+SUMIFS(ES_1[LENGTH_EX_SU],ES_1[STN],ES_1[[#This Row],[STN]],ES_1[DISCIPLINE_TYPE],"Expulsion")</f>
        <v>1</v>
      </c>
      <c r="J34" s="32">
        <f>IF(ES_1[[#This Row],[Count Exp/Sus]]&gt;10,1,0)</f>
        <v>0</v>
      </c>
      <c r="K34" s="32" t="str">
        <f t="shared" si="1"/>
        <v>0</v>
      </c>
      <c r="L34" s="32">
        <f>IF(J34=1,IF(COUNTIFS($A$3:A34,A34,J$3:J34,1)=1,A34&amp;"-included",0),0)</f>
        <v>0</v>
      </c>
      <c r="M34" s="32" cm="1">
        <f t="array" ref="M34">IF(ES_1[[#This Row],[Included Exp/Sus]]=1,IF(SUMPRODUCT((ES_1[STN]=ES_1[[#This Row],[STN]])*(ES_1[Included Exp/Sus]=1)*(ROW(ES_1[STN])&lt;=ROW()))=1,1,0),0)</f>
        <v>0</v>
      </c>
      <c r="N34" s="32" t="str">
        <f>_xlfn.XLOOKUP(ES_1[[#This Row],[STN]],SE_1[STN],SE_1[Ethnicity],"",0)</f>
        <v/>
      </c>
    </row>
    <row r="35" spans="1:14" ht="14.45">
      <c r="A35" s="32">
        <v>22910105</v>
      </c>
      <c r="B35" s="32">
        <v>9</v>
      </c>
      <c r="C35" s="33">
        <v>1</v>
      </c>
      <c r="D35" s="32" t="s">
        <v>24</v>
      </c>
      <c r="E35" s="33">
        <v>19</v>
      </c>
      <c r="F35" s="32" t="s">
        <v>37</v>
      </c>
      <c r="G35" s="34">
        <v>2</v>
      </c>
      <c r="H35" s="32" t="s">
        <v>29</v>
      </c>
      <c r="I35" s="35">
        <f>SUMIFS(ES_1[LENGTH_EX_SU],ES_1[STN],ES_1[[#This Row],[STN]],ES_1[DISCIPLINE_TYPE],"Out-of-School Suspension")+SUMIFS(ES_1[LENGTH_EX_SU],ES_1[STN],ES_1[[#This Row],[STN]],ES_1[DISCIPLINE_TYPE],"Expulsion")</f>
        <v>0</v>
      </c>
      <c r="J35" s="32">
        <f>IF(ES_1[[#This Row],[Count Exp/Sus]]&gt;10,1,0)</f>
        <v>0</v>
      </c>
      <c r="K35" s="32" t="str">
        <f t="shared" si="1"/>
        <v>0</v>
      </c>
      <c r="L35" s="32">
        <f>IF(J35=1,IF(COUNTIFS($A$3:A35,A35,J$3:J35,1)=1,A35&amp;"-included",0),0)</f>
        <v>0</v>
      </c>
      <c r="M35" s="32" cm="1">
        <f t="array" ref="M35">IF(ES_1[[#This Row],[Included Exp/Sus]]=1,IF(SUMPRODUCT((ES_1[STN]=ES_1[[#This Row],[STN]])*(ES_1[Included Exp/Sus]=1)*(ROW(ES_1[STN])&lt;=ROW()))=1,1,0),0)</f>
        <v>0</v>
      </c>
      <c r="N35" s="32" t="str">
        <f>_xlfn.XLOOKUP(ES_1[[#This Row],[STN]],SE_1[STN],SE_1[Ethnicity],"",0)</f>
        <v/>
      </c>
    </row>
    <row r="36" spans="1:14" ht="14.45">
      <c r="A36" s="32">
        <v>22910110</v>
      </c>
      <c r="B36" s="32">
        <v>10</v>
      </c>
      <c r="C36" s="33">
        <v>1</v>
      </c>
      <c r="D36" s="32" t="s">
        <v>24</v>
      </c>
      <c r="E36" s="33">
        <v>15</v>
      </c>
      <c r="F36" s="32" t="s">
        <v>27</v>
      </c>
      <c r="G36" s="34">
        <v>1</v>
      </c>
      <c r="H36" s="32" t="s">
        <v>29</v>
      </c>
      <c r="I36" s="35">
        <f>SUMIFS(ES_1[LENGTH_EX_SU],ES_1[STN],ES_1[[#This Row],[STN]],ES_1[DISCIPLINE_TYPE],"Out-of-School Suspension")+SUMIFS(ES_1[LENGTH_EX_SU],ES_1[STN],ES_1[[#This Row],[STN]],ES_1[DISCIPLINE_TYPE],"Expulsion")</f>
        <v>5</v>
      </c>
      <c r="J36" s="32">
        <f>IF(ES_1[[#This Row],[Count Exp/Sus]]&gt;10,1,0)</f>
        <v>0</v>
      </c>
      <c r="K36" s="32" t="str">
        <f t="shared" si="1"/>
        <v>0</v>
      </c>
      <c r="L36" s="32">
        <f>IF(J36=1,IF(COUNTIFS($A$3:A36,A36,J$3:J36,1)=1,A36&amp;"-included",0),0)</f>
        <v>0</v>
      </c>
      <c r="M36" s="32" cm="1">
        <f t="array" ref="M36">IF(ES_1[[#This Row],[Included Exp/Sus]]=1,IF(SUMPRODUCT((ES_1[STN]=ES_1[[#This Row],[STN]])*(ES_1[Included Exp/Sus]=1)*(ROW(ES_1[STN])&lt;=ROW()))=1,1,0),0)</f>
        <v>0</v>
      </c>
      <c r="N36" s="32" t="str">
        <f>_xlfn.XLOOKUP(ES_1[[#This Row],[STN]],SE_1[STN],SE_1[Ethnicity],"",0)</f>
        <v/>
      </c>
    </row>
    <row r="37" spans="1:14" ht="14.45">
      <c r="A37" s="32">
        <v>22910110</v>
      </c>
      <c r="B37" s="32">
        <v>10</v>
      </c>
      <c r="C37" s="33">
        <v>1</v>
      </c>
      <c r="D37" s="32" t="s">
        <v>24</v>
      </c>
      <c r="E37" s="33">
        <v>15</v>
      </c>
      <c r="F37" s="32" t="s">
        <v>27</v>
      </c>
      <c r="G37" s="34">
        <v>3</v>
      </c>
      <c r="H37" s="32" t="s">
        <v>29</v>
      </c>
      <c r="I37" s="35">
        <f>SUMIFS(ES_1[LENGTH_EX_SU],ES_1[STN],ES_1[[#This Row],[STN]],ES_1[DISCIPLINE_TYPE],"Out-of-School Suspension")+SUMIFS(ES_1[LENGTH_EX_SU],ES_1[STN],ES_1[[#This Row],[STN]],ES_1[DISCIPLINE_TYPE],"Expulsion")</f>
        <v>5</v>
      </c>
      <c r="J37" s="32">
        <f>IF(ES_1[[#This Row],[Count Exp/Sus]]&gt;10,1,0)</f>
        <v>0</v>
      </c>
      <c r="K37" s="32" t="str">
        <f t="shared" si="1"/>
        <v>0</v>
      </c>
      <c r="L37" s="32">
        <f>IF(J37=1,IF(COUNTIFS($A$3:A37,A37,J$3:J37,1)=1,A37&amp;"-included",0),0)</f>
        <v>0</v>
      </c>
      <c r="M37" s="32" cm="1">
        <f t="array" ref="M37">IF(ES_1[[#This Row],[Included Exp/Sus]]=1,IF(SUMPRODUCT((ES_1[STN]=ES_1[[#This Row],[STN]])*(ES_1[Included Exp/Sus]=1)*(ROW(ES_1[STN])&lt;=ROW()))=1,1,0),0)</f>
        <v>0</v>
      </c>
      <c r="N37" s="32" t="str">
        <f>_xlfn.XLOOKUP(ES_1[[#This Row],[STN]],SE_1[STN],SE_1[Ethnicity],"",0)</f>
        <v/>
      </c>
    </row>
    <row r="38" spans="1:14" ht="14.45">
      <c r="A38" s="32">
        <v>22910110</v>
      </c>
      <c r="B38" s="32">
        <v>10</v>
      </c>
      <c r="C38" s="33">
        <v>1</v>
      </c>
      <c r="D38" s="32" t="s">
        <v>24</v>
      </c>
      <c r="E38" s="33">
        <v>15</v>
      </c>
      <c r="F38" s="32" t="s">
        <v>27</v>
      </c>
      <c r="G38" s="34">
        <v>2</v>
      </c>
      <c r="H38" s="32" t="s">
        <v>29</v>
      </c>
      <c r="I38" s="35">
        <f>SUMIFS(ES_1[LENGTH_EX_SU],ES_1[STN],ES_1[[#This Row],[STN]],ES_1[DISCIPLINE_TYPE],"Out-of-School Suspension")+SUMIFS(ES_1[LENGTH_EX_SU],ES_1[STN],ES_1[[#This Row],[STN]],ES_1[DISCIPLINE_TYPE],"Expulsion")</f>
        <v>5</v>
      </c>
      <c r="J38" s="32">
        <f>IF(ES_1[[#This Row],[Count Exp/Sus]]&gt;10,1,0)</f>
        <v>0</v>
      </c>
      <c r="K38" s="32" t="str">
        <f t="shared" si="1"/>
        <v>0</v>
      </c>
      <c r="L38" s="32">
        <f>IF(J38=1,IF(COUNTIFS($A$3:A38,A38,J$3:J38,1)=1,A38&amp;"-included",0),0)</f>
        <v>0</v>
      </c>
      <c r="M38" s="32" cm="1">
        <f t="array" ref="M38">IF(ES_1[[#This Row],[Included Exp/Sus]]=1,IF(SUMPRODUCT((ES_1[STN]=ES_1[[#This Row],[STN]])*(ES_1[Included Exp/Sus]=1)*(ROW(ES_1[STN])&lt;=ROW()))=1,1,0),0)</f>
        <v>0</v>
      </c>
      <c r="N38" s="32" t="str">
        <f>_xlfn.XLOOKUP(ES_1[[#This Row],[STN]],SE_1[STN],SE_1[Ethnicity],"",0)</f>
        <v/>
      </c>
    </row>
    <row r="39" spans="1:14" ht="14.45">
      <c r="A39" s="32">
        <v>22910110</v>
      </c>
      <c r="B39" s="32">
        <v>10</v>
      </c>
      <c r="C39" s="33">
        <v>2</v>
      </c>
      <c r="D39" s="32" t="s">
        <v>31</v>
      </c>
      <c r="E39" s="33">
        <v>11</v>
      </c>
      <c r="F39" s="32" t="s">
        <v>36</v>
      </c>
      <c r="G39" s="34">
        <v>5</v>
      </c>
      <c r="H39" s="32" t="s">
        <v>29</v>
      </c>
      <c r="I39" s="35">
        <f>SUMIFS(ES_1[LENGTH_EX_SU],ES_1[STN],ES_1[[#This Row],[STN]],ES_1[DISCIPLINE_TYPE],"Out-of-School Suspension")+SUMIFS(ES_1[LENGTH_EX_SU],ES_1[STN],ES_1[[#This Row],[STN]],ES_1[DISCIPLINE_TYPE],"Expulsion")</f>
        <v>5</v>
      </c>
      <c r="J39" s="32">
        <f>IF(ES_1[[#This Row],[Count Exp/Sus]]&gt;10,1,0)</f>
        <v>0</v>
      </c>
      <c r="K39" s="32" t="str">
        <f t="shared" si="1"/>
        <v>0</v>
      </c>
      <c r="L39" s="32">
        <f>IF(J39=1,IF(COUNTIFS($A$3:A39,A39,J$3:J39,1)=1,A39&amp;"-included",0),0)</f>
        <v>0</v>
      </c>
      <c r="M39" s="32" cm="1">
        <f t="array" ref="M39">IF(ES_1[[#This Row],[Included Exp/Sus]]=1,IF(SUMPRODUCT((ES_1[STN]=ES_1[[#This Row],[STN]])*(ES_1[Included Exp/Sus]=1)*(ROW(ES_1[STN])&lt;=ROW()))=1,1,0),0)</f>
        <v>0</v>
      </c>
      <c r="N39" s="32" t="str">
        <f>_xlfn.XLOOKUP(ES_1[[#This Row],[STN]],SE_1[STN],SE_1[Ethnicity],"",0)</f>
        <v/>
      </c>
    </row>
    <row r="40" spans="1:14" ht="14.45">
      <c r="A40" s="32">
        <v>22910110</v>
      </c>
      <c r="B40" s="32">
        <v>10</v>
      </c>
      <c r="C40" s="33">
        <v>1</v>
      </c>
      <c r="D40" s="32" t="s">
        <v>24</v>
      </c>
      <c r="E40" s="33">
        <v>15</v>
      </c>
      <c r="F40" s="32" t="s">
        <v>27</v>
      </c>
      <c r="G40" s="34">
        <v>2</v>
      </c>
      <c r="H40" s="32" t="s">
        <v>29</v>
      </c>
      <c r="I40" s="35">
        <f>SUMIFS(ES_1[LENGTH_EX_SU],ES_1[STN],ES_1[[#This Row],[STN]],ES_1[DISCIPLINE_TYPE],"Out-of-School Suspension")+SUMIFS(ES_1[LENGTH_EX_SU],ES_1[STN],ES_1[[#This Row],[STN]],ES_1[DISCIPLINE_TYPE],"Expulsion")</f>
        <v>5</v>
      </c>
      <c r="J40" s="32">
        <f>IF(ES_1[[#This Row],[Count Exp/Sus]]&gt;10,1,0)</f>
        <v>0</v>
      </c>
      <c r="K40" s="32" t="str">
        <f t="shared" si="1"/>
        <v>0</v>
      </c>
      <c r="L40" s="32">
        <f>IF(J40=1,IF(COUNTIFS($A$3:A40,A40,J$3:J40,1)=1,A40&amp;"-included",0),0)</f>
        <v>0</v>
      </c>
      <c r="M40" s="32" cm="1">
        <f t="array" ref="M40">IF(ES_1[[#This Row],[Included Exp/Sus]]=1,IF(SUMPRODUCT((ES_1[STN]=ES_1[[#This Row],[STN]])*(ES_1[Included Exp/Sus]=1)*(ROW(ES_1[STN])&lt;=ROW()))=1,1,0),0)</f>
        <v>0</v>
      </c>
      <c r="N40" s="32" t="str">
        <f>_xlfn.XLOOKUP(ES_1[[#This Row],[STN]],SE_1[STN],SE_1[Ethnicity],"",0)</f>
        <v/>
      </c>
    </row>
    <row r="41" spans="1:14" ht="14.45">
      <c r="A41" s="32">
        <v>22910117</v>
      </c>
      <c r="B41" s="32">
        <v>7</v>
      </c>
      <c r="C41" s="33">
        <v>2</v>
      </c>
      <c r="D41" s="32" t="s">
        <v>31</v>
      </c>
      <c r="E41" s="33">
        <v>11</v>
      </c>
      <c r="F41" s="32" t="s">
        <v>36</v>
      </c>
      <c r="G41" s="34">
        <v>1</v>
      </c>
      <c r="H41" s="32" t="s">
        <v>26</v>
      </c>
      <c r="I41" s="35">
        <f>SUMIFS(ES_1[LENGTH_EX_SU],ES_1[STN],ES_1[[#This Row],[STN]],ES_1[DISCIPLINE_TYPE],"Out-of-School Suspension")+SUMIFS(ES_1[LENGTH_EX_SU],ES_1[STN],ES_1[[#This Row],[STN]],ES_1[DISCIPLINE_TYPE],"Expulsion")</f>
        <v>1</v>
      </c>
      <c r="J41" s="32">
        <f>IF(ES_1[[#This Row],[Count Exp/Sus]]&gt;10,1,0)</f>
        <v>0</v>
      </c>
      <c r="K41" s="32" t="str">
        <f t="shared" si="1"/>
        <v>0</v>
      </c>
      <c r="L41" s="32">
        <f>IF(J41=1,IF(COUNTIFS($A$3:A41,A41,J$3:J41,1)=1,A41&amp;"-included",0),0)</f>
        <v>0</v>
      </c>
      <c r="M41" s="32" cm="1">
        <f t="array" ref="M41">IF(ES_1[[#This Row],[Included Exp/Sus]]=1,IF(SUMPRODUCT((ES_1[STN]=ES_1[[#This Row],[STN]])*(ES_1[Included Exp/Sus]=1)*(ROW(ES_1[STN])&lt;=ROW()))=1,1,0),0)</f>
        <v>0</v>
      </c>
      <c r="N41" s="32" t="str">
        <f>_xlfn.XLOOKUP(ES_1[[#This Row],[STN]],SE_1[STN],SE_1[Ethnicity],"",0)</f>
        <v>Hispanic Ethnicity and of any race</v>
      </c>
    </row>
    <row r="42" spans="1:14" ht="14.45">
      <c r="A42" s="32">
        <v>22910125</v>
      </c>
      <c r="B42" s="32">
        <v>9</v>
      </c>
      <c r="C42" s="33">
        <v>1</v>
      </c>
      <c r="D42" s="32" t="s">
        <v>24</v>
      </c>
      <c r="E42" s="33">
        <v>16</v>
      </c>
      <c r="F42" s="32" t="s">
        <v>28</v>
      </c>
      <c r="G42" s="34">
        <v>1</v>
      </c>
      <c r="H42" s="32" t="s">
        <v>26</v>
      </c>
      <c r="I42" s="35">
        <f>SUMIFS(ES_1[LENGTH_EX_SU],ES_1[STN],ES_1[[#This Row],[STN]],ES_1[DISCIPLINE_TYPE],"Out-of-School Suspension")+SUMIFS(ES_1[LENGTH_EX_SU],ES_1[STN],ES_1[[#This Row],[STN]],ES_1[DISCIPLINE_TYPE],"Expulsion")</f>
        <v>0</v>
      </c>
      <c r="J42" s="32">
        <f>IF(ES_1[[#This Row],[Count Exp/Sus]]&gt;10,1,0)</f>
        <v>0</v>
      </c>
      <c r="K42" s="32" t="str">
        <f t="shared" si="1"/>
        <v>0</v>
      </c>
      <c r="L42" s="32">
        <f>IF(J42=1,IF(COUNTIFS($A$3:A42,A42,J$3:J42,1)=1,A42&amp;"-included",0),0)</f>
        <v>0</v>
      </c>
      <c r="M42" s="32" cm="1">
        <f t="array" ref="M42">IF(ES_1[[#This Row],[Included Exp/Sus]]=1,IF(SUMPRODUCT((ES_1[STN]=ES_1[[#This Row],[STN]])*(ES_1[Included Exp/Sus]=1)*(ROW(ES_1[STN])&lt;=ROW()))=1,1,0),0)</f>
        <v>0</v>
      </c>
      <c r="N42" s="32" t="str">
        <f>_xlfn.XLOOKUP(ES_1[[#This Row],[STN]],SE_1[STN],SE_1[Ethnicity],"",0)</f>
        <v>Hispanic Ethnicity and of any race</v>
      </c>
    </row>
    <row r="43" spans="1:14" ht="14.45">
      <c r="A43" s="32">
        <v>22910135</v>
      </c>
      <c r="B43" s="32">
        <v>10</v>
      </c>
      <c r="C43" s="33">
        <v>1</v>
      </c>
      <c r="D43" s="32" t="s">
        <v>24</v>
      </c>
      <c r="E43" s="33">
        <v>15</v>
      </c>
      <c r="F43" s="32" t="s">
        <v>27</v>
      </c>
      <c r="G43" s="34">
        <v>2</v>
      </c>
      <c r="H43" s="32" t="s">
        <v>29</v>
      </c>
      <c r="I43" s="35">
        <f>SUMIFS(ES_1[LENGTH_EX_SU],ES_1[STN],ES_1[[#This Row],[STN]],ES_1[DISCIPLINE_TYPE],"Out-of-School Suspension")+SUMIFS(ES_1[LENGTH_EX_SU],ES_1[STN],ES_1[[#This Row],[STN]],ES_1[DISCIPLINE_TYPE],"Expulsion")</f>
        <v>0</v>
      </c>
      <c r="J43" s="32">
        <f>IF(ES_1[[#This Row],[Count Exp/Sus]]&gt;10,1,0)</f>
        <v>0</v>
      </c>
      <c r="K43" s="32" t="str">
        <f t="shared" si="1"/>
        <v>0</v>
      </c>
      <c r="L43" s="32">
        <f>IF(J43=1,IF(COUNTIFS($A$3:A43,A43,J$3:J43,1)=1,A43&amp;"-included",0),0)</f>
        <v>0</v>
      </c>
      <c r="M43" s="32" cm="1">
        <f t="array" ref="M43">IF(ES_1[[#This Row],[Included Exp/Sus]]=1,IF(SUMPRODUCT((ES_1[STN]=ES_1[[#This Row],[STN]])*(ES_1[Included Exp/Sus]=1)*(ROW(ES_1[STN])&lt;=ROW()))=1,1,0),0)</f>
        <v>0</v>
      </c>
      <c r="N43" s="32" t="str">
        <f>_xlfn.XLOOKUP(ES_1[[#This Row],[STN]],SE_1[STN],SE_1[Ethnicity],"",0)</f>
        <v/>
      </c>
    </row>
    <row r="44" spans="1:14" ht="14.45">
      <c r="A44" s="32">
        <v>22910192</v>
      </c>
      <c r="B44" s="32">
        <v>9</v>
      </c>
      <c r="C44" s="33">
        <v>2</v>
      </c>
      <c r="D44" s="32" t="s">
        <v>31</v>
      </c>
      <c r="E44" s="33">
        <v>7</v>
      </c>
      <c r="F44" s="32" t="s">
        <v>30</v>
      </c>
      <c r="G44" s="34">
        <v>2</v>
      </c>
      <c r="H44" s="32" t="s">
        <v>29</v>
      </c>
      <c r="I44" s="35">
        <f>SUMIFS(ES_1[LENGTH_EX_SU],ES_1[STN],ES_1[[#This Row],[STN]],ES_1[DISCIPLINE_TYPE],"Out-of-School Suspension")+SUMIFS(ES_1[LENGTH_EX_SU],ES_1[STN],ES_1[[#This Row],[STN]],ES_1[DISCIPLINE_TYPE],"Expulsion")</f>
        <v>2</v>
      </c>
      <c r="J44" s="32">
        <f>IF(ES_1[[#This Row],[Count Exp/Sus]]&gt;10,1,0)</f>
        <v>0</v>
      </c>
      <c r="K44" s="32" t="str">
        <f t="shared" si="1"/>
        <v>0</v>
      </c>
      <c r="L44" s="32">
        <f>IF(J44=1,IF(COUNTIFS($A$3:A44,A44,J$3:J44,1)=1,A44&amp;"-included",0),0)</f>
        <v>0</v>
      </c>
      <c r="M44" s="32" cm="1">
        <f t="array" ref="M44">IF(ES_1[[#This Row],[Included Exp/Sus]]=1,IF(SUMPRODUCT((ES_1[STN]=ES_1[[#This Row],[STN]])*(ES_1[Included Exp/Sus]=1)*(ROW(ES_1[STN])&lt;=ROW()))=1,1,0),0)</f>
        <v>0</v>
      </c>
      <c r="N44" s="32" t="str">
        <f>_xlfn.XLOOKUP(ES_1[[#This Row],[STN]],SE_1[STN],SE_1[Ethnicity],"",0)</f>
        <v/>
      </c>
    </row>
    <row r="45" spans="1:14" ht="14.45">
      <c r="A45" s="32">
        <v>22910212</v>
      </c>
      <c r="B45" s="32">
        <v>10</v>
      </c>
      <c r="C45" s="33">
        <v>1</v>
      </c>
      <c r="D45" s="32" t="s">
        <v>24</v>
      </c>
      <c r="E45" s="33">
        <v>10</v>
      </c>
      <c r="F45" s="32" t="s">
        <v>25</v>
      </c>
      <c r="G45" s="34">
        <v>2</v>
      </c>
      <c r="H45" s="32" t="s">
        <v>29</v>
      </c>
      <c r="I45" s="35">
        <f>SUMIFS(ES_1[LENGTH_EX_SU],ES_1[STN],ES_1[[#This Row],[STN]],ES_1[DISCIPLINE_TYPE],"Out-of-School Suspension")+SUMIFS(ES_1[LENGTH_EX_SU],ES_1[STN],ES_1[[#This Row],[STN]],ES_1[DISCIPLINE_TYPE],"Expulsion")</f>
        <v>1</v>
      </c>
      <c r="J45" s="32">
        <f>IF(ES_1[[#This Row],[Count Exp/Sus]]&gt;10,1,0)</f>
        <v>0</v>
      </c>
      <c r="K45" s="32" t="str">
        <f t="shared" si="1"/>
        <v>0</v>
      </c>
      <c r="L45" s="32">
        <f>IF(J45=1,IF(COUNTIFS($A$3:A45,A45,J$3:J45,1)=1,A45&amp;"-included",0),0)</f>
        <v>0</v>
      </c>
      <c r="M45" s="32" cm="1">
        <f t="array" ref="M45">IF(ES_1[[#This Row],[Included Exp/Sus]]=1,IF(SUMPRODUCT((ES_1[STN]=ES_1[[#This Row],[STN]])*(ES_1[Included Exp/Sus]=1)*(ROW(ES_1[STN])&lt;=ROW()))=1,1,0),0)</f>
        <v>0</v>
      </c>
      <c r="N45" s="32" t="str">
        <f>_xlfn.XLOOKUP(ES_1[[#This Row],[STN]],SE_1[STN],SE_1[Ethnicity],"",0)</f>
        <v/>
      </c>
    </row>
    <row r="46" spans="1:14" ht="14.45">
      <c r="A46" s="32">
        <v>22910212</v>
      </c>
      <c r="B46" s="32">
        <v>10</v>
      </c>
      <c r="C46" s="33">
        <v>2</v>
      </c>
      <c r="D46" s="32" t="s">
        <v>31</v>
      </c>
      <c r="E46" s="33">
        <v>7</v>
      </c>
      <c r="F46" s="32" t="s">
        <v>30</v>
      </c>
      <c r="G46" s="34">
        <v>1</v>
      </c>
      <c r="H46" s="32" t="s">
        <v>29</v>
      </c>
      <c r="I46" s="35">
        <f>SUMIFS(ES_1[LENGTH_EX_SU],ES_1[STN],ES_1[[#This Row],[STN]],ES_1[DISCIPLINE_TYPE],"Out-of-School Suspension")+SUMIFS(ES_1[LENGTH_EX_SU],ES_1[STN],ES_1[[#This Row],[STN]],ES_1[DISCIPLINE_TYPE],"Expulsion")</f>
        <v>1</v>
      </c>
      <c r="J46" s="32">
        <f>IF(ES_1[[#This Row],[Count Exp/Sus]]&gt;10,1,0)</f>
        <v>0</v>
      </c>
      <c r="K46" s="32" t="str">
        <f t="shared" si="1"/>
        <v>0</v>
      </c>
      <c r="L46" s="32">
        <f>IF(J46=1,IF(COUNTIFS($A$3:A46,A46,J$3:J46,1)=1,A46&amp;"-included",0),0)</f>
        <v>0</v>
      </c>
      <c r="M46" s="32" cm="1">
        <f t="array" ref="M46">IF(ES_1[[#This Row],[Included Exp/Sus]]=1,IF(SUMPRODUCT((ES_1[STN]=ES_1[[#This Row],[STN]])*(ES_1[Included Exp/Sus]=1)*(ROW(ES_1[STN])&lt;=ROW()))=1,1,0),0)</f>
        <v>0</v>
      </c>
      <c r="N46" s="32" t="str">
        <f>_xlfn.XLOOKUP(ES_1[[#This Row],[STN]],SE_1[STN],SE_1[Ethnicity],"",0)</f>
        <v/>
      </c>
    </row>
    <row r="47" spans="1:14" ht="14.45">
      <c r="A47" s="32">
        <v>22910242</v>
      </c>
      <c r="B47" s="32">
        <v>8</v>
      </c>
      <c r="C47" s="33">
        <v>1</v>
      </c>
      <c r="D47" s="32" t="s">
        <v>24</v>
      </c>
      <c r="E47" s="33">
        <v>10</v>
      </c>
      <c r="F47" s="32" t="s">
        <v>25</v>
      </c>
      <c r="G47" s="34">
        <v>2</v>
      </c>
      <c r="H47" s="32" t="s">
        <v>26</v>
      </c>
      <c r="I47" s="35">
        <f>SUMIFS(ES_1[LENGTH_EX_SU],ES_1[STN],ES_1[[#This Row],[STN]],ES_1[DISCIPLINE_TYPE],"Out-of-School Suspension")+SUMIFS(ES_1[LENGTH_EX_SU],ES_1[STN],ES_1[[#This Row],[STN]],ES_1[DISCIPLINE_TYPE],"Expulsion")</f>
        <v>0</v>
      </c>
      <c r="J47" s="32">
        <f>IF(ES_1[[#This Row],[Count Exp/Sus]]&gt;10,1,0)</f>
        <v>0</v>
      </c>
      <c r="K47" s="32" t="str">
        <f t="shared" si="1"/>
        <v>0</v>
      </c>
      <c r="L47" s="32">
        <f>IF(J47=1,IF(COUNTIFS($A$3:A47,A47,J$3:J47,1)=1,A47&amp;"-included",0),0)</f>
        <v>0</v>
      </c>
      <c r="M47" s="32" cm="1">
        <f t="array" ref="M47">IF(ES_1[[#This Row],[Included Exp/Sus]]=1,IF(SUMPRODUCT((ES_1[STN]=ES_1[[#This Row],[STN]])*(ES_1[Included Exp/Sus]=1)*(ROW(ES_1[STN])&lt;=ROW()))=1,1,0),0)</f>
        <v>0</v>
      </c>
      <c r="N47" s="32" t="str">
        <f>_xlfn.XLOOKUP(ES_1[[#This Row],[STN]],SE_1[STN],SE_1[Ethnicity],"",0)</f>
        <v>White</v>
      </c>
    </row>
    <row r="48" spans="1:14" ht="14.45">
      <c r="A48" s="32">
        <v>22910242</v>
      </c>
      <c r="B48" s="32">
        <v>8</v>
      </c>
      <c r="C48" s="33">
        <v>1</v>
      </c>
      <c r="D48" s="32" t="s">
        <v>24</v>
      </c>
      <c r="E48" s="33">
        <v>18</v>
      </c>
      <c r="F48" s="32" t="s">
        <v>38</v>
      </c>
      <c r="G48" s="34">
        <v>1</v>
      </c>
      <c r="H48" s="32" t="s">
        <v>26</v>
      </c>
      <c r="I48" s="35">
        <f>SUMIFS(ES_1[LENGTH_EX_SU],ES_1[STN],ES_1[[#This Row],[STN]],ES_1[DISCIPLINE_TYPE],"Out-of-School Suspension")+SUMIFS(ES_1[LENGTH_EX_SU],ES_1[STN],ES_1[[#This Row],[STN]],ES_1[DISCIPLINE_TYPE],"Expulsion")</f>
        <v>0</v>
      </c>
      <c r="J48" s="32">
        <f>IF(ES_1[[#This Row],[Count Exp/Sus]]&gt;10,1,0)</f>
        <v>0</v>
      </c>
      <c r="K48" s="32" t="str">
        <f t="shared" si="1"/>
        <v>0</v>
      </c>
      <c r="L48" s="32">
        <f>IF(J48=1,IF(COUNTIFS($A$3:A48,A48,J$3:J48,1)=1,A48&amp;"-included",0),0)</f>
        <v>0</v>
      </c>
      <c r="M48" s="32" cm="1">
        <f t="array" ref="M48">IF(ES_1[[#This Row],[Included Exp/Sus]]=1,IF(SUMPRODUCT((ES_1[STN]=ES_1[[#This Row],[STN]])*(ES_1[Included Exp/Sus]=1)*(ROW(ES_1[STN])&lt;=ROW()))=1,1,0),0)</f>
        <v>0</v>
      </c>
      <c r="N48" s="32" t="str">
        <f>_xlfn.XLOOKUP(ES_1[[#This Row],[STN]],SE_1[STN],SE_1[Ethnicity],"",0)</f>
        <v>White</v>
      </c>
    </row>
    <row r="49" spans="1:14" ht="14.45">
      <c r="A49" s="32">
        <v>22910249</v>
      </c>
      <c r="B49" s="32">
        <v>9</v>
      </c>
      <c r="C49" s="33">
        <v>2</v>
      </c>
      <c r="D49" s="32" t="s">
        <v>31</v>
      </c>
      <c r="E49" s="33">
        <v>7</v>
      </c>
      <c r="F49" s="32" t="s">
        <v>30</v>
      </c>
      <c r="G49" s="34">
        <v>1</v>
      </c>
      <c r="H49" s="32" t="s">
        <v>26</v>
      </c>
      <c r="I49" s="35">
        <f>SUMIFS(ES_1[LENGTH_EX_SU],ES_1[STN],ES_1[[#This Row],[STN]],ES_1[DISCIPLINE_TYPE],"Out-of-School Suspension")+SUMIFS(ES_1[LENGTH_EX_SU],ES_1[STN],ES_1[[#This Row],[STN]],ES_1[DISCIPLINE_TYPE],"Expulsion")</f>
        <v>1</v>
      </c>
      <c r="J49" s="32">
        <f>IF(ES_1[[#This Row],[Count Exp/Sus]]&gt;10,1,0)</f>
        <v>0</v>
      </c>
      <c r="K49" s="32" t="str">
        <f t="shared" si="1"/>
        <v>0</v>
      </c>
      <c r="L49" s="32">
        <f>IF(J49=1,IF(COUNTIFS($A$3:A49,A49,J$3:J49,1)=1,A49&amp;"-included",0),0)</f>
        <v>0</v>
      </c>
      <c r="M49" s="32" cm="1">
        <f t="array" ref="M49">IF(ES_1[[#This Row],[Included Exp/Sus]]=1,IF(SUMPRODUCT((ES_1[STN]=ES_1[[#This Row],[STN]])*(ES_1[Included Exp/Sus]=1)*(ROW(ES_1[STN])&lt;=ROW()))=1,1,0),0)</f>
        <v>0</v>
      </c>
      <c r="N49" s="32" t="str">
        <f>_xlfn.XLOOKUP(ES_1[[#This Row],[STN]],SE_1[STN],SE_1[Ethnicity],"",0)</f>
        <v>Black - African American</v>
      </c>
    </row>
    <row r="50" spans="1:14" ht="14.45">
      <c r="A50" s="32">
        <v>22910249</v>
      </c>
      <c r="B50" s="32">
        <v>9</v>
      </c>
      <c r="C50" s="33">
        <v>1</v>
      </c>
      <c r="D50" s="32" t="s">
        <v>24</v>
      </c>
      <c r="E50" s="33">
        <v>10</v>
      </c>
      <c r="F50" s="32" t="s">
        <v>25</v>
      </c>
      <c r="G50" s="34">
        <v>1</v>
      </c>
      <c r="H50" s="32" t="s">
        <v>26</v>
      </c>
      <c r="I50" s="35">
        <f>SUMIFS(ES_1[LENGTH_EX_SU],ES_1[STN],ES_1[[#This Row],[STN]],ES_1[DISCIPLINE_TYPE],"Out-of-School Suspension")+SUMIFS(ES_1[LENGTH_EX_SU],ES_1[STN],ES_1[[#This Row],[STN]],ES_1[DISCIPLINE_TYPE],"Expulsion")</f>
        <v>1</v>
      </c>
      <c r="J50" s="32">
        <f>IF(ES_1[[#This Row],[Count Exp/Sus]]&gt;10,1,0)</f>
        <v>0</v>
      </c>
      <c r="K50" s="32" t="str">
        <f t="shared" si="1"/>
        <v>0</v>
      </c>
      <c r="L50" s="32">
        <f>IF(J50=1,IF(COUNTIFS($A$3:A50,A50,J$3:J50,1)=1,A50&amp;"-included",0),0)</f>
        <v>0</v>
      </c>
      <c r="M50" s="32" cm="1">
        <f t="array" ref="M50">IF(ES_1[[#This Row],[Included Exp/Sus]]=1,IF(SUMPRODUCT((ES_1[STN]=ES_1[[#This Row],[STN]])*(ES_1[Included Exp/Sus]=1)*(ROW(ES_1[STN])&lt;=ROW()))=1,1,0),0)</f>
        <v>0</v>
      </c>
      <c r="N50" s="32" t="str">
        <f>_xlfn.XLOOKUP(ES_1[[#This Row],[STN]],SE_1[STN],SE_1[Ethnicity],"",0)</f>
        <v>Black - African American</v>
      </c>
    </row>
    <row r="51" spans="1:14" ht="14.45">
      <c r="A51" s="32">
        <v>22910249</v>
      </c>
      <c r="B51" s="32">
        <v>9</v>
      </c>
      <c r="C51" s="33">
        <v>1</v>
      </c>
      <c r="D51" s="32" t="s">
        <v>24</v>
      </c>
      <c r="E51" s="33">
        <v>10</v>
      </c>
      <c r="F51" s="32" t="s">
        <v>25</v>
      </c>
      <c r="G51" s="34">
        <v>1</v>
      </c>
      <c r="H51" s="32" t="s">
        <v>26</v>
      </c>
      <c r="I51" s="35">
        <f>SUMIFS(ES_1[LENGTH_EX_SU],ES_1[STN],ES_1[[#This Row],[STN]],ES_1[DISCIPLINE_TYPE],"Out-of-School Suspension")+SUMIFS(ES_1[LENGTH_EX_SU],ES_1[STN],ES_1[[#This Row],[STN]],ES_1[DISCIPLINE_TYPE],"Expulsion")</f>
        <v>1</v>
      </c>
      <c r="J51" s="32">
        <f>IF(ES_1[[#This Row],[Count Exp/Sus]]&gt;10,1,0)</f>
        <v>0</v>
      </c>
      <c r="K51" s="32" t="str">
        <f t="shared" si="1"/>
        <v>0</v>
      </c>
      <c r="L51" s="32">
        <f>IF(J51=1,IF(COUNTIFS($A$3:A51,A51,J$3:J51,1)=1,A51&amp;"-included",0),0)</f>
        <v>0</v>
      </c>
      <c r="M51" s="32" cm="1">
        <f t="array" ref="M51">IF(ES_1[[#This Row],[Included Exp/Sus]]=1,IF(SUMPRODUCT((ES_1[STN]=ES_1[[#This Row],[STN]])*(ES_1[Included Exp/Sus]=1)*(ROW(ES_1[STN])&lt;=ROW()))=1,1,0),0)</f>
        <v>0</v>
      </c>
      <c r="N51" s="32" t="str">
        <f>_xlfn.XLOOKUP(ES_1[[#This Row],[STN]],SE_1[STN],SE_1[Ethnicity],"",0)</f>
        <v>Black - African American</v>
      </c>
    </row>
    <row r="52" spans="1:14" ht="14.45">
      <c r="A52" s="32">
        <v>22910276</v>
      </c>
      <c r="B52" s="32">
        <v>7</v>
      </c>
      <c r="C52" s="33">
        <v>2</v>
      </c>
      <c r="D52" s="32" t="s">
        <v>31</v>
      </c>
      <c r="E52" s="33">
        <v>15</v>
      </c>
      <c r="F52" s="32" t="s">
        <v>27</v>
      </c>
      <c r="G52" s="34">
        <v>1</v>
      </c>
      <c r="H52" s="32" t="s">
        <v>26</v>
      </c>
      <c r="I52" s="35">
        <f>SUMIFS(ES_1[LENGTH_EX_SU],ES_1[STN],ES_1[[#This Row],[STN]],ES_1[DISCIPLINE_TYPE],"Out-of-School Suspension")+SUMIFS(ES_1[LENGTH_EX_SU],ES_1[STN],ES_1[[#This Row],[STN]],ES_1[DISCIPLINE_TYPE],"Expulsion")</f>
        <v>1</v>
      </c>
      <c r="J52" s="32">
        <f>IF(ES_1[[#This Row],[Count Exp/Sus]]&gt;10,1,0)</f>
        <v>0</v>
      </c>
      <c r="K52" s="32" t="str">
        <f t="shared" si="1"/>
        <v>0</v>
      </c>
      <c r="L52" s="32">
        <f>IF(J52=1,IF(COUNTIFS($A$3:A52,A52,J$3:J52,1)=1,A52&amp;"-included",0),0)</f>
        <v>0</v>
      </c>
      <c r="M52" s="32" cm="1">
        <f t="array" ref="M52">IF(ES_1[[#This Row],[Included Exp/Sus]]=1,IF(SUMPRODUCT((ES_1[STN]=ES_1[[#This Row],[STN]])*(ES_1[Included Exp/Sus]=1)*(ROW(ES_1[STN])&lt;=ROW()))=1,1,0),0)</f>
        <v>0</v>
      </c>
      <c r="N52" s="32" t="str">
        <f>_xlfn.XLOOKUP(ES_1[[#This Row],[STN]],SE_1[STN],SE_1[Ethnicity],"",0)</f>
        <v>White</v>
      </c>
    </row>
    <row r="53" spans="1:14" ht="14.45">
      <c r="A53" s="32">
        <v>22910281</v>
      </c>
      <c r="B53" s="32">
        <v>8</v>
      </c>
      <c r="C53" s="33">
        <v>2</v>
      </c>
      <c r="D53" s="32" t="s">
        <v>31</v>
      </c>
      <c r="E53" s="33">
        <v>7</v>
      </c>
      <c r="F53" s="32" t="s">
        <v>30</v>
      </c>
      <c r="G53" s="34">
        <v>3</v>
      </c>
      <c r="H53" s="32" t="s">
        <v>29</v>
      </c>
      <c r="I53" s="35">
        <f>SUMIFS(ES_1[LENGTH_EX_SU],ES_1[STN],ES_1[[#This Row],[STN]],ES_1[DISCIPLINE_TYPE],"Out-of-School Suspension")+SUMIFS(ES_1[LENGTH_EX_SU],ES_1[STN],ES_1[[#This Row],[STN]],ES_1[DISCIPLINE_TYPE],"Expulsion")</f>
        <v>3</v>
      </c>
      <c r="J53" s="32">
        <f>IF(ES_1[[#This Row],[Count Exp/Sus]]&gt;10,1,0)</f>
        <v>0</v>
      </c>
      <c r="K53" s="32" t="str">
        <f t="shared" si="1"/>
        <v>0</v>
      </c>
      <c r="L53" s="32">
        <f>IF(J53=1,IF(COUNTIFS($A$3:A53,A53,J$3:J53,1)=1,A53&amp;"-included",0),0)</f>
        <v>0</v>
      </c>
      <c r="M53" s="32" cm="1">
        <f t="array" ref="M53">IF(ES_1[[#This Row],[Included Exp/Sus]]=1,IF(SUMPRODUCT((ES_1[STN]=ES_1[[#This Row],[STN]])*(ES_1[Included Exp/Sus]=1)*(ROW(ES_1[STN])&lt;=ROW()))=1,1,0),0)</f>
        <v>0</v>
      </c>
      <c r="N53" s="32" t="str">
        <f>_xlfn.XLOOKUP(ES_1[[#This Row],[STN]],SE_1[STN],SE_1[Ethnicity],"",0)</f>
        <v/>
      </c>
    </row>
    <row r="54" spans="1:14" ht="14.45">
      <c r="A54" s="32">
        <v>22910297</v>
      </c>
      <c r="B54" s="32">
        <v>9</v>
      </c>
      <c r="C54" s="33">
        <v>2</v>
      </c>
      <c r="D54" s="32" t="s">
        <v>31</v>
      </c>
      <c r="E54" s="33">
        <v>10</v>
      </c>
      <c r="F54" s="32" t="s">
        <v>25</v>
      </c>
      <c r="G54" s="34">
        <v>10</v>
      </c>
      <c r="H54" s="32" t="s">
        <v>26</v>
      </c>
      <c r="I54" s="35">
        <f>SUMIFS(ES_1[LENGTH_EX_SU],ES_1[STN],ES_1[[#This Row],[STN]],ES_1[DISCIPLINE_TYPE],"Out-of-School Suspension")+SUMIFS(ES_1[LENGTH_EX_SU],ES_1[STN],ES_1[[#This Row],[STN]],ES_1[DISCIPLINE_TYPE],"Expulsion")</f>
        <v>10</v>
      </c>
      <c r="J54" s="32">
        <f>IF(ES_1[[#This Row],[Count Exp/Sus]]&gt;10,1,0)</f>
        <v>0</v>
      </c>
      <c r="K54" s="32" t="str">
        <f t="shared" ref="K54:K85" si="2">TRIM(IF(J54=1,A54 &amp;"-included",0))</f>
        <v>0</v>
      </c>
      <c r="L54" s="32">
        <f>IF(J54=1,IF(COUNTIFS($A$3:A54,A54,J$3:J54,1)=1,A54&amp;"-included",0),0)</f>
        <v>0</v>
      </c>
      <c r="M54" s="32" cm="1">
        <f t="array" ref="M54">IF(ES_1[[#This Row],[Included Exp/Sus]]=1,IF(SUMPRODUCT((ES_1[STN]=ES_1[[#This Row],[STN]])*(ES_1[Included Exp/Sus]=1)*(ROW(ES_1[STN])&lt;=ROW()))=1,1,0),0)</f>
        <v>0</v>
      </c>
      <c r="N54" s="32" t="str">
        <f>_xlfn.XLOOKUP(ES_1[[#This Row],[STN]],SE_1[STN],SE_1[Ethnicity],"",0)</f>
        <v>White</v>
      </c>
    </row>
    <row r="55" spans="1:14" ht="14.45">
      <c r="A55" s="32">
        <v>22910297</v>
      </c>
      <c r="B55" s="32">
        <v>9</v>
      </c>
      <c r="C55" s="33">
        <v>1</v>
      </c>
      <c r="D55" s="32" t="s">
        <v>24</v>
      </c>
      <c r="E55" s="33">
        <v>15</v>
      </c>
      <c r="F55" s="32" t="s">
        <v>27</v>
      </c>
      <c r="G55" s="34">
        <v>1</v>
      </c>
      <c r="H55" s="32" t="s">
        <v>26</v>
      </c>
      <c r="I55" s="35">
        <f>SUMIFS(ES_1[LENGTH_EX_SU],ES_1[STN],ES_1[[#This Row],[STN]],ES_1[DISCIPLINE_TYPE],"Out-of-School Suspension")+SUMIFS(ES_1[LENGTH_EX_SU],ES_1[STN],ES_1[[#This Row],[STN]],ES_1[DISCIPLINE_TYPE],"Expulsion")</f>
        <v>10</v>
      </c>
      <c r="J55" s="32">
        <f>IF(ES_1[[#This Row],[Count Exp/Sus]]&gt;10,1,0)</f>
        <v>0</v>
      </c>
      <c r="K55" s="32" t="str">
        <f t="shared" si="2"/>
        <v>0</v>
      </c>
      <c r="L55" s="32">
        <f>IF(J55=1,IF(COUNTIFS($A$3:A55,A55,J$3:J55,1)=1,A55&amp;"-included",0),0)</f>
        <v>0</v>
      </c>
      <c r="M55" s="32" cm="1">
        <f t="array" ref="M55">IF(ES_1[[#This Row],[Included Exp/Sus]]=1,IF(SUMPRODUCT((ES_1[STN]=ES_1[[#This Row],[STN]])*(ES_1[Included Exp/Sus]=1)*(ROW(ES_1[STN])&lt;=ROW()))=1,1,0),0)</f>
        <v>0</v>
      </c>
      <c r="N55" s="32" t="str">
        <f>_xlfn.XLOOKUP(ES_1[[#This Row],[STN]],SE_1[STN],SE_1[Ethnicity],"",0)</f>
        <v>White</v>
      </c>
    </row>
    <row r="56" spans="1:14" ht="14.45">
      <c r="A56" s="32">
        <v>22910297</v>
      </c>
      <c r="B56" s="32">
        <v>9</v>
      </c>
      <c r="C56" s="33">
        <v>1</v>
      </c>
      <c r="D56" s="32" t="s">
        <v>24</v>
      </c>
      <c r="E56" s="33">
        <v>16</v>
      </c>
      <c r="F56" s="32" t="s">
        <v>28</v>
      </c>
      <c r="G56" s="34">
        <v>1</v>
      </c>
      <c r="H56" s="32" t="s">
        <v>26</v>
      </c>
      <c r="I56" s="35">
        <f>SUMIFS(ES_1[LENGTH_EX_SU],ES_1[STN],ES_1[[#This Row],[STN]],ES_1[DISCIPLINE_TYPE],"Out-of-School Suspension")+SUMIFS(ES_1[LENGTH_EX_SU],ES_1[STN],ES_1[[#This Row],[STN]],ES_1[DISCIPLINE_TYPE],"Expulsion")</f>
        <v>10</v>
      </c>
      <c r="J56" s="32">
        <f>IF(ES_1[[#This Row],[Count Exp/Sus]]&gt;10,1,0)</f>
        <v>0</v>
      </c>
      <c r="K56" s="32" t="str">
        <f t="shared" si="2"/>
        <v>0</v>
      </c>
      <c r="L56" s="32">
        <f>IF(J56=1,IF(COUNTIFS($A$3:A56,A56,J$3:J56,1)=1,A56&amp;"-included",0),0)</f>
        <v>0</v>
      </c>
      <c r="M56" s="32" cm="1">
        <f t="array" ref="M56">IF(ES_1[[#This Row],[Included Exp/Sus]]=1,IF(SUMPRODUCT((ES_1[STN]=ES_1[[#This Row],[STN]])*(ES_1[Included Exp/Sus]=1)*(ROW(ES_1[STN])&lt;=ROW()))=1,1,0),0)</f>
        <v>0</v>
      </c>
      <c r="N56" s="32" t="str">
        <f>_xlfn.XLOOKUP(ES_1[[#This Row],[STN]],SE_1[STN],SE_1[Ethnicity],"",0)</f>
        <v>White</v>
      </c>
    </row>
    <row r="57" spans="1:14" ht="14.45">
      <c r="A57" s="32">
        <v>22910297</v>
      </c>
      <c r="B57" s="32">
        <v>9</v>
      </c>
      <c r="C57" s="33">
        <v>1</v>
      </c>
      <c r="D57" s="32" t="s">
        <v>24</v>
      </c>
      <c r="E57" s="33">
        <v>14</v>
      </c>
      <c r="F57" s="32" t="s">
        <v>32</v>
      </c>
      <c r="G57" s="34">
        <v>2</v>
      </c>
      <c r="H57" s="32" t="s">
        <v>26</v>
      </c>
      <c r="I57" s="35">
        <f>SUMIFS(ES_1[LENGTH_EX_SU],ES_1[STN],ES_1[[#This Row],[STN]],ES_1[DISCIPLINE_TYPE],"Out-of-School Suspension")+SUMIFS(ES_1[LENGTH_EX_SU],ES_1[STN],ES_1[[#This Row],[STN]],ES_1[DISCIPLINE_TYPE],"Expulsion")</f>
        <v>10</v>
      </c>
      <c r="J57" s="32">
        <f>IF(ES_1[[#This Row],[Count Exp/Sus]]&gt;10,1,0)</f>
        <v>0</v>
      </c>
      <c r="K57" s="32" t="str">
        <f t="shared" si="2"/>
        <v>0</v>
      </c>
      <c r="L57" s="32">
        <f>IF(J57=1,IF(COUNTIFS($A$3:A57,A57,J$3:J57,1)=1,A57&amp;"-included",0),0)</f>
        <v>0</v>
      </c>
      <c r="M57" s="32" cm="1">
        <f t="array" ref="M57">IF(ES_1[[#This Row],[Included Exp/Sus]]=1,IF(SUMPRODUCT((ES_1[STN]=ES_1[[#This Row],[STN]])*(ES_1[Included Exp/Sus]=1)*(ROW(ES_1[STN])&lt;=ROW()))=1,1,0),0)</f>
        <v>0</v>
      </c>
      <c r="N57" s="32" t="str">
        <f>_xlfn.XLOOKUP(ES_1[[#This Row],[STN]],SE_1[STN],SE_1[Ethnicity],"",0)</f>
        <v>White</v>
      </c>
    </row>
    <row r="58" spans="1:14" ht="14.45">
      <c r="A58" s="32">
        <v>22910297</v>
      </c>
      <c r="B58" s="32">
        <v>9</v>
      </c>
      <c r="C58" s="33">
        <v>1</v>
      </c>
      <c r="D58" s="32" t="s">
        <v>24</v>
      </c>
      <c r="E58" s="33">
        <v>15</v>
      </c>
      <c r="F58" s="32" t="s">
        <v>27</v>
      </c>
      <c r="G58" s="34">
        <v>2</v>
      </c>
      <c r="H58" s="32" t="s">
        <v>26</v>
      </c>
      <c r="I58" s="35">
        <f>SUMIFS(ES_1[LENGTH_EX_SU],ES_1[STN],ES_1[[#This Row],[STN]],ES_1[DISCIPLINE_TYPE],"Out-of-School Suspension")+SUMIFS(ES_1[LENGTH_EX_SU],ES_1[STN],ES_1[[#This Row],[STN]],ES_1[DISCIPLINE_TYPE],"Expulsion")</f>
        <v>10</v>
      </c>
      <c r="J58" s="32">
        <f>IF(ES_1[[#This Row],[Count Exp/Sus]]&gt;10,1,0)</f>
        <v>0</v>
      </c>
      <c r="K58" s="32" t="str">
        <f t="shared" si="2"/>
        <v>0</v>
      </c>
      <c r="L58" s="32">
        <f>IF(J58=1,IF(COUNTIFS($A$3:A58,A58,J$3:J58,1)=1,A58&amp;"-included",0),0)</f>
        <v>0</v>
      </c>
      <c r="M58" s="32" cm="1">
        <f t="array" ref="M58">IF(ES_1[[#This Row],[Included Exp/Sus]]=1,IF(SUMPRODUCT((ES_1[STN]=ES_1[[#This Row],[STN]])*(ES_1[Included Exp/Sus]=1)*(ROW(ES_1[STN])&lt;=ROW()))=1,1,0),0)</f>
        <v>0</v>
      </c>
      <c r="N58" s="32" t="str">
        <f>_xlfn.XLOOKUP(ES_1[[#This Row],[STN]],SE_1[STN],SE_1[Ethnicity],"",0)</f>
        <v>White</v>
      </c>
    </row>
    <row r="59" spans="1:14" ht="14.45">
      <c r="A59" s="32">
        <v>22910297</v>
      </c>
      <c r="B59" s="32">
        <v>9</v>
      </c>
      <c r="C59" s="33">
        <v>1</v>
      </c>
      <c r="D59" s="32" t="s">
        <v>24</v>
      </c>
      <c r="E59" s="33">
        <v>14</v>
      </c>
      <c r="F59" s="32" t="s">
        <v>32</v>
      </c>
      <c r="G59" s="34">
        <v>2</v>
      </c>
      <c r="H59" s="32" t="s">
        <v>26</v>
      </c>
      <c r="I59" s="35">
        <f>SUMIFS(ES_1[LENGTH_EX_SU],ES_1[STN],ES_1[[#This Row],[STN]],ES_1[DISCIPLINE_TYPE],"Out-of-School Suspension")+SUMIFS(ES_1[LENGTH_EX_SU],ES_1[STN],ES_1[[#This Row],[STN]],ES_1[DISCIPLINE_TYPE],"Expulsion")</f>
        <v>10</v>
      </c>
      <c r="J59" s="32">
        <f>IF(ES_1[[#This Row],[Count Exp/Sus]]&gt;10,1,0)</f>
        <v>0</v>
      </c>
      <c r="K59" s="32" t="str">
        <f t="shared" si="2"/>
        <v>0</v>
      </c>
      <c r="L59" s="32">
        <f>IF(J59=1,IF(COUNTIFS($A$3:A59,A59,J$3:J59,1)=1,A59&amp;"-included",0),0)</f>
        <v>0</v>
      </c>
      <c r="M59" s="32" cm="1">
        <f t="array" ref="M59">IF(ES_1[[#This Row],[Included Exp/Sus]]=1,IF(SUMPRODUCT((ES_1[STN]=ES_1[[#This Row],[STN]])*(ES_1[Included Exp/Sus]=1)*(ROW(ES_1[STN])&lt;=ROW()))=1,1,0),0)</f>
        <v>0</v>
      </c>
      <c r="N59" s="32" t="str">
        <f>_xlfn.XLOOKUP(ES_1[[#This Row],[STN]],SE_1[STN],SE_1[Ethnicity],"",0)</f>
        <v>White</v>
      </c>
    </row>
    <row r="60" spans="1:14" ht="14.45">
      <c r="A60" s="32">
        <v>22910308</v>
      </c>
      <c r="B60" s="32">
        <v>7</v>
      </c>
      <c r="C60" s="33">
        <v>2</v>
      </c>
      <c r="D60" s="32" t="s">
        <v>31</v>
      </c>
      <c r="E60" s="33">
        <v>10</v>
      </c>
      <c r="F60" s="32" t="s">
        <v>25</v>
      </c>
      <c r="G60" s="33">
        <v>1</v>
      </c>
      <c r="H60" s="32" t="s">
        <v>26</v>
      </c>
      <c r="I60" s="35">
        <f>SUMIFS(ES_1[LENGTH_EX_SU],ES_1[STN],ES_1[[#This Row],[STN]],ES_1[DISCIPLINE_TYPE],"Out-of-School Suspension")+SUMIFS(ES_1[LENGTH_EX_SU],ES_1[STN],ES_1[[#This Row],[STN]],ES_1[DISCIPLINE_TYPE],"Expulsion")</f>
        <v>1</v>
      </c>
      <c r="J60" s="32">
        <f>IF(ES_1[[#This Row],[Count Exp/Sus]]&gt;10,1,0)</f>
        <v>0</v>
      </c>
      <c r="K60" s="32" t="str">
        <f t="shared" si="2"/>
        <v>0</v>
      </c>
      <c r="L60" s="32">
        <f>IF(J60=1,IF(COUNTIFS($A$3:A60,A60,J$3:J60,1)=1,A60&amp;"-included",0),0)</f>
        <v>0</v>
      </c>
      <c r="M60" s="32" cm="1">
        <f t="array" ref="M60">IF(ES_1[[#This Row],[Included Exp/Sus]]=1,IF(SUMPRODUCT((ES_1[STN]=ES_1[[#This Row],[STN]])*(ES_1[Included Exp/Sus]=1)*(ROW(ES_1[STN])&lt;=ROW()))=1,1,0),0)</f>
        <v>0</v>
      </c>
      <c r="N60" s="32" t="str">
        <f>_xlfn.XLOOKUP(ES_1[[#This Row],[STN]],SE_1[STN],SE_1[Ethnicity],"",0)</f>
        <v>Black - African American</v>
      </c>
    </row>
    <row r="61" spans="1:14" ht="14.45">
      <c r="A61" s="32">
        <v>22910536</v>
      </c>
      <c r="B61" s="32">
        <v>10</v>
      </c>
      <c r="C61" s="33">
        <v>1</v>
      </c>
      <c r="D61" s="32" t="s">
        <v>24</v>
      </c>
      <c r="E61" s="33">
        <v>14</v>
      </c>
      <c r="F61" s="32" t="s">
        <v>32</v>
      </c>
      <c r="G61" s="34">
        <v>1</v>
      </c>
      <c r="H61" s="32" t="s">
        <v>29</v>
      </c>
      <c r="I61" s="35">
        <f>SUMIFS(ES_1[LENGTH_EX_SU],ES_1[STN],ES_1[[#This Row],[STN]],ES_1[DISCIPLINE_TYPE],"Out-of-School Suspension")+SUMIFS(ES_1[LENGTH_EX_SU],ES_1[STN],ES_1[[#This Row],[STN]],ES_1[DISCIPLINE_TYPE],"Expulsion")</f>
        <v>0</v>
      </c>
      <c r="J61" s="32">
        <f>IF(ES_1[[#This Row],[Count Exp/Sus]]&gt;10,1,0)</f>
        <v>0</v>
      </c>
      <c r="K61" s="32" t="str">
        <f t="shared" si="2"/>
        <v>0</v>
      </c>
      <c r="L61" s="32">
        <f>IF(J61=1,IF(COUNTIFS($A$3:A61,A61,J$3:J61,1)=1,A61&amp;"-included",0),0)</f>
        <v>0</v>
      </c>
      <c r="M61" s="32" cm="1">
        <f t="array" ref="M61">IF(ES_1[[#This Row],[Included Exp/Sus]]=1,IF(SUMPRODUCT((ES_1[STN]=ES_1[[#This Row],[STN]])*(ES_1[Included Exp/Sus]=1)*(ROW(ES_1[STN])&lt;=ROW()))=1,1,0),0)</f>
        <v>0</v>
      </c>
      <c r="N61" s="32" t="str">
        <f>_xlfn.XLOOKUP(ES_1[[#This Row],[STN]],SE_1[STN],SE_1[Ethnicity],"",0)</f>
        <v/>
      </c>
    </row>
    <row r="62" spans="1:14" ht="14.45">
      <c r="A62" s="32">
        <v>22910543</v>
      </c>
      <c r="B62" s="32">
        <v>9</v>
      </c>
      <c r="C62" s="33">
        <v>2</v>
      </c>
      <c r="D62" s="32" t="s">
        <v>31</v>
      </c>
      <c r="E62" s="33">
        <v>2</v>
      </c>
      <c r="F62" s="32" t="s">
        <v>33</v>
      </c>
      <c r="G62" s="34">
        <v>1</v>
      </c>
      <c r="H62" s="32" t="s">
        <v>26</v>
      </c>
      <c r="I62" s="35">
        <f>SUMIFS(ES_1[LENGTH_EX_SU],ES_1[STN],ES_1[[#This Row],[STN]],ES_1[DISCIPLINE_TYPE],"Out-of-School Suspension")+SUMIFS(ES_1[LENGTH_EX_SU],ES_1[STN],ES_1[[#This Row],[STN]],ES_1[DISCIPLINE_TYPE],"Expulsion")</f>
        <v>1</v>
      </c>
      <c r="J62" s="32">
        <f>IF(ES_1[[#This Row],[Count Exp/Sus]]&gt;10,1,0)</f>
        <v>0</v>
      </c>
      <c r="K62" s="32" t="str">
        <f t="shared" si="2"/>
        <v>0</v>
      </c>
      <c r="L62" s="32">
        <f>IF(J62=1,IF(COUNTIFS($A$3:A62,A62,J$3:J62,1)=1,A62&amp;"-included",0),0)</f>
        <v>0</v>
      </c>
      <c r="M62" s="32" cm="1">
        <f t="array" ref="M62">IF(ES_1[[#This Row],[Included Exp/Sus]]=1,IF(SUMPRODUCT((ES_1[STN]=ES_1[[#This Row],[STN]])*(ES_1[Included Exp/Sus]=1)*(ROW(ES_1[STN])&lt;=ROW()))=1,1,0),0)</f>
        <v>0</v>
      </c>
      <c r="N62" s="32" t="str">
        <f>_xlfn.XLOOKUP(ES_1[[#This Row],[STN]],SE_1[STN],SE_1[Ethnicity],"",0)</f>
        <v>White</v>
      </c>
    </row>
    <row r="63" spans="1:14" ht="14.45">
      <c r="A63" s="32">
        <v>22910548</v>
      </c>
      <c r="B63" s="32">
        <v>8</v>
      </c>
      <c r="C63" s="33">
        <v>1</v>
      </c>
      <c r="D63" s="32" t="s">
        <v>24</v>
      </c>
      <c r="E63" s="33">
        <v>14</v>
      </c>
      <c r="F63" s="32" t="s">
        <v>32</v>
      </c>
      <c r="G63" s="34">
        <v>1</v>
      </c>
      <c r="H63" s="32" t="s">
        <v>29</v>
      </c>
      <c r="I63" s="35">
        <f>SUMIFS(ES_1[LENGTH_EX_SU],ES_1[STN],ES_1[[#This Row],[STN]],ES_1[DISCIPLINE_TYPE],"Out-of-School Suspension")+SUMIFS(ES_1[LENGTH_EX_SU],ES_1[STN],ES_1[[#This Row],[STN]],ES_1[DISCIPLINE_TYPE],"Expulsion")</f>
        <v>0</v>
      </c>
      <c r="J63" s="32">
        <f>IF(ES_1[[#This Row],[Count Exp/Sus]]&gt;10,1,0)</f>
        <v>0</v>
      </c>
      <c r="K63" s="32" t="str">
        <f t="shared" si="2"/>
        <v>0</v>
      </c>
      <c r="L63" s="32">
        <f>IF(J63=1,IF(COUNTIFS($A$3:A63,A63,J$3:J63,1)=1,A63&amp;"-included",0),0)</f>
        <v>0</v>
      </c>
      <c r="M63" s="32" cm="1">
        <f t="array" ref="M63">IF(ES_1[[#This Row],[Included Exp/Sus]]=1,IF(SUMPRODUCT((ES_1[STN]=ES_1[[#This Row],[STN]])*(ES_1[Included Exp/Sus]=1)*(ROW(ES_1[STN])&lt;=ROW()))=1,1,0),0)</f>
        <v>0</v>
      </c>
      <c r="N63" s="32" t="str">
        <f>_xlfn.XLOOKUP(ES_1[[#This Row],[STN]],SE_1[STN],SE_1[Ethnicity],"",0)</f>
        <v/>
      </c>
    </row>
    <row r="64" spans="1:14" ht="14.45">
      <c r="A64" s="32">
        <v>22910715</v>
      </c>
      <c r="B64" s="32">
        <v>9</v>
      </c>
      <c r="C64" s="33">
        <v>2</v>
      </c>
      <c r="D64" s="32" t="s">
        <v>31</v>
      </c>
      <c r="E64" s="33">
        <v>3</v>
      </c>
      <c r="F64" s="32" t="s">
        <v>39</v>
      </c>
      <c r="G64" s="34">
        <v>4</v>
      </c>
      <c r="H64" s="32" t="s">
        <v>26</v>
      </c>
      <c r="I64" s="35">
        <f>SUMIFS(ES_1[LENGTH_EX_SU],ES_1[STN],ES_1[[#This Row],[STN]],ES_1[DISCIPLINE_TYPE],"Out-of-School Suspension")+SUMIFS(ES_1[LENGTH_EX_SU],ES_1[STN],ES_1[[#This Row],[STN]],ES_1[DISCIPLINE_TYPE],"Expulsion")</f>
        <v>4</v>
      </c>
      <c r="J64" s="32">
        <f>IF(ES_1[[#This Row],[Count Exp/Sus]]&gt;10,1,0)</f>
        <v>0</v>
      </c>
      <c r="K64" s="32" t="str">
        <f t="shared" si="2"/>
        <v>0</v>
      </c>
      <c r="L64" s="32">
        <f>IF(J64=1,IF(COUNTIFS($A$3:A64,A64,J$3:J64,1)=1,A64&amp;"-included",0),0)</f>
        <v>0</v>
      </c>
      <c r="M64" s="32" cm="1">
        <f t="array" ref="M64">IF(ES_1[[#This Row],[Included Exp/Sus]]=1,IF(SUMPRODUCT((ES_1[STN]=ES_1[[#This Row],[STN]])*(ES_1[Included Exp/Sus]=1)*(ROW(ES_1[STN])&lt;=ROW()))=1,1,0),0)</f>
        <v>0</v>
      </c>
      <c r="N64" s="32" t="str">
        <f>_xlfn.XLOOKUP(ES_1[[#This Row],[STN]],SE_1[STN],SE_1[Ethnicity],"",0)</f>
        <v>White</v>
      </c>
    </row>
    <row r="65" spans="1:14" ht="14.45">
      <c r="A65" s="32">
        <v>22910742</v>
      </c>
      <c r="B65" s="32">
        <v>9</v>
      </c>
      <c r="C65" s="33">
        <v>1</v>
      </c>
      <c r="D65" s="32" t="s">
        <v>24</v>
      </c>
      <c r="E65" s="33">
        <v>15</v>
      </c>
      <c r="F65" s="32" t="s">
        <v>27</v>
      </c>
      <c r="G65" s="34">
        <v>1</v>
      </c>
      <c r="H65" s="32" t="s">
        <v>26</v>
      </c>
      <c r="I65" s="35">
        <f>SUMIFS(ES_1[LENGTH_EX_SU],ES_1[STN],ES_1[[#This Row],[STN]],ES_1[DISCIPLINE_TYPE],"Out-of-School Suspension")+SUMIFS(ES_1[LENGTH_EX_SU],ES_1[STN],ES_1[[#This Row],[STN]],ES_1[DISCIPLINE_TYPE],"Expulsion")</f>
        <v>3</v>
      </c>
      <c r="J65" s="32">
        <f>IF(ES_1[[#This Row],[Count Exp/Sus]]&gt;10,1,0)</f>
        <v>0</v>
      </c>
      <c r="K65" s="32" t="str">
        <f t="shared" si="2"/>
        <v>0</v>
      </c>
      <c r="L65" s="32">
        <f>IF(J65=1,IF(COUNTIFS($A$3:A65,A65,J$3:J65,1)=1,A65&amp;"-included",0),0)</f>
        <v>0</v>
      </c>
      <c r="M65" s="32" cm="1">
        <f t="array" ref="M65">IF(ES_1[[#This Row],[Included Exp/Sus]]=1,IF(SUMPRODUCT((ES_1[STN]=ES_1[[#This Row],[STN]])*(ES_1[Included Exp/Sus]=1)*(ROW(ES_1[STN])&lt;=ROW()))=1,1,0),0)</f>
        <v>0</v>
      </c>
      <c r="N65" s="32" t="str">
        <f>_xlfn.XLOOKUP(ES_1[[#This Row],[STN]],SE_1[STN],SE_1[Ethnicity],"",0)</f>
        <v>White</v>
      </c>
    </row>
    <row r="66" spans="1:14" ht="14.45">
      <c r="A66" s="32">
        <v>22910742</v>
      </c>
      <c r="B66" s="32">
        <v>9</v>
      </c>
      <c r="C66" s="33">
        <v>1</v>
      </c>
      <c r="D66" s="32" t="s">
        <v>24</v>
      </c>
      <c r="E66" s="33">
        <v>15</v>
      </c>
      <c r="F66" s="32" t="s">
        <v>27</v>
      </c>
      <c r="G66" s="34">
        <v>1</v>
      </c>
      <c r="H66" s="32" t="s">
        <v>26</v>
      </c>
      <c r="I66" s="35">
        <f>SUMIFS(ES_1[LENGTH_EX_SU],ES_1[STN],ES_1[[#This Row],[STN]],ES_1[DISCIPLINE_TYPE],"Out-of-School Suspension")+SUMIFS(ES_1[LENGTH_EX_SU],ES_1[STN],ES_1[[#This Row],[STN]],ES_1[DISCIPLINE_TYPE],"Expulsion")</f>
        <v>3</v>
      </c>
      <c r="J66" s="32">
        <f>IF(ES_1[[#This Row],[Count Exp/Sus]]&gt;10,1,0)</f>
        <v>0</v>
      </c>
      <c r="K66" s="32" t="str">
        <f t="shared" si="2"/>
        <v>0</v>
      </c>
      <c r="L66" s="32">
        <f>IF(J66=1,IF(COUNTIFS($A$3:A66,A66,J$3:J66,1)=1,A66&amp;"-included",0),0)</f>
        <v>0</v>
      </c>
      <c r="M66" s="32" cm="1">
        <f t="array" ref="M66">IF(ES_1[[#This Row],[Included Exp/Sus]]=1,IF(SUMPRODUCT((ES_1[STN]=ES_1[[#This Row],[STN]])*(ES_1[Included Exp/Sus]=1)*(ROW(ES_1[STN])&lt;=ROW()))=1,1,0),0)</f>
        <v>0</v>
      </c>
      <c r="N66" s="32" t="str">
        <f>_xlfn.XLOOKUP(ES_1[[#This Row],[STN]],SE_1[STN],SE_1[Ethnicity],"",0)</f>
        <v>White</v>
      </c>
    </row>
    <row r="67" spans="1:14" ht="14.45">
      <c r="A67" s="32">
        <v>22910742</v>
      </c>
      <c r="B67" s="32">
        <v>9</v>
      </c>
      <c r="C67" s="33">
        <v>1</v>
      </c>
      <c r="D67" s="32" t="s">
        <v>24</v>
      </c>
      <c r="E67" s="33">
        <v>14</v>
      </c>
      <c r="F67" s="32" t="s">
        <v>32</v>
      </c>
      <c r="G67" s="34">
        <v>1</v>
      </c>
      <c r="H67" s="32" t="s">
        <v>26</v>
      </c>
      <c r="I67" s="35">
        <f>SUMIFS(ES_1[LENGTH_EX_SU],ES_1[STN],ES_1[[#This Row],[STN]],ES_1[DISCIPLINE_TYPE],"Out-of-School Suspension")+SUMIFS(ES_1[LENGTH_EX_SU],ES_1[STN],ES_1[[#This Row],[STN]],ES_1[DISCIPLINE_TYPE],"Expulsion")</f>
        <v>3</v>
      </c>
      <c r="J67" s="32">
        <f>IF(ES_1[[#This Row],[Count Exp/Sus]]&gt;10,1,0)</f>
        <v>0</v>
      </c>
      <c r="K67" s="32" t="str">
        <f t="shared" si="2"/>
        <v>0</v>
      </c>
      <c r="L67" s="32">
        <f>IF(J67=1,IF(COUNTIFS($A$3:A67,A67,J$3:J67,1)=1,A67&amp;"-included",0),0)</f>
        <v>0</v>
      </c>
      <c r="M67" s="32" cm="1">
        <f t="array" ref="M67">IF(ES_1[[#This Row],[Included Exp/Sus]]=1,IF(SUMPRODUCT((ES_1[STN]=ES_1[[#This Row],[STN]])*(ES_1[Included Exp/Sus]=1)*(ROW(ES_1[STN])&lt;=ROW()))=1,1,0),0)</f>
        <v>0</v>
      </c>
      <c r="N67" s="32" t="str">
        <f>_xlfn.XLOOKUP(ES_1[[#This Row],[STN]],SE_1[STN],SE_1[Ethnicity],"",0)</f>
        <v>White</v>
      </c>
    </row>
    <row r="68" spans="1:14" ht="14.45">
      <c r="A68" s="32">
        <v>22910742</v>
      </c>
      <c r="B68" s="32">
        <v>9</v>
      </c>
      <c r="C68" s="33">
        <v>2</v>
      </c>
      <c r="D68" s="32" t="s">
        <v>31</v>
      </c>
      <c r="E68" s="33">
        <v>7</v>
      </c>
      <c r="F68" s="32" t="s">
        <v>30</v>
      </c>
      <c r="G68" s="34">
        <v>3</v>
      </c>
      <c r="H68" s="32" t="s">
        <v>26</v>
      </c>
      <c r="I68" s="35">
        <f>SUMIFS(ES_1[LENGTH_EX_SU],ES_1[STN],ES_1[[#This Row],[STN]],ES_1[DISCIPLINE_TYPE],"Out-of-School Suspension")+SUMIFS(ES_1[LENGTH_EX_SU],ES_1[STN],ES_1[[#This Row],[STN]],ES_1[DISCIPLINE_TYPE],"Expulsion")</f>
        <v>3</v>
      </c>
      <c r="J68" s="32">
        <f>IF(ES_1[[#This Row],[Count Exp/Sus]]&gt;10,1,0)</f>
        <v>0</v>
      </c>
      <c r="K68" s="32" t="str">
        <f t="shared" si="2"/>
        <v>0</v>
      </c>
      <c r="L68" s="32">
        <f>IF(J68=1,IF(COUNTIFS($A$3:A68,A68,J$3:J68,1)=1,A68&amp;"-included",0),0)</f>
        <v>0</v>
      </c>
      <c r="M68" s="32" cm="1">
        <f t="array" ref="M68">IF(ES_1[[#This Row],[Included Exp/Sus]]=1,IF(SUMPRODUCT((ES_1[STN]=ES_1[[#This Row],[STN]])*(ES_1[Included Exp/Sus]=1)*(ROW(ES_1[STN])&lt;=ROW()))=1,1,0),0)</f>
        <v>0</v>
      </c>
      <c r="N68" s="32" t="str">
        <f>_xlfn.XLOOKUP(ES_1[[#This Row],[STN]],SE_1[STN],SE_1[Ethnicity],"",0)</f>
        <v>White</v>
      </c>
    </row>
    <row r="69" spans="1:14" ht="14.45">
      <c r="A69" s="32">
        <v>22910756</v>
      </c>
      <c r="B69" s="32">
        <v>8</v>
      </c>
      <c r="C69" s="33">
        <v>2</v>
      </c>
      <c r="D69" s="32" t="s">
        <v>31</v>
      </c>
      <c r="E69" s="33">
        <v>31</v>
      </c>
      <c r="F69" s="32" t="s">
        <v>40</v>
      </c>
      <c r="G69" s="34">
        <v>2</v>
      </c>
      <c r="H69" s="32" t="s">
        <v>29</v>
      </c>
      <c r="I69" s="35">
        <f>SUMIFS(ES_1[LENGTH_EX_SU],ES_1[STN],ES_1[[#This Row],[STN]],ES_1[DISCIPLINE_TYPE],"Out-of-School Suspension")+SUMIFS(ES_1[LENGTH_EX_SU],ES_1[STN],ES_1[[#This Row],[STN]],ES_1[DISCIPLINE_TYPE],"Expulsion")</f>
        <v>2</v>
      </c>
      <c r="J69" s="32">
        <f>IF(ES_1[[#This Row],[Count Exp/Sus]]&gt;10,1,0)</f>
        <v>0</v>
      </c>
      <c r="K69" s="32" t="str">
        <f t="shared" si="2"/>
        <v>0</v>
      </c>
      <c r="L69" s="32">
        <f>IF(J69=1,IF(COUNTIFS($A$3:A69,A69,J$3:J69,1)=1,A69&amp;"-included",0),0)</f>
        <v>0</v>
      </c>
      <c r="M69" s="32" cm="1">
        <f t="array" ref="M69">IF(ES_1[[#This Row],[Included Exp/Sus]]=1,IF(SUMPRODUCT((ES_1[STN]=ES_1[[#This Row],[STN]])*(ES_1[Included Exp/Sus]=1)*(ROW(ES_1[STN])&lt;=ROW()))=1,1,0),0)</f>
        <v>0</v>
      </c>
      <c r="N69" s="32" t="str">
        <f>_xlfn.XLOOKUP(ES_1[[#This Row],[STN]],SE_1[STN],SE_1[Ethnicity],"",0)</f>
        <v/>
      </c>
    </row>
    <row r="70" spans="1:14" ht="14.45">
      <c r="A70" s="32">
        <v>22910760</v>
      </c>
      <c r="B70" s="32">
        <v>8</v>
      </c>
      <c r="C70" s="33">
        <v>1</v>
      </c>
      <c r="D70" s="32" t="s">
        <v>24</v>
      </c>
      <c r="E70" s="33">
        <v>11</v>
      </c>
      <c r="F70" s="32" t="s">
        <v>36</v>
      </c>
      <c r="G70" s="34">
        <v>1</v>
      </c>
      <c r="H70" s="32" t="s">
        <v>29</v>
      </c>
      <c r="I70" s="35">
        <f>SUMIFS(ES_1[LENGTH_EX_SU],ES_1[STN],ES_1[[#This Row],[STN]],ES_1[DISCIPLINE_TYPE],"Out-of-School Suspension")+SUMIFS(ES_1[LENGTH_EX_SU],ES_1[STN],ES_1[[#This Row],[STN]],ES_1[DISCIPLINE_TYPE],"Expulsion")</f>
        <v>0</v>
      </c>
      <c r="J70" s="32">
        <f>IF(ES_1[[#This Row],[Count Exp/Sus]]&gt;10,1,0)</f>
        <v>0</v>
      </c>
      <c r="K70" s="32" t="str">
        <f t="shared" si="2"/>
        <v>0</v>
      </c>
      <c r="L70" s="32">
        <f>IF(J70=1,IF(COUNTIFS($A$3:A70,A70,J$3:J70,1)=1,A70&amp;"-included",0),0)</f>
        <v>0</v>
      </c>
      <c r="M70" s="32" cm="1">
        <f t="array" ref="M70">IF(ES_1[[#This Row],[Included Exp/Sus]]=1,IF(SUMPRODUCT((ES_1[STN]=ES_1[[#This Row],[STN]])*(ES_1[Included Exp/Sus]=1)*(ROW(ES_1[STN])&lt;=ROW()))=1,1,0),0)</f>
        <v>0</v>
      </c>
      <c r="N70" s="32" t="str">
        <f>_xlfn.XLOOKUP(ES_1[[#This Row],[STN]],SE_1[STN],SE_1[Ethnicity],"",0)</f>
        <v/>
      </c>
    </row>
    <row r="71" spans="1:14" ht="14.45">
      <c r="A71" s="32">
        <v>22910761</v>
      </c>
      <c r="B71" s="32">
        <v>9</v>
      </c>
      <c r="C71" s="33">
        <v>2</v>
      </c>
      <c r="D71" s="32" t="s">
        <v>31</v>
      </c>
      <c r="E71" s="33">
        <v>7</v>
      </c>
      <c r="F71" s="32" t="s">
        <v>30</v>
      </c>
      <c r="G71" s="34">
        <v>2</v>
      </c>
      <c r="H71" s="32" t="s">
        <v>29</v>
      </c>
      <c r="I71" s="35">
        <f>SUMIFS(ES_1[LENGTH_EX_SU],ES_1[STN],ES_1[[#This Row],[STN]],ES_1[DISCIPLINE_TYPE],"Out-of-School Suspension")+SUMIFS(ES_1[LENGTH_EX_SU],ES_1[STN],ES_1[[#This Row],[STN]],ES_1[DISCIPLINE_TYPE],"Expulsion")</f>
        <v>2</v>
      </c>
      <c r="J71" s="32">
        <f>IF(ES_1[[#This Row],[Count Exp/Sus]]&gt;10,1,0)</f>
        <v>0</v>
      </c>
      <c r="K71" s="32" t="str">
        <f t="shared" si="2"/>
        <v>0</v>
      </c>
      <c r="L71" s="32">
        <f>IF(J71=1,IF(COUNTIFS($A$3:A71,A71,J$3:J71,1)=1,A71&amp;"-included",0),0)</f>
        <v>0</v>
      </c>
      <c r="M71" s="32" cm="1">
        <f t="array" ref="M71">IF(ES_1[[#This Row],[Included Exp/Sus]]=1,IF(SUMPRODUCT((ES_1[STN]=ES_1[[#This Row],[STN]])*(ES_1[Included Exp/Sus]=1)*(ROW(ES_1[STN])&lt;=ROW()))=1,1,0),0)</f>
        <v>0</v>
      </c>
      <c r="N71" s="32" t="str">
        <f>_xlfn.XLOOKUP(ES_1[[#This Row],[STN]],SE_1[STN],SE_1[Ethnicity],"",0)</f>
        <v/>
      </c>
    </row>
    <row r="72" spans="1:14" ht="14.45">
      <c r="A72" s="32">
        <v>22910778</v>
      </c>
      <c r="B72" s="32">
        <v>8</v>
      </c>
      <c r="C72" s="33">
        <v>1</v>
      </c>
      <c r="D72" s="32" t="s">
        <v>24</v>
      </c>
      <c r="E72" s="33">
        <v>15</v>
      </c>
      <c r="F72" s="32" t="s">
        <v>27</v>
      </c>
      <c r="G72" s="34">
        <v>1</v>
      </c>
      <c r="H72" s="32" t="s">
        <v>29</v>
      </c>
      <c r="I72" s="35">
        <f>SUMIFS(ES_1[LENGTH_EX_SU],ES_1[STN],ES_1[[#This Row],[STN]],ES_1[DISCIPLINE_TYPE],"Out-of-School Suspension")+SUMIFS(ES_1[LENGTH_EX_SU],ES_1[STN],ES_1[[#This Row],[STN]],ES_1[DISCIPLINE_TYPE],"Expulsion")</f>
        <v>0</v>
      </c>
      <c r="J72" s="32">
        <f>IF(ES_1[[#This Row],[Count Exp/Sus]]&gt;10,1,0)</f>
        <v>0</v>
      </c>
      <c r="K72" s="32" t="str">
        <f t="shared" si="2"/>
        <v>0</v>
      </c>
      <c r="L72" s="32">
        <f>IF(J72=1,IF(COUNTIFS($A$3:A72,A72,J$3:J72,1)=1,A72&amp;"-included",0),0)</f>
        <v>0</v>
      </c>
      <c r="M72" s="32" cm="1">
        <f t="array" ref="M72">IF(ES_1[[#This Row],[Included Exp/Sus]]=1,IF(SUMPRODUCT((ES_1[STN]=ES_1[[#This Row],[STN]])*(ES_1[Included Exp/Sus]=1)*(ROW(ES_1[STN])&lt;=ROW()))=1,1,0),0)</f>
        <v>0</v>
      </c>
      <c r="N72" s="32" t="str">
        <f>_xlfn.XLOOKUP(ES_1[[#This Row],[STN]],SE_1[STN],SE_1[Ethnicity],"",0)</f>
        <v/>
      </c>
    </row>
    <row r="73" spans="1:14" ht="14.45">
      <c r="A73" s="32">
        <v>22910790</v>
      </c>
      <c r="B73" s="32">
        <v>9</v>
      </c>
      <c r="C73" s="33">
        <v>2</v>
      </c>
      <c r="D73" s="32" t="s">
        <v>31</v>
      </c>
      <c r="E73" s="33">
        <v>11</v>
      </c>
      <c r="F73" s="32" t="s">
        <v>36</v>
      </c>
      <c r="G73" s="34">
        <v>1</v>
      </c>
      <c r="H73" s="32" t="s">
        <v>26</v>
      </c>
      <c r="I73" s="35">
        <f>SUMIFS(ES_1[LENGTH_EX_SU],ES_1[STN],ES_1[[#This Row],[STN]],ES_1[DISCIPLINE_TYPE],"Out-of-School Suspension")+SUMIFS(ES_1[LENGTH_EX_SU],ES_1[STN],ES_1[[#This Row],[STN]],ES_1[DISCIPLINE_TYPE],"Expulsion")</f>
        <v>1</v>
      </c>
      <c r="J73" s="32">
        <f>IF(ES_1[[#This Row],[Count Exp/Sus]]&gt;10,1,0)</f>
        <v>0</v>
      </c>
      <c r="K73" s="32" t="str">
        <f t="shared" si="2"/>
        <v>0</v>
      </c>
      <c r="L73" s="32">
        <f>IF(J73=1,IF(COUNTIFS($A$3:A73,A73,J$3:J73,1)=1,A73&amp;"-included",0),0)</f>
        <v>0</v>
      </c>
      <c r="M73" s="32" cm="1">
        <f t="array" ref="M73">IF(ES_1[[#This Row],[Included Exp/Sus]]=1,IF(SUMPRODUCT((ES_1[STN]=ES_1[[#This Row],[STN]])*(ES_1[Included Exp/Sus]=1)*(ROW(ES_1[STN])&lt;=ROW()))=1,1,0),0)</f>
        <v>0</v>
      </c>
      <c r="N73" s="32" t="str">
        <f>_xlfn.XLOOKUP(ES_1[[#This Row],[STN]],SE_1[STN],SE_1[Ethnicity],"",0)</f>
        <v>White</v>
      </c>
    </row>
    <row r="74" spans="1:14" ht="14.45">
      <c r="A74" s="32">
        <v>22911003</v>
      </c>
      <c r="B74" s="32">
        <v>7</v>
      </c>
      <c r="C74" s="33">
        <v>2</v>
      </c>
      <c r="D74" s="32" t="s">
        <v>31</v>
      </c>
      <c r="E74" s="33">
        <v>11</v>
      </c>
      <c r="F74" s="32" t="s">
        <v>36</v>
      </c>
      <c r="G74" s="34">
        <v>1</v>
      </c>
      <c r="H74" s="32" t="s">
        <v>26</v>
      </c>
      <c r="I74" s="35">
        <f>SUMIFS(ES_1[LENGTH_EX_SU],ES_1[STN],ES_1[[#This Row],[STN]],ES_1[DISCIPLINE_TYPE],"Out-of-School Suspension")+SUMIFS(ES_1[LENGTH_EX_SU],ES_1[STN],ES_1[[#This Row],[STN]],ES_1[DISCIPLINE_TYPE],"Expulsion")</f>
        <v>6</v>
      </c>
      <c r="J74" s="32">
        <f>IF(ES_1[[#This Row],[Count Exp/Sus]]&gt;10,1,0)</f>
        <v>0</v>
      </c>
      <c r="K74" s="32" t="str">
        <f t="shared" si="2"/>
        <v>0</v>
      </c>
      <c r="L74" s="32">
        <f>IF(J74=1,IF(COUNTIFS($A$3:A74,A74,J$3:J74,1)=1,A74&amp;"-included",0),0)</f>
        <v>0</v>
      </c>
      <c r="M74" s="32" cm="1">
        <f t="array" ref="M74">IF(ES_1[[#This Row],[Included Exp/Sus]]=1,IF(SUMPRODUCT((ES_1[STN]=ES_1[[#This Row],[STN]])*(ES_1[Included Exp/Sus]=1)*(ROW(ES_1[STN])&lt;=ROW()))=1,1,0),0)</f>
        <v>0</v>
      </c>
      <c r="N74" s="32" t="str">
        <f>_xlfn.XLOOKUP(ES_1[[#This Row],[STN]],SE_1[STN],SE_1[Ethnicity],"",0)</f>
        <v>Black - African American</v>
      </c>
    </row>
    <row r="75" spans="1:14" ht="14.45">
      <c r="A75" s="32">
        <v>22911003</v>
      </c>
      <c r="B75" s="32">
        <v>7</v>
      </c>
      <c r="C75" s="33">
        <v>2</v>
      </c>
      <c r="D75" s="32" t="s">
        <v>31</v>
      </c>
      <c r="E75" s="33">
        <v>11</v>
      </c>
      <c r="F75" s="32" t="s">
        <v>36</v>
      </c>
      <c r="G75" s="34">
        <v>1</v>
      </c>
      <c r="H75" s="32" t="s">
        <v>26</v>
      </c>
      <c r="I75" s="35">
        <f>SUMIFS(ES_1[LENGTH_EX_SU],ES_1[STN],ES_1[[#This Row],[STN]],ES_1[DISCIPLINE_TYPE],"Out-of-School Suspension")+SUMIFS(ES_1[LENGTH_EX_SU],ES_1[STN],ES_1[[#This Row],[STN]],ES_1[DISCIPLINE_TYPE],"Expulsion")</f>
        <v>6</v>
      </c>
      <c r="J75" s="32">
        <f>IF(ES_1[[#This Row],[Count Exp/Sus]]&gt;10,1,0)</f>
        <v>0</v>
      </c>
      <c r="K75" s="32" t="str">
        <f t="shared" si="2"/>
        <v>0</v>
      </c>
      <c r="L75" s="32">
        <f>IF(J75=1,IF(COUNTIFS($A$3:A75,A75,J$3:J75,1)=1,A75&amp;"-included",0),0)</f>
        <v>0</v>
      </c>
      <c r="M75" s="32" cm="1">
        <f t="array" ref="M75">IF(ES_1[[#This Row],[Included Exp/Sus]]=1,IF(SUMPRODUCT((ES_1[STN]=ES_1[[#This Row],[STN]])*(ES_1[Included Exp/Sus]=1)*(ROW(ES_1[STN])&lt;=ROW()))=1,1,0),0)</f>
        <v>0</v>
      </c>
      <c r="N75" s="32" t="str">
        <f>_xlfn.XLOOKUP(ES_1[[#This Row],[STN]],SE_1[STN],SE_1[Ethnicity],"",0)</f>
        <v>Black - African American</v>
      </c>
    </row>
    <row r="76" spans="1:14" ht="14.45">
      <c r="A76" s="32">
        <v>22911003</v>
      </c>
      <c r="B76" s="32">
        <v>7</v>
      </c>
      <c r="C76" s="33">
        <v>2</v>
      </c>
      <c r="D76" s="32" t="s">
        <v>31</v>
      </c>
      <c r="E76" s="33">
        <v>11</v>
      </c>
      <c r="F76" s="32" t="s">
        <v>36</v>
      </c>
      <c r="G76" s="34">
        <v>2</v>
      </c>
      <c r="H76" s="32" t="s">
        <v>26</v>
      </c>
      <c r="I76" s="35">
        <f>SUMIFS(ES_1[LENGTH_EX_SU],ES_1[STN],ES_1[[#This Row],[STN]],ES_1[DISCIPLINE_TYPE],"Out-of-School Suspension")+SUMIFS(ES_1[LENGTH_EX_SU],ES_1[STN],ES_1[[#This Row],[STN]],ES_1[DISCIPLINE_TYPE],"Expulsion")</f>
        <v>6</v>
      </c>
      <c r="J76" s="32">
        <f>IF(ES_1[[#This Row],[Count Exp/Sus]]&gt;10,1,0)</f>
        <v>0</v>
      </c>
      <c r="K76" s="32" t="str">
        <f t="shared" si="2"/>
        <v>0</v>
      </c>
      <c r="L76" s="32">
        <f>IF(J76=1,IF(COUNTIFS($A$3:A76,A76,J$3:J76,1)=1,A76&amp;"-included",0),0)</f>
        <v>0</v>
      </c>
      <c r="M76" s="32" cm="1">
        <f t="array" ref="M76">IF(ES_1[[#This Row],[Included Exp/Sus]]=1,IF(SUMPRODUCT((ES_1[STN]=ES_1[[#This Row],[STN]])*(ES_1[Included Exp/Sus]=1)*(ROW(ES_1[STN])&lt;=ROW()))=1,1,0),0)</f>
        <v>0</v>
      </c>
      <c r="N76" s="32" t="str">
        <f>_xlfn.XLOOKUP(ES_1[[#This Row],[STN]],SE_1[STN],SE_1[Ethnicity],"",0)</f>
        <v>Black - African American</v>
      </c>
    </row>
    <row r="77" spans="1:14" ht="14.45">
      <c r="A77" s="32">
        <v>22911003</v>
      </c>
      <c r="B77" s="32">
        <v>7</v>
      </c>
      <c r="C77" s="33">
        <v>2</v>
      </c>
      <c r="D77" s="32" t="s">
        <v>31</v>
      </c>
      <c r="E77" s="33">
        <v>10</v>
      </c>
      <c r="F77" s="32" t="s">
        <v>25</v>
      </c>
      <c r="G77" s="34">
        <v>1</v>
      </c>
      <c r="H77" s="32" t="s">
        <v>26</v>
      </c>
      <c r="I77" s="35">
        <f>SUMIFS(ES_1[LENGTH_EX_SU],ES_1[STN],ES_1[[#This Row],[STN]],ES_1[DISCIPLINE_TYPE],"Out-of-School Suspension")+SUMIFS(ES_1[LENGTH_EX_SU],ES_1[STN],ES_1[[#This Row],[STN]],ES_1[DISCIPLINE_TYPE],"Expulsion")</f>
        <v>6</v>
      </c>
      <c r="J77" s="32">
        <f>IF(ES_1[[#This Row],[Count Exp/Sus]]&gt;10,1,0)</f>
        <v>0</v>
      </c>
      <c r="K77" s="32" t="str">
        <f t="shared" si="2"/>
        <v>0</v>
      </c>
      <c r="L77" s="32">
        <f>IF(J77=1,IF(COUNTIFS($A$3:A77,A77,J$3:J77,1)=1,A77&amp;"-included",0),0)</f>
        <v>0</v>
      </c>
      <c r="M77" s="32" cm="1">
        <f t="array" ref="M77">IF(ES_1[[#This Row],[Included Exp/Sus]]=1,IF(SUMPRODUCT((ES_1[STN]=ES_1[[#This Row],[STN]])*(ES_1[Included Exp/Sus]=1)*(ROW(ES_1[STN])&lt;=ROW()))=1,1,0),0)</f>
        <v>0</v>
      </c>
      <c r="N77" s="32" t="str">
        <f>_xlfn.XLOOKUP(ES_1[[#This Row],[STN]],SE_1[STN],SE_1[Ethnicity],"",0)</f>
        <v>Black - African American</v>
      </c>
    </row>
    <row r="78" spans="1:14" ht="14.45">
      <c r="A78" s="32">
        <v>22911003</v>
      </c>
      <c r="B78" s="32">
        <v>7</v>
      </c>
      <c r="C78" s="33">
        <v>2</v>
      </c>
      <c r="D78" s="32" t="s">
        <v>31</v>
      </c>
      <c r="E78" s="33">
        <v>11</v>
      </c>
      <c r="F78" s="32" t="s">
        <v>36</v>
      </c>
      <c r="G78" s="34">
        <v>1</v>
      </c>
      <c r="H78" s="32" t="s">
        <v>26</v>
      </c>
      <c r="I78" s="35">
        <f>SUMIFS(ES_1[LENGTH_EX_SU],ES_1[STN],ES_1[[#This Row],[STN]],ES_1[DISCIPLINE_TYPE],"Out-of-School Suspension")+SUMIFS(ES_1[LENGTH_EX_SU],ES_1[STN],ES_1[[#This Row],[STN]],ES_1[DISCIPLINE_TYPE],"Expulsion")</f>
        <v>6</v>
      </c>
      <c r="J78" s="32">
        <f>IF(ES_1[[#This Row],[Count Exp/Sus]]&gt;10,1,0)</f>
        <v>0</v>
      </c>
      <c r="K78" s="32" t="str">
        <f t="shared" si="2"/>
        <v>0</v>
      </c>
      <c r="L78" s="32">
        <f>IF(J78=1,IF(COUNTIFS($A$3:A78,A78,J$3:J78,1)=1,A78&amp;"-included",0),0)</f>
        <v>0</v>
      </c>
      <c r="M78" s="32" cm="1">
        <f t="array" ref="M78">IF(ES_1[[#This Row],[Included Exp/Sus]]=1,IF(SUMPRODUCT((ES_1[STN]=ES_1[[#This Row],[STN]])*(ES_1[Included Exp/Sus]=1)*(ROW(ES_1[STN])&lt;=ROW()))=1,1,0),0)</f>
        <v>0</v>
      </c>
      <c r="N78" s="32" t="str">
        <f>_xlfn.XLOOKUP(ES_1[[#This Row],[STN]],SE_1[STN],SE_1[Ethnicity],"",0)</f>
        <v>Black - African American</v>
      </c>
    </row>
    <row r="79" spans="1:14" ht="14.45">
      <c r="A79" s="32">
        <v>22911025</v>
      </c>
      <c r="B79" s="32">
        <v>8</v>
      </c>
      <c r="C79" s="33">
        <v>1</v>
      </c>
      <c r="D79" s="32" t="s">
        <v>24</v>
      </c>
      <c r="E79" s="33">
        <v>15</v>
      </c>
      <c r="F79" s="32" t="s">
        <v>27</v>
      </c>
      <c r="G79" s="34">
        <v>1</v>
      </c>
      <c r="H79" s="32" t="s">
        <v>29</v>
      </c>
      <c r="I79" s="35">
        <f>SUMIFS(ES_1[LENGTH_EX_SU],ES_1[STN],ES_1[[#This Row],[STN]],ES_1[DISCIPLINE_TYPE],"Out-of-School Suspension")+SUMIFS(ES_1[LENGTH_EX_SU],ES_1[STN],ES_1[[#This Row],[STN]],ES_1[DISCIPLINE_TYPE],"Expulsion")</f>
        <v>12</v>
      </c>
      <c r="J79" s="32">
        <f>IF(ES_1[[#This Row],[Count Exp/Sus]]&gt;10,1,0)</f>
        <v>1</v>
      </c>
      <c r="K79" s="32" t="str">
        <f t="shared" si="2"/>
        <v>22911025-included</v>
      </c>
      <c r="L79" s="32" t="str">
        <f>IF(J79=1,IF(COUNTIFS($A$3:A79,A79,J$3:J79,1)=1,A79&amp;"-included",0),0)</f>
        <v>22911025-included</v>
      </c>
      <c r="M79" s="32" cm="1">
        <f t="array" ref="M79">IF(ES_1[[#This Row],[Included Exp/Sus]]=1,IF(SUMPRODUCT((ES_1[STN]=ES_1[[#This Row],[STN]])*(ES_1[Included Exp/Sus]=1)*(ROW(ES_1[STN])&lt;=ROW()))=1,1,0),0)</f>
        <v>1</v>
      </c>
      <c r="N79" s="32" t="str">
        <f>_xlfn.XLOOKUP(ES_1[[#This Row],[STN]],SE_1[STN],SE_1[Ethnicity],"",0)</f>
        <v/>
      </c>
    </row>
    <row r="80" spans="1:14" ht="14.45">
      <c r="A80" s="32">
        <v>22911025</v>
      </c>
      <c r="B80" s="32">
        <v>8</v>
      </c>
      <c r="C80" s="33">
        <v>1</v>
      </c>
      <c r="D80" s="32" t="s">
        <v>24</v>
      </c>
      <c r="E80" s="33">
        <v>10</v>
      </c>
      <c r="F80" s="32" t="s">
        <v>25</v>
      </c>
      <c r="G80" s="34">
        <v>1</v>
      </c>
      <c r="H80" s="32" t="s">
        <v>29</v>
      </c>
      <c r="I80" s="35">
        <f>SUMIFS(ES_1[LENGTH_EX_SU],ES_1[STN],ES_1[[#This Row],[STN]],ES_1[DISCIPLINE_TYPE],"Out-of-School Suspension")+SUMIFS(ES_1[LENGTH_EX_SU],ES_1[STN],ES_1[[#This Row],[STN]],ES_1[DISCIPLINE_TYPE],"Expulsion")</f>
        <v>12</v>
      </c>
      <c r="J80" s="32">
        <f>IF(ES_1[[#This Row],[Count Exp/Sus]]&gt;10,1,0)</f>
        <v>1</v>
      </c>
      <c r="K80" s="32" t="str">
        <f t="shared" si="2"/>
        <v>22911025-included</v>
      </c>
      <c r="L80" s="32">
        <f>IF(J80=1,IF(COUNTIFS($A$3:A80,A80,J$3:J80,1)=1,A80&amp;"-included",0),0)</f>
        <v>0</v>
      </c>
      <c r="M80" s="32" cm="1">
        <f t="array" ref="M80">IF(ES_1[[#This Row],[Included Exp/Sus]]=1,IF(SUMPRODUCT((ES_1[STN]=ES_1[[#This Row],[STN]])*(ES_1[Included Exp/Sus]=1)*(ROW(ES_1[STN])&lt;=ROW()))=1,1,0),0)</f>
        <v>0</v>
      </c>
      <c r="N80" s="32" t="str">
        <f>_xlfn.XLOOKUP(ES_1[[#This Row],[STN]],SE_1[STN],SE_1[Ethnicity],"",0)</f>
        <v/>
      </c>
    </row>
    <row r="81" spans="1:14" ht="14.45">
      <c r="A81" s="32">
        <v>22911025</v>
      </c>
      <c r="B81" s="32">
        <v>8</v>
      </c>
      <c r="C81" s="33">
        <v>2</v>
      </c>
      <c r="D81" s="32" t="s">
        <v>31</v>
      </c>
      <c r="E81" s="33">
        <v>15</v>
      </c>
      <c r="F81" s="32" t="s">
        <v>27</v>
      </c>
      <c r="G81" s="34">
        <v>3</v>
      </c>
      <c r="H81" s="32" t="s">
        <v>29</v>
      </c>
      <c r="I81" s="35">
        <f>SUMIFS(ES_1[LENGTH_EX_SU],ES_1[STN],ES_1[[#This Row],[STN]],ES_1[DISCIPLINE_TYPE],"Out-of-School Suspension")+SUMIFS(ES_1[LENGTH_EX_SU],ES_1[STN],ES_1[[#This Row],[STN]],ES_1[DISCIPLINE_TYPE],"Expulsion")</f>
        <v>12</v>
      </c>
      <c r="J81" s="32">
        <f>IF(ES_1[[#This Row],[Count Exp/Sus]]&gt;10,1,0)</f>
        <v>1</v>
      </c>
      <c r="K81" s="32" t="str">
        <f t="shared" si="2"/>
        <v>22911025-included</v>
      </c>
      <c r="L81" s="32">
        <f>IF(J81=1,IF(COUNTIFS($A$3:A81,A81,J$3:J81,1)=1,A81&amp;"-included",0),0)</f>
        <v>0</v>
      </c>
      <c r="M81" s="32" cm="1">
        <f t="array" ref="M81">IF(ES_1[[#This Row],[Included Exp/Sus]]=1,IF(SUMPRODUCT((ES_1[STN]=ES_1[[#This Row],[STN]])*(ES_1[Included Exp/Sus]=1)*(ROW(ES_1[STN])&lt;=ROW()))=1,1,0),0)</f>
        <v>0</v>
      </c>
      <c r="N81" s="32" t="str">
        <f>_xlfn.XLOOKUP(ES_1[[#This Row],[STN]],SE_1[STN],SE_1[Ethnicity],"",0)</f>
        <v/>
      </c>
    </row>
    <row r="82" spans="1:14" ht="14.45">
      <c r="A82" s="32">
        <v>22911025</v>
      </c>
      <c r="B82" s="32">
        <v>8</v>
      </c>
      <c r="C82" s="33">
        <v>2</v>
      </c>
      <c r="D82" s="32" t="s">
        <v>31</v>
      </c>
      <c r="E82" s="33">
        <v>10</v>
      </c>
      <c r="F82" s="32" t="s">
        <v>25</v>
      </c>
      <c r="G82" s="34">
        <v>9</v>
      </c>
      <c r="H82" s="32" t="s">
        <v>29</v>
      </c>
      <c r="I82" s="35">
        <f>SUMIFS(ES_1[LENGTH_EX_SU],ES_1[STN],ES_1[[#This Row],[STN]],ES_1[DISCIPLINE_TYPE],"Out-of-School Suspension")+SUMIFS(ES_1[LENGTH_EX_SU],ES_1[STN],ES_1[[#This Row],[STN]],ES_1[DISCIPLINE_TYPE],"Expulsion")</f>
        <v>12</v>
      </c>
      <c r="J82" s="32">
        <f>IF(ES_1[[#This Row],[Count Exp/Sus]]&gt;10,1,0)</f>
        <v>1</v>
      </c>
      <c r="K82" s="32" t="str">
        <f t="shared" si="2"/>
        <v>22911025-included</v>
      </c>
      <c r="L82" s="32">
        <f>IF(J82=1,IF(COUNTIFS($A$3:A82,A82,J$3:J82,1)=1,A82&amp;"-included",0),0)</f>
        <v>0</v>
      </c>
      <c r="M82" s="32" cm="1">
        <f t="array" ref="M82">IF(ES_1[[#This Row],[Included Exp/Sus]]=1,IF(SUMPRODUCT((ES_1[STN]=ES_1[[#This Row],[STN]])*(ES_1[Included Exp/Sus]=1)*(ROW(ES_1[STN])&lt;=ROW()))=1,1,0),0)</f>
        <v>0</v>
      </c>
      <c r="N82" s="32" t="str">
        <f>_xlfn.XLOOKUP(ES_1[[#This Row],[STN]],SE_1[STN],SE_1[Ethnicity],"",0)</f>
        <v/>
      </c>
    </row>
    <row r="83" spans="1:14" ht="14.45">
      <c r="A83" s="32">
        <v>22911035</v>
      </c>
      <c r="B83" s="32">
        <v>9</v>
      </c>
      <c r="C83" s="33">
        <v>2</v>
      </c>
      <c r="D83" s="32" t="s">
        <v>31</v>
      </c>
      <c r="E83" s="33">
        <v>11</v>
      </c>
      <c r="F83" s="32" t="s">
        <v>36</v>
      </c>
      <c r="G83" s="34">
        <v>1</v>
      </c>
      <c r="H83" s="32" t="s">
        <v>26</v>
      </c>
      <c r="I83" s="35">
        <f>SUMIFS(ES_1[LENGTH_EX_SU],ES_1[STN],ES_1[[#This Row],[STN]],ES_1[DISCIPLINE_TYPE],"Out-of-School Suspension")+SUMIFS(ES_1[LENGTH_EX_SU],ES_1[STN],ES_1[[#This Row],[STN]],ES_1[DISCIPLINE_TYPE],"Expulsion")</f>
        <v>1</v>
      </c>
      <c r="J83" s="32">
        <f>IF(ES_1[[#This Row],[Count Exp/Sus]]&gt;10,1,0)</f>
        <v>0</v>
      </c>
      <c r="K83" s="32" t="str">
        <f t="shared" si="2"/>
        <v>0</v>
      </c>
      <c r="L83" s="32">
        <f>IF(J83=1,IF(COUNTIFS($A$3:A83,A83,J$3:J83,1)=1,A83&amp;"-included",0),0)</f>
        <v>0</v>
      </c>
      <c r="M83" s="32" cm="1">
        <f t="array" ref="M83">IF(ES_1[[#This Row],[Included Exp/Sus]]=1,IF(SUMPRODUCT((ES_1[STN]=ES_1[[#This Row],[STN]])*(ES_1[Included Exp/Sus]=1)*(ROW(ES_1[STN])&lt;=ROW()))=1,1,0),0)</f>
        <v>0</v>
      </c>
      <c r="N83" s="32" t="str">
        <f>_xlfn.XLOOKUP(ES_1[[#This Row],[STN]],SE_1[STN],SE_1[Ethnicity],"",0)</f>
        <v>White</v>
      </c>
    </row>
    <row r="84" spans="1:14" ht="14.45">
      <c r="A84" s="32">
        <v>22911047</v>
      </c>
      <c r="B84" s="32">
        <v>8</v>
      </c>
      <c r="C84" s="33">
        <v>2</v>
      </c>
      <c r="D84" s="32" t="s">
        <v>31</v>
      </c>
      <c r="E84" s="33">
        <v>19</v>
      </c>
      <c r="F84" s="32" t="s">
        <v>37</v>
      </c>
      <c r="G84" s="33">
        <v>8</v>
      </c>
      <c r="H84" s="32" t="s">
        <v>26</v>
      </c>
      <c r="I84" s="35">
        <f>SUMIFS(ES_1[LENGTH_EX_SU],ES_1[STN],ES_1[[#This Row],[STN]],ES_1[DISCIPLINE_TYPE],"Out-of-School Suspension")+SUMIFS(ES_1[LENGTH_EX_SU],ES_1[STN],ES_1[[#This Row],[STN]],ES_1[DISCIPLINE_TYPE],"Expulsion")</f>
        <v>8</v>
      </c>
      <c r="J84" s="32">
        <f>IF(ES_1[[#This Row],[Count Exp/Sus]]&gt;10,1,0)</f>
        <v>0</v>
      </c>
      <c r="K84" s="32" t="str">
        <f t="shared" si="2"/>
        <v>0</v>
      </c>
      <c r="L84" s="32">
        <f>IF(J84=1,IF(COUNTIFS($A$3:A84,A84,J$3:J84,1)=1,A84&amp;"-included",0),0)</f>
        <v>0</v>
      </c>
      <c r="M84" s="32" cm="1">
        <f t="array" ref="M84">IF(ES_1[[#This Row],[Included Exp/Sus]]=1,IF(SUMPRODUCT((ES_1[STN]=ES_1[[#This Row],[STN]])*(ES_1[Included Exp/Sus]=1)*(ROW(ES_1[STN])&lt;=ROW()))=1,1,0),0)</f>
        <v>0</v>
      </c>
      <c r="N84" s="32" t="str">
        <f>_xlfn.XLOOKUP(ES_1[[#This Row],[STN]],SE_1[STN],SE_1[Ethnicity],"",0)</f>
        <v>White</v>
      </c>
    </row>
    <row r="85" spans="1:14" ht="14.45">
      <c r="A85" s="32">
        <v>22911058</v>
      </c>
      <c r="B85" s="32">
        <v>7</v>
      </c>
      <c r="C85" s="33">
        <v>2</v>
      </c>
      <c r="D85" s="32" t="s">
        <v>31</v>
      </c>
      <c r="E85" s="33">
        <v>10</v>
      </c>
      <c r="F85" s="32" t="s">
        <v>25</v>
      </c>
      <c r="G85" s="34">
        <v>1</v>
      </c>
      <c r="H85" s="32" t="s">
        <v>26</v>
      </c>
      <c r="I85" s="35">
        <f>SUMIFS(ES_1[LENGTH_EX_SU],ES_1[STN],ES_1[[#This Row],[STN]],ES_1[DISCIPLINE_TYPE],"Out-of-School Suspension")+SUMIFS(ES_1[LENGTH_EX_SU],ES_1[STN],ES_1[[#This Row],[STN]],ES_1[DISCIPLINE_TYPE],"Expulsion")</f>
        <v>1</v>
      </c>
      <c r="J85" s="32">
        <f>IF(ES_1[[#This Row],[Count Exp/Sus]]&gt;10,1,0)</f>
        <v>0</v>
      </c>
      <c r="K85" s="32" t="str">
        <f t="shared" si="2"/>
        <v>0</v>
      </c>
      <c r="L85" s="32">
        <f>IF(J85=1,IF(COUNTIFS($A$3:A85,A85,J$3:J85,1)=1,A85&amp;"-included",0),0)</f>
        <v>0</v>
      </c>
      <c r="M85" s="32" cm="1">
        <f t="array" ref="M85">IF(ES_1[[#This Row],[Included Exp/Sus]]=1,IF(SUMPRODUCT((ES_1[STN]=ES_1[[#This Row],[STN]])*(ES_1[Included Exp/Sus]=1)*(ROW(ES_1[STN])&lt;=ROW()))=1,1,0),0)</f>
        <v>0</v>
      </c>
      <c r="N85" s="32" t="str">
        <f>_xlfn.XLOOKUP(ES_1[[#This Row],[STN]],SE_1[STN],SE_1[Ethnicity],"",0)</f>
        <v>White</v>
      </c>
    </row>
    <row r="86" spans="1:14" ht="14.45">
      <c r="A86" s="32">
        <v>22911058</v>
      </c>
      <c r="B86" s="32">
        <v>7</v>
      </c>
      <c r="C86" s="33">
        <v>1</v>
      </c>
      <c r="D86" s="32" t="s">
        <v>24</v>
      </c>
      <c r="E86" s="33">
        <v>10</v>
      </c>
      <c r="F86" s="32" t="s">
        <v>25</v>
      </c>
      <c r="G86" s="34">
        <v>1</v>
      </c>
      <c r="H86" s="32" t="s">
        <v>26</v>
      </c>
      <c r="I86" s="35">
        <f>SUMIFS(ES_1[LENGTH_EX_SU],ES_1[STN],ES_1[[#This Row],[STN]],ES_1[DISCIPLINE_TYPE],"Out-of-School Suspension")+SUMIFS(ES_1[LENGTH_EX_SU],ES_1[STN],ES_1[[#This Row],[STN]],ES_1[DISCIPLINE_TYPE],"Expulsion")</f>
        <v>1</v>
      </c>
      <c r="J86" s="32">
        <f>IF(ES_1[[#This Row],[Count Exp/Sus]]&gt;10,1,0)</f>
        <v>0</v>
      </c>
      <c r="K86" s="32" t="str">
        <f t="shared" ref="K86:K117" si="3">TRIM(IF(J86=1,A86 &amp;"-included",0))</f>
        <v>0</v>
      </c>
      <c r="L86" s="32">
        <f>IF(J86=1,IF(COUNTIFS($A$3:A86,A86,J$3:J86,1)=1,A86&amp;"-included",0),0)</f>
        <v>0</v>
      </c>
      <c r="M86" s="32" cm="1">
        <f t="array" ref="M86">IF(ES_1[[#This Row],[Included Exp/Sus]]=1,IF(SUMPRODUCT((ES_1[STN]=ES_1[[#This Row],[STN]])*(ES_1[Included Exp/Sus]=1)*(ROW(ES_1[STN])&lt;=ROW()))=1,1,0),0)</f>
        <v>0</v>
      </c>
      <c r="N86" s="32" t="str">
        <f>_xlfn.XLOOKUP(ES_1[[#This Row],[STN]],SE_1[STN],SE_1[Ethnicity],"",0)</f>
        <v>White</v>
      </c>
    </row>
    <row r="87" spans="1:14" ht="14.45">
      <c r="A87" s="32">
        <v>22911078</v>
      </c>
      <c r="B87" s="32">
        <v>9</v>
      </c>
      <c r="C87" s="33">
        <v>1</v>
      </c>
      <c r="D87" s="32" t="s">
        <v>24</v>
      </c>
      <c r="E87" s="33">
        <v>16</v>
      </c>
      <c r="F87" s="32" t="s">
        <v>28</v>
      </c>
      <c r="G87" s="34">
        <v>1</v>
      </c>
      <c r="H87" s="32" t="s">
        <v>29</v>
      </c>
      <c r="I87" s="35">
        <f>SUMIFS(ES_1[LENGTH_EX_SU],ES_1[STN],ES_1[[#This Row],[STN]],ES_1[DISCIPLINE_TYPE],"Out-of-School Suspension")+SUMIFS(ES_1[LENGTH_EX_SU],ES_1[STN],ES_1[[#This Row],[STN]],ES_1[DISCIPLINE_TYPE],"Expulsion")</f>
        <v>0</v>
      </c>
      <c r="J87" s="32">
        <f>IF(ES_1[[#This Row],[Count Exp/Sus]]&gt;10,1,0)</f>
        <v>0</v>
      </c>
      <c r="K87" s="32" t="str">
        <f t="shared" si="3"/>
        <v>0</v>
      </c>
      <c r="L87" s="32">
        <f>IF(J87=1,IF(COUNTIFS($A$3:A87,A87,J$3:J87,1)=1,A87&amp;"-included",0),0)</f>
        <v>0</v>
      </c>
      <c r="M87" s="32" cm="1">
        <f t="array" ref="M87">IF(ES_1[[#This Row],[Included Exp/Sus]]=1,IF(SUMPRODUCT((ES_1[STN]=ES_1[[#This Row],[STN]])*(ES_1[Included Exp/Sus]=1)*(ROW(ES_1[STN])&lt;=ROW()))=1,1,0),0)</f>
        <v>0</v>
      </c>
      <c r="N87" s="32" t="str">
        <f>_xlfn.XLOOKUP(ES_1[[#This Row],[STN]],SE_1[STN],SE_1[Ethnicity],"",0)</f>
        <v/>
      </c>
    </row>
    <row r="88" spans="1:14" ht="14.45">
      <c r="A88" s="32">
        <v>22911078</v>
      </c>
      <c r="B88" s="32">
        <v>9</v>
      </c>
      <c r="C88" s="33">
        <v>1</v>
      </c>
      <c r="D88" s="32" t="s">
        <v>24</v>
      </c>
      <c r="E88" s="33">
        <v>16</v>
      </c>
      <c r="F88" s="32" t="s">
        <v>28</v>
      </c>
      <c r="G88" s="34">
        <v>1</v>
      </c>
      <c r="H88" s="32" t="s">
        <v>29</v>
      </c>
      <c r="I88" s="35">
        <f>SUMIFS(ES_1[LENGTH_EX_SU],ES_1[STN],ES_1[[#This Row],[STN]],ES_1[DISCIPLINE_TYPE],"Out-of-School Suspension")+SUMIFS(ES_1[LENGTH_EX_SU],ES_1[STN],ES_1[[#This Row],[STN]],ES_1[DISCIPLINE_TYPE],"Expulsion")</f>
        <v>0</v>
      </c>
      <c r="J88" s="32">
        <f>IF(ES_1[[#This Row],[Count Exp/Sus]]&gt;10,1,0)</f>
        <v>0</v>
      </c>
      <c r="K88" s="32" t="str">
        <f t="shared" si="3"/>
        <v>0</v>
      </c>
      <c r="L88" s="32">
        <f>IF(J88=1,IF(COUNTIFS($A$3:A88,A88,J$3:J88,1)=1,A88&amp;"-included",0),0)</f>
        <v>0</v>
      </c>
      <c r="M88" s="32" cm="1">
        <f t="array" ref="M88">IF(ES_1[[#This Row],[Included Exp/Sus]]=1,IF(SUMPRODUCT((ES_1[STN]=ES_1[[#This Row],[STN]])*(ES_1[Included Exp/Sus]=1)*(ROW(ES_1[STN])&lt;=ROW()))=1,1,0),0)</f>
        <v>0</v>
      </c>
      <c r="N88" s="32" t="str">
        <f>_xlfn.XLOOKUP(ES_1[[#This Row],[STN]],SE_1[STN],SE_1[Ethnicity],"",0)</f>
        <v/>
      </c>
    </row>
    <row r="89" spans="1:14" ht="14.45">
      <c r="A89" s="32">
        <v>22911078</v>
      </c>
      <c r="B89" s="32">
        <v>9</v>
      </c>
      <c r="C89" s="33">
        <v>1</v>
      </c>
      <c r="D89" s="32" t="s">
        <v>24</v>
      </c>
      <c r="E89" s="33">
        <v>16</v>
      </c>
      <c r="F89" s="32" t="s">
        <v>28</v>
      </c>
      <c r="G89" s="34">
        <v>1</v>
      </c>
      <c r="H89" s="32" t="s">
        <v>29</v>
      </c>
      <c r="I89" s="35">
        <f>SUMIFS(ES_1[LENGTH_EX_SU],ES_1[STN],ES_1[[#This Row],[STN]],ES_1[DISCIPLINE_TYPE],"Out-of-School Suspension")+SUMIFS(ES_1[LENGTH_EX_SU],ES_1[STN],ES_1[[#This Row],[STN]],ES_1[DISCIPLINE_TYPE],"Expulsion")</f>
        <v>0</v>
      </c>
      <c r="J89" s="32">
        <f>IF(ES_1[[#This Row],[Count Exp/Sus]]&gt;10,1,0)</f>
        <v>0</v>
      </c>
      <c r="K89" s="32" t="str">
        <f t="shared" si="3"/>
        <v>0</v>
      </c>
      <c r="L89" s="32">
        <f>IF(J89=1,IF(COUNTIFS($A$3:A89,A89,J$3:J89,1)=1,A89&amp;"-included",0),0)</f>
        <v>0</v>
      </c>
      <c r="M89" s="32" cm="1">
        <f t="array" ref="M89">IF(ES_1[[#This Row],[Included Exp/Sus]]=1,IF(SUMPRODUCT((ES_1[STN]=ES_1[[#This Row],[STN]])*(ES_1[Included Exp/Sus]=1)*(ROW(ES_1[STN])&lt;=ROW()))=1,1,0),0)</f>
        <v>0</v>
      </c>
      <c r="N89" s="32" t="str">
        <f>_xlfn.XLOOKUP(ES_1[[#This Row],[STN]],SE_1[STN],SE_1[Ethnicity],"",0)</f>
        <v/>
      </c>
    </row>
    <row r="90" spans="1:14" ht="14.45">
      <c r="A90" s="32">
        <v>22911078</v>
      </c>
      <c r="B90" s="32">
        <v>9</v>
      </c>
      <c r="C90" s="33">
        <v>1</v>
      </c>
      <c r="D90" s="32" t="s">
        <v>24</v>
      </c>
      <c r="E90" s="33">
        <v>16</v>
      </c>
      <c r="F90" s="32" t="s">
        <v>28</v>
      </c>
      <c r="G90" s="34">
        <v>1</v>
      </c>
      <c r="H90" s="32" t="s">
        <v>29</v>
      </c>
      <c r="I90" s="35">
        <f>SUMIFS(ES_1[LENGTH_EX_SU],ES_1[STN],ES_1[[#This Row],[STN]],ES_1[DISCIPLINE_TYPE],"Out-of-School Suspension")+SUMIFS(ES_1[LENGTH_EX_SU],ES_1[STN],ES_1[[#This Row],[STN]],ES_1[DISCIPLINE_TYPE],"Expulsion")</f>
        <v>0</v>
      </c>
      <c r="J90" s="32">
        <f>IF(ES_1[[#This Row],[Count Exp/Sus]]&gt;10,1,0)</f>
        <v>0</v>
      </c>
      <c r="K90" s="32" t="str">
        <f t="shared" si="3"/>
        <v>0</v>
      </c>
      <c r="L90" s="32">
        <f>IF(J90=1,IF(COUNTIFS($A$3:A90,A90,J$3:J90,1)=1,A90&amp;"-included",0),0)</f>
        <v>0</v>
      </c>
      <c r="M90" s="32" cm="1">
        <f t="array" ref="M90">IF(ES_1[[#This Row],[Included Exp/Sus]]=1,IF(SUMPRODUCT((ES_1[STN]=ES_1[[#This Row],[STN]])*(ES_1[Included Exp/Sus]=1)*(ROW(ES_1[STN])&lt;=ROW()))=1,1,0),0)</f>
        <v>0</v>
      </c>
      <c r="N90" s="32" t="str">
        <f>_xlfn.XLOOKUP(ES_1[[#This Row],[STN]],SE_1[STN],SE_1[Ethnicity],"",0)</f>
        <v/>
      </c>
    </row>
    <row r="91" spans="1:14" ht="14.45">
      <c r="A91" s="32">
        <v>22911078</v>
      </c>
      <c r="B91" s="32">
        <v>9</v>
      </c>
      <c r="C91" s="33">
        <v>1</v>
      </c>
      <c r="D91" s="32" t="s">
        <v>24</v>
      </c>
      <c r="E91" s="33">
        <v>10</v>
      </c>
      <c r="F91" s="32" t="s">
        <v>25</v>
      </c>
      <c r="G91" s="34">
        <v>1</v>
      </c>
      <c r="H91" s="32" t="s">
        <v>29</v>
      </c>
      <c r="I91" s="35">
        <f>SUMIFS(ES_1[LENGTH_EX_SU],ES_1[STN],ES_1[[#This Row],[STN]],ES_1[DISCIPLINE_TYPE],"Out-of-School Suspension")+SUMIFS(ES_1[LENGTH_EX_SU],ES_1[STN],ES_1[[#This Row],[STN]],ES_1[DISCIPLINE_TYPE],"Expulsion")</f>
        <v>0</v>
      </c>
      <c r="J91" s="32">
        <f>IF(ES_1[[#This Row],[Count Exp/Sus]]&gt;10,1,0)</f>
        <v>0</v>
      </c>
      <c r="K91" s="32" t="str">
        <f t="shared" si="3"/>
        <v>0</v>
      </c>
      <c r="L91" s="32">
        <f>IF(J91=1,IF(COUNTIFS($A$3:A91,A91,J$3:J91,1)=1,A91&amp;"-included",0),0)</f>
        <v>0</v>
      </c>
      <c r="M91" s="32" cm="1">
        <f t="array" ref="M91">IF(ES_1[[#This Row],[Included Exp/Sus]]=1,IF(SUMPRODUCT((ES_1[STN]=ES_1[[#This Row],[STN]])*(ES_1[Included Exp/Sus]=1)*(ROW(ES_1[STN])&lt;=ROW()))=1,1,0),0)</f>
        <v>0</v>
      </c>
      <c r="N91" s="32" t="str">
        <f>_xlfn.XLOOKUP(ES_1[[#This Row],[STN]],SE_1[STN],SE_1[Ethnicity],"",0)</f>
        <v/>
      </c>
    </row>
    <row r="92" spans="1:14" ht="14.45">
      <c r="A92" s="32">
        <v>22911078</v>
      </c>
      <c r="B92" s="32">
        <v>9</v>
      </c>
      <c r="C92" s="33">
        <v>1</v>
      </c>
      <c r="D92" s="32" t="s">
        <v>24</v>
      </c>
      <c r="E92" s="33">
        <v>16</v>
      </c>
      <c r="F92" s="32" t="s">
        <v>28</v>
      </c>
      <c r="G92" s="34">
        <v>3</v>
      </c>
      <c r="H92" s="32" t="s">
        <v>29</v>
      </c>
      <c r="I92" s="35">
        <f>SUMIFS(ES_1[LENGTH_EX_SU],ES_1[STN],ES_1[[#This Row],[STN]],ES_1[DISCIPLINE_TYPE],"Out-of-School Suspension")+SUMIFS(ES_1[LENGTH_EX_SU],ES_1[STN],ES_1[[#This Row],[STN]],ES_1[DISCIPLINE_TYPE],"Expulsion")</f>
        <v>0</v>
      </c>
      <c r="J92" s="32">
        <f>IF(ES_1[[#This Row],[Count Exp/Sus]]&gt;10,1,0)</f>
        <v>0</v>
      </c>
      <c r="K92" s="32" t="str">
        <f t="shared" si="3"/>
        <v>0</v>
      </c>
      <c r="L92" s="32">
        <f>IF(J92=1,IF(COUNTIFS($A$3:A92,A92,J$3:J92,1)=1,A92&amp;"-included",0),0)</f>
        <v>0</v>
      </c>
      <c r="M92" s="32" cm="1">
        <f t="array" ref="M92">IF(ES_1[[#This Row],[Included Exp/Sus]]=1,IF(SUMPRODUCT((ES_1[STN]=ES_1[[#This Row],[STN]])*(ES_1[Included Exp/Sus]=1)*(ROW(ES_1[STN])&lt;=ROW()))=1,1,0),0)</f>
        <v>0</v>
      </c>
      <c r="N92" s="32" t="str">
        <f>_xlfn.XLOOKUP(ES_1[[#This Row],[STN]],SE_1[STN],SE_1[Ethnicity],"",0)</f>
        <v/>
      </c>
    </row>
    <row r="93" spans="1:14" ht="14.45">
      <c r="A93" s="32">
        <v>22911078</v>
      </c>
      <c r="B93" s="32">
        <v>9</v>
      </c>
      <c r="C93" s="33">
        <v>1</v>
      </c>
      <c r="D93" s="32" t="s">
        <v>24</v>
      </c>
      <c r="E93" s="33">
        <v>16</v>
      </c>
      <c r="F93" s="32" t="s">
        <v>28</v>
      </c>
      <c r="G93" s="34">
        <v>1</v>
      </c>
      <c r="H93" s="32" t="s">
        <v>29</v>
      </c>
      <c r="I93" s="35">
        <f>SUMIFS(ES_1[LENGTH_EX_SU],ES_1[STN],ES_1[[#This Row],[STN]],ES_1[DISCIPLINE_TYPE],"Out-of-School Suspension")+SUMIFS(ES_1[LENGTH_EX_SU],ES_1[STN],ES_1[[#This Row],[STN]],ES_1[DISCIPLINE_TYPE],"Expulsion")</f>
        <v>0</v>
      </c>
      <c r="J93" s="32">
        <f>IF(ES_1[[#This Row],[Count Exp/Sus]]&gt;10,1,0)</f>
        <v>0</v>
      </c>
      <c r="K93" s="32" t="str">
        <f t="shared" si="3"/>
        <v>0</v>
      </c>
      <c r="L93" s="32">
        <f>IF(J93=1,IF(COUNTIFS($A$3:A93,A93,J$3:J93,1)=1,A93&amp;"-included",0),0)</f>
        <v>0</v>
      </c>
      <c r="M93" s="32" cm="1">
        <f t="array" ref="M93">IF(ES_1[[#This Row],[Included Exp/Sus]]=1,IF(SUMPRODUCT((ES_1[STN]=ES_1[[#This Row],[STN]])*(ES_1[Included Exp/Sus]=1)*(ROW(ES_1[STN])&lt;=ROW()))=1,1,0),0)</f>
        <v>0</v>
      </c>
      <c r="N93" s="32" t="str">
        <f>_xlfn.XLOOKUP(ES_1[[#This Row],[STN]],SE_1[STN],SE_1[Ethnicity],"",0)</f>
        <v/>
      </c>
    </row>
    <row r="94" spans="1:14" ht="14.45">
      <c r="A94" s="32">
        <v>22911078</v>
      </c>
      <c r="B94" s="32">
        <v>9</v>
      </c>
      <c r="C94" s="33">
        <v>1</v>
      </c>
      <c r="D94" s="32" t="s">
        <v>24</v>
      </c>
      <c r="E94" s="33">
        <v>16</v>
      </c>
      <c r="F94" s="32" t="s">
        <v>28</v>
      </c>
      <c r="G94" s="34">
        <v>3</v>
      </c>
      <c r="H94" s="32" t="s">
        <v>29</v>
      </c>
      <c r="I94" s="35">
        <f>SUMIFS(ES_1[LENGTH_EX_SU],ES_1[STN],ES_1[[#This Row],[STN]],ES_1[DISCIPLINE_TYPE],"Out-of-School Suspension")+SUMIFS(ES_1[LENGTH_EX_SU],ES_1[STN],ES_1[[#This Row],[STN]],ES_1[DISCIPLINE_TYPE],"Expulsion")</f>
        <v>0</v>
      </c>
      <c r="J94" s="32">
        <f>IF(ES_1[[#This Row],[Count Exp/Sus]]&gt;10,1,0)</f>
        <v>0</v>
      </c>
      <c r="K94" s="32" t="str">
        <f t="shared" si="3"/>
        <v>0</v>
      </c>
      <c r="L94" s="32">
        <f>IF(J94=1,IF(COUNTIFS($A$3:A94,A94,J$3:J94,1)=1,A94&amp;"-included",0),0)</f>
        <v>0</v>
      </c>
      <c r="M94" s="32" cm="1">
        <f t="array" ref="M94">IF(ES_1[[#This Row],[Included Exp/Sus]]=1,IF(SUMPRODUCT((ES_1[STN]=ES_1[[#This Row],[STN]])*(ES_1[Included Exp/Sus]=1)*(ROW(ES_1[STN])&lt;=ROW()))=1,1,0),0)</f>
        <v>0</v>
      </c>
      <c r="N94" s="32" t="str">
        <f>_xlfn.XLOOKUP(ES_1[[#This Row],[STN]],SE_1[STN],SE_1[Ethnicity],"",0)</f>
        <v/>
      </c>
    </row>
    <row r="95" spans="1:14" ht="14.45">
      <c r="A95" s="32">
        <v>22911142</v>
      </c>
      <c r="B95" s="32">
        <v>9</v>
      </c>
      <c r="C95" s="33">
        <v>2</v>
      </c>
      <c r="D95" s="32" t="s">
        <v>31</v>
      </c>
      <c r="E95" s="33">
        <v>7</v>
      </c>
      <c r="F95" s="32" t="s">
        <v>30</v>
      </c>
      <c r="G95" s="34">
        <v>4</v>
      </c>
      <c r="H95" s="32" t="s">
        <v>26</v>
      </c>
      <c r="I95" s="35">
        <f>SUMIFS(ES_1[LENGTH_EX_SU],ES_1[STN],ES_1[[#This Row],[STN]],ES_1[DISCIPLINE_TYPE],"Out-of-School Suspension")+SUMIFS(ES_1[LENGTH_EX_SU],ES_1[STN],ES_1[[#This Row],[STN]],ES_1[DISCIPLINE_TYPE],"Expulsion")</f>
        <v>9</v>
      </c>
      <c r="J95" s="32">
        <f>IF(ES_1[[#This Row],[Count Exp/Sus]]&gt;10,1,0)</f>
        <v>0</v>
      </c>
      <c r="K95" s="32" t="str">
        <f t="shared" si="3"/>
        <v>0</v>
      </c>
      <c r="L95" s="32">
        <f>IF(J95=1,IF(COUNTIFS($A$3:A95,A95,J$3:J95,1)=1,A95&amp;"-included",0),0)</f>
        <v>0</v>
      </c>
      <c r="M95" s="32" cm="1">
        <f t="array" ref="M95">IF(ES_1[[#This Row],[Included Exp/Sus]]=1,IF(SUMPRODUCT((ES_1[STN]=ES_1[[#This Row],[STN]])*(ES_1[Included Exp/Sus]=1)*(ROW(ES_1[STN])&lt;=ROW()))=1,1,0),0)</f>
        <v>0</v>
      </c>
      <c r="N95" s="32" t="str">
        <f>_xlfn.XLOOKUP(ES_1[[#This Row],[STN]],SE_1[STN],SE_1[Ethnicity],"",0)</f>
        <v>White</v>
      </c>
    </row>
    <row r="96" spans="1:14" ht="14.45">
      <c r="A96" s="32">
        <v>22911142</v>
      </c>
      <c r="B96" s="32">
        <v>9</v>
      </c>
      <c r="C96" s="33">
        <v>2</v>
      </c>
      <c r="D96" s="32" t="s">
        <v>31</v>
      </c>
      <c r="E96" s="33">
        <v>7</v>
      </c>
      <c r="F96" s="32" t="s">
        <v>30</v>
      </c>
      <c r="G96" s="34">
        <v>5</v>
      </c>
      <c r="H96" s="32" t="s">
        <v>26</v>
      </c>
      <c r="I96" s="35">
        <f>SUMIFS(ES_1[LENGTH_EX_SU],ES_1[STN],ES_1[[#This Row],[STN]],ES_1[DISCIPLINE_TYPE],"Out-of-School Suspension")+SUMIFS(ES_1[LENGTH_EX_SU],ES_1[STN],ES_1[[#This Row],[STN]],ES_1[DISCIPLINE_TYPE],"Expulsion")</f>
        <v>9</v>
      </c>
      <c r="J96" s="32">
        <f>IF(ES_1[[#This Row],[Count Exp/Sus]]&gt;10,1,0)</f>
        <v>0</v>
      </c>
      <c r="K96" s="32" t="str">
        <f t="shared" si="3"/>
        <v>0</v>
      </c>
      <c r="L96" s="32">
        <f>IF(J96=1,IF(COUNTIFS($A$3:A96,A96,J$3:J96,1)=1,A96&amp;"-included",0),0)</f>
        <v>0</v>
      </c>
      <c r="M96" s="32" cm="1">
        <f t="array" ref="M96">IF(ES_1[[#This Row],[Included Exp/Sus]]=1,IF(SUMPRODUCT((ES_1[STN]=ES_1[[#This Row],[STN]])*(ES_1[Included Exp/Sus]=1)*(ROW(ES_1[STN])&lt;=ROW()))=1,1,0),0)</f>
        <v>0</v>
      </c>
      <c r="N96" s="32" t="str">
        <f>_xlfn.XLOOKUP(ES_1[[#This Row],[STN]],SE_1[STN],SE_1[Ethnicity],"",0)</f>
        <v>White</v>
      </c>
    </row>
    <row r="97" spans="1:19" ht="14.45">
      <c r="A97" s="32">
        <v>22911143</v>
      </c>
      <c r="B97" s="32">
        <v>8</v>
      </c>
      <c r="C97" s="33">
        <v>2</v>
      </c>
      <c r="D97" s="32" t="s">
        <v>31</v>
      </c>
      <c r="E97" s="33">
        <v>15</v>
      </c>
      <c r="F97" s="32" t="s">
        <v>27</v>
      </c>
      <c r="G97" s="33">
        <v>1</v>
      </c>
      <c r="H97" s="32" t="s">
        <v>26</v>
      </c>
      <c r="I97" s="35">
        <f>SUMIFS(ES_1[LENGTH_EX_SU],ES_1[STN],ES_1[[#This Row],[STN]],ES_1[DISCIPLINE_TYPE],"Out-of-School Suspension")+SUMIFS(ES_1[LENGTH_EX_SU],ES_1[STN],ES_1[[#This Row],[STN]],ES_1[DISCIPLINE_TYPE],"Expulsion")</f>
        <v>10</v>
      </c>
      <c r="J97" s="32">
        <f>IF(ES_1[[#This Row],[Count Exp/Sus]]&gt;10,1,0)</f>
        <v>0</v>
      </c>
      <c r="K97" s="32" t="str">
        <f t="shared" si="3"/>
        <v>0</v>
      </c>
      <c r="L97" s="32">
        <f>IF(J97=1,IF(COUNTIFS($A$3:A97,A97,J$3:J97,1)=1,A97&amp;"-included",0),0)</f>
        <v>0</v>
      </c>
      <c r="M97" s="32" cm="1">
        <f t="array" ref="M97">IF(ES_1[[#This Row],[Included Exp/Sus]]=1,IF(SUMPRODUCT((ES_1[STN]=ES_1[[#This Row],[STN]])*(ES_1[Included Exp/Sus]=1)*(ROW(ES_1[STN])&lt;=ROW()))=1,1,0),0)</f>
        <v>0</v>
      </c>
      <c r="N97" s="32" t="str">
        <f>_xlfn.XLOOKUP(ES_1[[#This Row],[STN]],SE_1[STN],SE_1[Ethnicity],"",0)</f>
        <v>Multiracial (two or more races)</v>
      </c>
    </row>
    <row r="98" spans="1:19" ht="14.45">
      <c r="A98" s="32">
        <v>22911143</v>
      </c>
      <c r="B98" s="32">
        <v>8</v>
      </c>
      <c r="C98" s="33">
        <v>2</v>
      </c>
      <c r="D98" s="32" t="s">
        <v>31</v>
      </c>
      <c r="E98" s="33">
        <v>10</v>
      </c>
      <c r="F98" s="32" t="s">
        <v>25</v>
      </c>
      <c r="G98" s="34">
        <v>3</v>
      </c>
      <c r="H98" s="32" t="s">
        <v>26</v>
      </c>
      <c r="I98" s="35">
        <f>SUMIFS(ES_1[LENGTH_EX_SU],ES_1[STN],ES_1[[#This Row],[STN]],ES_1[DISCIPLINE_TYPE],"Out-of-School Suspension")+SUMIFS(ES_1[LENGTH_EX_SU],ES_1[STN],ES_1[[#This Row],[STN]],ES_1[DISCIPLINE_TYPE],"Expulsion")</f>
        <v>10</v>
      </c>
      <c r="J98" s="32">
        <f>IF(ES_1[[#This Row],[Count Exp/Sus]]&gt;10,1,0)</f>
        <v>0</v>
      </c>
      <c r="K98" s="32" t="str">
        <f t="shared" si="3"/>
        <v>0</v>
      </c>
      <c r="L98" s="32">
        <f>IF(J98=1,IF(COUNTIFS($A$3:A98,A98,J$3:J98,1)=1,A98&amp;"-included",0),0)</f>
        <v>0</v>
      </c>
      <c r="M98" s="32" cm="1">
        <f t="array" ref="M98">IF(ES_1[[#This Row],[Included Exp/Sus]]=1,IF(SUMPRODUCT((ES_1[STN]=ES_1[[#This Row],[STN]])*(ES_1[Included Exp/Sus]=1)*(ROW(ES_1[STN])&lt;=ROW()))=1,1,0),0)</f>
        <v>0</v>
      </c>
      <c r="N98" s="32" t="str">
        <f>_xlfn.XLOOKUP(ES_1[[#This Row],[STN]],SE_1[STN],SE_1[Ethnicity],"",0)</f>
        <v>Multiracial (two or more races)</v>
      </c>
    </row>
    <row r="99" spans="1:19" ht="14.45">
      <c r="A99" s="32">
        <v>22911143</v>
      </c>
      <c r="B99" s="32">
        <v>8</v>
      </c>
      <c r="C99" s="33">
        <v>2</v>
      </c>
      <c r="D99" s="32" t="s">
        <v>31</v>
      </c>
      <c r="E99" s="33">
        <v>15</v>
      </c>
      <c r="F99" s="32" t="s">
        <v>27</v>
      </c>
      <c r="G99" s="34">
        <v>4</v>
      </c>
      <c r="H99" s="32" t="s">
        <v>26</v>
      </c>
      <c r="I99" s="35">
        <f>SUMIFS(ES_1[LENGTH_EX_SU],ES_1[STN],ES_1[[#This Row],[STN]],ES_1[DISCIPLINE_TYPE],"Out-of-School Suspension")+SUMIFS(ES_1[LENGTH_EX_SU],ES_1[STN],ES_1[[#This Row],[STN]],ES_1[DISCIPLINE_TYPE],"Expulsion")</f>
        <v>10</v>
      </c>
      <c r="J99" s="32">
        <f>IF(ES_1[[#This Row],[Count Exp/Sus]]&gt;10,1,0)</f>
        <v>0</v>
      </c>
      <c r="K99" s="32" t="str">
        <f t="shared" si="3"/>
        <v>0</v>
      </c>
      <c r="L99" s="32">
        <f>IF(J99=1,IF(COUNTIFS($A$3:A99,A99,J$3:J99,1)=1,A99&amp;"-included",0),0)</f>
        <v>0</v>
      </c>
      <c r="M99" s="32" cm="1">
        <f t="array" ref="M99">IF(ES_1[[#This Row],[Included Exp/Sus]]=1,IF(SUMPRODUCT((ES_1[STN]=ES_1[[#This Row],[STN]])*(ES_1[Included Exp/Sus]=1)*(ROW(ES_1[STN])&lt;=ROW()))=1,1,0),0)</f>
        <v>0</v>
      </c>
      <c r="N99" s="32" t="str">
        <f>_xlfn.XLOOKUP(ES_1[[#This Row],[STN]],SE_1[STN],SE_1[Ethnicity],"",0)</f>
        <v>Multiracial (two or more races)</v>
      </c>
      <c r="Q99" t="str">
        <f>_xlfn.XLOOKUP(P99,ES_1[STN],ES_1[Count Exp/Sus],"",0)</f>
        <v/>
      </c>
      <c r="R99" t="str">
        <f>_xlfn.XLOOKUP(P99,ES_1[STN],ES_1[Unique Exp/Sus],"",0)</f>
        <v/>
      </c>
      <c r="S99" t="str">
        <f>_xlfn.XLOOKUP(P99,ES_1[STN],ES_1[SPECIAL_ED],"",0)</f>
        <v/>
      </c>
    </row>
    <row r="100" spans="1:19" ht="14.45">
      <c r="A100" s="32">
        <v>22911143</v>
      </c>
      <c r="B100" s="32">
        <v>8</v>
      </c>
      <c r="C100" s="33">
        <v>1</v>
      </c>
      <c r="D100" s="32" t="s">
        <v>24</v>
      </c>
      <c r="E100" s="33">
        <v>10</v>
      </c>
      <c r="F100" s="32" t="s">
        <v>25</v>
      </c>
      <c r="G100" s="34">
        <v>1</v>
      </c>
      <c r="H100" s="32" t="s">
        <v>26</v>
      </c>
      <c r="I100" s="35">
        <f>SUMIFS(ES_1[LENGTH_EX_SU],ES_1[STN],ES_1[[#This Row],[STN]],ES_1[DISCIPLINE_TYPE],"Out-of-School Suspension")+SUMIFS(ES_1[LENGTH_EX_SU],ES_1[STN],ES_1[[#This Row],[STN]],ES_1[DISCIPLINE_TYPE],"Expulsion")</f>
        <v>10</v>
      </c>
      <c r="J100" s="32">
        <f>IF(ES_1[[#This Row],[Count Exp/Sus]]&gt;10,1,0)</f>
        <v>0</v>
      </c>
      <c r="K100" s="32" t="str">
        <f t="shared" si="3"/>
        <v>0</v>
      </c>
      <c r="L100" s="32">
        <f>IF(J100=1,IF(COUNTIFS($A$3:A100,A100,J$3:J100,1)=1,A100&amp;"-included",0),0)</f>
        <v>0</v>
      </c>
      <c r="M100" s="32" cm="1">
        <f t="array" ref="M100">IF(ES_1[[#This Row],[Included Exp/Sus]]=1,IF(SUMPRODUCT((ES_1[STN]=ES_1[[#This Row],[STN]])*(ES_1[Included Exp/Sus]=1)*(ROW(ES_1[STN])&lt;=ROW()))=1,1,0),0)</f>
        <v>0</v>
      </c>
      <c r="N100" s="32" t="str">
        <f>_xlfn.XLOOKUP(ES_1[[#This Row],[STN]],SE_1[STN],SE_1[Ethnicity],"",0)</f>
        <v>Multiracial (two or more races)</v>
      </c>
      <c r="Q100" t="str">
        <f>_xlfn.XLOOKUP(P100,ES_1[STN],ES_1[Count Exp/Sus],"",0)</f>
        <v/>
      </c>
      <c r="R100" t="str">
        <f>_xlfn.XLOOKUP(P100,ES_1[STN],ES_1[Unique Exp/Sus],"",0)</f>
        <v/>
      </c>
      <c r="S100" t="str">
        <f>_xlfn.XLOOKUP(P100,ES_1[STN],ES_1[SPECIAL_ED],"",0)</f>
        <v/>
      </c>
    </row>
    <row r="101" spans="1:19" ht="14.45">
      <c r="A101" s="32">
        <v>22911143</v>
      </c>
      <c r="B101" s="32">
        <v>8</v>
      </c>
      <c r="C101" s="33">
        <v>2</v>
      </c>
      <c r="D101" s="32" t="s">
        <v>31</v>
      </c>
      <c r="E101" s="33">
        <v>14</v>
      </c>
      <c r="F101" s="32" t="s">
        <v>32</v>
      </c>
      <c r="G101" s="34">
        <v>2</v>
      </c>
      <c r="H101" s="32" t="s">
        <v>26</v>
      </c>
      <c r="I101" s="35">
        <f>SUMIFS(ES_1[LENGTH_EX_SU],ES_1[STN],ES_1[[#This Row],[STN]],ES_1[DISCIPLINE_TYPE],"Out-of-School Suspension")+SUMIFS(ES_1[LENGTH_EX_SU],ES_1[STN],ES_1[[#This Row],[STN]],ES_1[DISCIPLINE_TYPE],"Expulsion")</f>
        <v>10</v>
      </c>
      <c r="J101" s="32">
        <f>IF(ES_1[[#This Row],[Count Exp/Sus]]&gt;10,1,0)</f>
        <v>0</v>
      </c>
      <c r="K101" s="32" t="str">
        <f t="shared" si="3"/>
        <v>0</v>
      </c>
      <c r="L101" s="32">
        <f>IF(J101=1,IF(COUNTIFS($A$3:A101,A101,J$3:J101,1)=1,A101&amp;"-included",0),0)</f>
        <v>0</v>
      </c>
      <c r="M101" s="32" cm="1">
        <f t="array" ref="M101">IF(ES_1[[#This Row],[Included Exp/Sus]]=1,IF(SUMPRODUCT((ES_1[STN]=ES_1[[#This Row],[STN]])*(ES_1[Included Exp/Sus]=1)*(ROW(ES_1[STN])&lt;=ROW()))=1,1,0),0)</f>
        <v>0</v>
      </c>
      <c r="N101" s="32" t="str">
        <f>_xlfn.XLOOKUP(ES_1[[#This Row],[STN]],SE_1[STN],SE_1[Ethnicity],"",0)</f>
        <v>Multiracial (two or more races)</v>
      </c>
      <c r="Q101" t="str">
        <f>_xlfn.XLOOKUP(P101,ES_1[STN],ES_1[Count Exp/Sus],"",0)</f>
        <v/>
      </c>
      <c r="R101" t="str">
        <f>_xlfn.XLOOKUP(P101,ES_1[STN],ES_1[Unique Exp/Sus],"",0)</f>
        <v/>
      </c>
      <c r="S101" t="str">
        <f>_xlfn.XLOOKUP(P101,ES_1[STN],ES_1[SPECIAL_ED],"",0)</f>
        <v/>
      </c>
    </row>
    <row r="102" spans="1:19" ht="14.45">
      <c r="A102" s="32">
        <v>22911190</v>
      </c>
      <c r="B102" s="32">
        <v>9</v>
      </c>
      <c r="C102" s="33">
        <v>2</v>
      </c>
      <c r="D102" s="32" t="s">
        <v>31</v>
      </c>
      <c r="E102" s="33">
        <v>15</v>
      </c>
      <c r="F102" s="32" t="s">
        <v>27</v>
      </c>
      <c r="G102" s="34">
        <v>1</v>
      </c>
      <c r="H102" s="32" t="s">
        <v>29</v>
      </c>
      <c r="I102" s="35">
        <f>SUMIFS(ES_1[LENGTH_EX_SU],ES_1[STN],ES_1[[#This Row],[STN]],ES_1[DISCIPLINE_TYPE],"Out-of-School Suspension")+SUMIFS(ES_1[LENGTH_EX_SU],ES_1[STN],ES_1[[#This Row],[STN]],ES_1[DISCIPLINE_TYPE],"Expulsion")</f>
        <v>1</v>
      </c>
      <c r="J102" s="32">
        <f>IF(ES_1[[#This Row],[Count Exp/Sus]]&gt;10,1,0)</f>
        <v>0</v>
      </c>
      <c r="K102" s="32" t="str">
        <f t="shared" si="3"/>
        <v>0</v>
      </c>
      <c r="L102" s="32">
        <f>IF(J102=1,IF(COUNTIFS($A$3:A102,A102,J$3:J102,1)=1,A102&amp;"-included",0),0)</f>
        <v>0</v>
      </c>
      <c r="M102" s="32" cm="1">
        <f t="array" ref="M102">IF(ES_1[[#This Row],[Included Exp/Sus]]=1,IF(SUMPRODUCT((ES_1[STN]=ES_1[[#This Row],[STN]])*(ES_1[Included Exp/Sus]=1)*(ROW(ES_1[STN])&lt;=ROW()))=1,1,0),0)</f>
        <v>0</v>
      </c>
      <c r="N102" s="32" t="str">
        <f>_xlfn.XLOOKUP(ES_1[[#This Row],[STN]],SE_1[STN],SE_1[Ethnicity],"",0)</f>
        <v/>
      </c>
      <c r="Q102" t="str">
        <f>_xlfn.XLOOKUP(P102,ES_1[STN],ES_1[Count Exp/Sus],"",0)</f>
        <v/>
      </c>
      <c r="R102" t="str">
        <f>_xlfn.XLOOKUP(P102,ES_1[STN],ES_1[Unique Exp/Sus],"",0)</f>
        <v/>
      </c>
      <c r="S102" t="str">
        <f>_xlfn.XLOOKUP(P102,ES_1[STN],ES_1[SPECIAL_ED],"",0)</f>
        <v/>
      </c>
    </row>
    <row r="103" spans="1:19" ht="14.45">
      <c r="A103" s="32">
        <v>22911230</v>
      </c>
      <c r="B103" s="32">
        <v>7</v>
      </c>
      <c r="C103" s="33">
        <v>2</v>
      </c>
      <c r="D103" s="32" t="s">
        <v>31</v>
      </c>
      <c r="E103" s="33">
        <v>14</v>
      </c>
      <c r="F103" s="32" t="s">
        <v>32</v>
      </c>
      <c r="G103" s="34">
        <v>2</v>
      </c>
      <c r="H103" s="32" t="s">
        <v>29</v>
      </c>
      <c r="I103" s="35">
        <f>SUMIFS(ES_1[LENGTH_EX_SU],ES_1[STN],ES_1[[#This Row],[STN]],ES_1[DISCIPLINE_TYPE],"Out-of-School Suspension")+SUMIFS(ES_1[LENGTH_EX_SU],ES_1[STN],ES_1[[#This Row],[STN]],ES_1[DISCIPLINE_TYPE],"Expulsion")</f>
        <v>3</v>
      </c>
      <c r="J103" s="32">
        <f>IF(ES_1[[#This Row],[Count Exp/Sus]]&gt;10,1,0)</f>
        <v>0</v>
      </c>
      <c r="K103" s="32" t="str">
        <f t="shared" si="3"/>
        <v>0</v>
      </c>
      <c r="L103" s="32">
        <f>IF(J103=1,IF(COUNTIFS($A$3:A103,A103,J$3:J103,1)=1,A103&amp;"-included",0),0)</f>
        <v>0</v>
      </c>
      <c r="M103" s="32" cm="1">
        <f t="array" ref="M103">IF(ES_1[[#This Row],[Included Exp/Sus]]=1,IF(SUMPRODUCT((ES_1[STN]=ES_1[[#This Row],[STN]])*(ES_1[Included Exp/Sus]=1)*(ROW(ES_1[STN])&lt;=ROW()))=1,1,0),0)</f>
        <v>0</v>
      </c>
      <c r="N103" s="32" t="str">
        <f>_xlfn.XLOOKUP(ES_1[[#This Row],[STN]],SE_1[STN],SE_1[Ethnicity],"",0)</f>
        <v>Hispanic Ethnicity and of any race</v>
      </c>
      <c r="Q103" t="str">
        <f>_xlfn.XLOOKUP(P103,ES_1[STN],ES_1[Count Exp/Sus],"",0)</f>
        <v/>
      </c>
      <c r="R103" t="str">
        <f>_xlfn.XLOOKUP(P103,ES_1[STN],ES_1[Unique Exp/Sus],"",0)</f>
        <v/>
      </c>
      <c r="S103" t="str">
        <f>_xlfn.XLOOKUP(P103,ES_1[STN],ES_1[SPECIAL_ED],"",0)</f>
        <v/>
      </c>
    </row>
    <row r="104" spans="1:19" ht="14.45">
      <c r="A104" s="32">
        <v>22911230</v>
      </c>
      <c r="B104" s="32">
        <v>7</v>
      </c>
      <c r="C104" s="33">
        <v>2</v>
      </c>
      <c r="D104" s="32" t="s">
        <v>31</v>
      </c>
      <c r="E104" s="33">
        <v>14</v>
      </c>
      <c r="F104" s="32" t="s">
        <v>32</v>
      </c>
      <c r="G104" s="34">
        <v>1</v>
      </c>
      <c r="H104" s="32" t="s">
        <v>26</v>
      </c>
      <c r="I104" s="35">
        <f>SUMIFS(ES_1[LENGTH_EX_SU],ES_1[STN],ES_1[[#This Row],[STN]],ES_1[DISCIPLINE_TYPE],"Out-of-School Suspension")+SUMIFS(ES_1[LENGTH_EX_SU],ES_1[STN],ES_1[[#This Row],[STN]],ES_1[DISCIPLINE_TYPE],"Expulsion")</f>
        <v>3</v>
      </c>
      <c r="J104" s="32">
        <f>IF(ES_1[[#This Row],[Count Exp/Sus]]&gt;10,1,0)</f>
        <v>0</v>
      </c>
      <c r="K104" s="32" t="str">
        <f t="shared" si="3"/>
        <v>0</v>
      </c>
      <c r="L104" s="32">
        <f>IF(J104=1,IF(COUNTIFS($A$3:A104,A104,J$3:J104,1)=1,A104&amp;"-included",0),0)</f>
        <v>0</v>
      </c>
      <c r="M104" s="32" cm="1">
        <f t="array" ref="M104">IF(ES_1[[#This Row],[Included Exp/Sus]]=1,IF(SUMPRODUCT((ES_1[STN]=ES_1[[#This Row],[STN]])*(ES_1[Included Exp/Sus]=1)*(ROW(ES_1[STN])&lt;=ROW()))=1,1,0),0)</f>
        <v>0</v>
      </c>
      <c r="N104" s="32" t="str">
        <f>_xlfn.XLOOKUP(ES_1[[#This Row],[STN]],SE_1[STN],SE_1[Ethnicity],"",0)</f>
        <v>Hispanic Ethnicity and of any race</v>
      </c>
      <c r="Q104" t="str">
        <f>_xlfn.XLOOKUP(P104,ES_1[STN],ES_1[Count Exp/Sus],"",0)</f>
        <v/>
      </c>
      <c r="R104" t="str">
        <f>_xlfn.XLOOKUP(P104,ES_1[STN],ES_1[Unique Exp/Sus],"",0)</f>
        <v/>
      </c>
      <c r="S104" t="str">
        <f>_xlfn.XLOOKUP(P104,ES_1[STN],ES_1[SPECIAL_ED],"",0)</f>
        <v/>
      </c>
    </row>
    <row r="105" spans="1:19" ht="14.45">
      <c r="A105" s="32">
        <v>22911265</v>
      </c>
      <c r="B105" s="32">
        <v>7</v>
      </c>
      <c r="C105" s="33">
        <v>2</v>
      </c>
      <c r="D105" s="32" t="s">
        <v>31</v>
      </c>
      <c r="E105" s="33">
        <v>13</v>
      </c>
      <c r="F105" s="32" t="s">
        <v>34</v>
      </c>
      <c r="G105" s="34">
        <v>3</v>
      </c>
      <c r="H105" s="32" t="s">
        <v>29</v>
      </c>
      <c r="I105" s="35">
        <f>SUMIFS(ES_1[LENGTH_EX_SU],ES_1[STN],ES_1[[#This Row],[STN]],ES_1[DISCIPLINE_TYPE],"Out-of-School Suspension")+SUMIFS(ES_1[LENGTH_EX_SU],ES_1[STN],ES_1[[#This Row],[STN]],ES_1[DISCIPLINE_TYPE],"Expulsion")</f>
        <v>3</v>
      </c>
      <c r="J105" s="32">
        <f>IF(ES_1[[#This Row],[Count Exp/Sus]]&gt;10,1,0)</f>
        <v>0</v>
      </c>
      <c r="K105" s="32" t="str">
        <f t="shared" si="3"/>
        <v>0</v>
      </c>
      <c r="L105" s="32">
        <f>IF(J105=1,IF(COUNTIFS($A$3:A105,A105,J$3:J105,1)=1,A105&amp;"-included",0),0)</f>
        <v>0</v>
      </c>
      <c r="M105" s="32" cm="1">
        <f t="array" ref="M105">IF(ES_1[[#This Row],[Included Exp/Sus]]=1,IF(SUMPRODUCT((ES_1[STN]=ES_1[[#This Row],[STN]])*(ES_1[Included Exp/Sus]=1)*(ROW(ES_1[STN])&lt;=ROW()))=1,1,0),0)</f>
        <v>0</v>
      </c>
      <c r="N105" s="32" t="str">
        <f>_xlfn.XLOOKUP(ES_1[[#This Row],[STN]],SE_1[STN],SE_1[Ethnicity],"",0)</f>
        <v/>
      </c>
      <c r="Q105" t="str">
        <f>_xlfn.XLOOKUP(P105,ES_1[STN],ES_1[Count Exp/Sus],"",0)</f>
        <v/>
      </c>
      <c r="R105" t="str">
        <f>_xlfn.XLOOKUP(P105,ES_1[STN],ES_1[Unique Exp/Sus],"",0)</f>
        <v/>
      </c>
      <c r="S105" t="str">
        <f>_xlfn.XLOOKUP(P105,ES_1[STN],ES_1[SPECIAL_ED],"",0)</f>
        <v/>
      </c>
    </row>
    <row r="106" spans="1:19" ht="14.45">
      <c r="A106" s="32">
        <v>22911280</v>
      </c>
      <c r="B106" s="32">
        <v>6</v>
      </c>
      <c r="C106" s="33">
        <v>1</v>
      </c>
      <c r="D106" s="32" t="s">
        <v>24</v>
      </c>
      <c r="E106" s="33">
        <v>10</v>
      </c>
      <c r="F106" s="32" t="s">
        <v>25</v>
      </c>
      <c r="G106" s="34">
        <v>1</v>
      </c>
      <c r="H106" s="32" t="s">
        <v>29</v>
      </c>
      <c r="I106" s="35">
        <f>SUMIFS(ES_1[LENGTH_EX_SU],ES_1[STN],ES_1[[#This Row],[STN]],ES_1[DISCIPLINE_TYPE],"Out-of-School Suspension")+SUMIFS(ES_1[LENGTH_EX_SU],ES_1[STN],ES_1[[#This Row],[STN]],ES_1[DISCIPLINE_TYPE],"Expulsion")</f>
        <v>0</v>
      </c>
      <c r="J106" s="32">
        <f>IF(ES_1[[#This Row],[Count Exp/Sus]]&gt;10,1,0)</f>
        <v>0</v>
      </c>
      <c r="K106" s="32" t="str">
        <f t="shared" si="3"/>
        <v>0</v>
      </c>
      <c r="L106" s="32">
        <f>IF(J106=1,IF(COUNTIFS($A$3:A106,A106,J$3:J106,1)=1,A106&amp;"-included",0),0)</f>
        <v>0</v>
      </c>
      <c r="M106" s="32" cm="1">
        <f t="array" ref="M106">IF(ES_1[[#This Row],[Included Exp/Sus]]=1,IF(SUMPRODUCT((ES_1[STN]=ES_1[[#This Row],[STN]])*(ES_1[Included Exp/Sus]=1)*(ROW(ES_1[STN])&lt;=ROW()))=1,1,0),0)</f>
        <v>0</v>
      </c>
      <c r="N106" s="32" t="str">
        <f>_xlfn.XLOOKUP(ES_1[[#This Row],[STN]],SE_1[STN],SE_1[Ethnicity],"",0)</f>
        <v/>
      </c>
      <c r="Q106" t="str">
        <f>_xlfn.XLOOKUP(P106,ES_1[STN],ES_1[Count Exp/Sus],"",0)</f>
        <v/>
      </c>
      <c r="R106" t="str">
        <f>_xlfn.XLOOKUP(P106,ES_1[STN],ES_1[Unique Exp/Sus],"",0)</f>
        <v/>
      </c>
      <c r="S106" t="str">
        <f>_xlfn.XLOOKUP(P106,ES_1[STN],ES_1[SPECIAL_ED],"",0)</f>
        <v/>
      </c>
    </row>
    <row r="107" spans="1:19" ht="14.45">
      <c r="A107" s="32">
        <v>22912064</v>
      </c>
      <c r="B107" s="32">
        <v>7</v>
      </c>
      <c r="C107" s="33">
        <v>2</v>
      </c>
      <c r="D107" s="32" t="s">
        <v>31</v>
      </c>
      <c r="E107" s="33">
        <v>11</v>
      </c>
      <c r="F107" s="32" t="s">
        <v>36</v>
      </c>
      <c r="G107" s="34">
        <v>1</v>
      </c>
      <c r="H107" s="32" t="s">
        <v>26</v>
      </c>
      <c r="I107" s="35">
        <f>SUMIFS(ES_1[LENGTH_EX_SU],ES_1[STN],ES_1[[#This Row],[STN]],ES_1[DISCIPLINE_TYPE],"Out-of-School Suspension")+SUMIFS(ES_1[LENGTH_EX_SU],ES_1[STN],ES_1[[#This Row],[STN]],ES_1[DISCIPLINE_TYPE],"Expulsion")</f>
        <v>2</v>
      </c>
      <c r="J107" s="32">
        <f>IF(ES_1[[#This Row],[Count Exp/Sus]]&gt;10,1,0)</f>
        <v>0</v>
      </c>
      <c r="K107" s="32" t="str">
        <f t="shared" si="3"/>
        <v>0</v>
      </c>
      <c r="L107" s="32">
        <f>IF(J107=1,IF(COUNTIFS($A$3:A107,A107,J$3:J107,1)=1,A107&amp;"-included",0),0)</f>
        <v>0</v>
      </c>
      <c r="M107" s="32" cm="1">
        <f t="array" ref="M107">IF(ES_1[[#This Row],[Included Exp/Sus]]=1,IF(SUMPRODUCT((ES_1[STN]=ES_1[[#This Row],[STN]])*(ES_1[Included Exp/Sus]=1)*(ROW(ES_1[STN])&lt;=ROW()))=1,1,0),0)</f>
        <v>0</v>
      </c>
      <c r="N107" s="32" t="str">
        <f>_xlfn.XLOOKUP(ES_1[[#This Row],[STN]],SE_1[STN],SE_1[Ethnicity],"",0)</f>
        <v>White</v>
      </c>
      <c r="Q107" t="str">
        <f>_xlfn.XLOOKUP(P107,ES_1[STN],ES_1[Count Exp/Sus],"",0)</f>
        <v/>
      </c>
      <c r="R107" t="str">
        <f>_xlfn.XLOOKUP(P107,ES_1[STN],ES_1[Unique Exp/Sus],"",0)</f>
        <v/>
      </c>
      <c r="S107" t="str">
        <f>_xlfn.XLOOKUP(P107,ES_1[STN],ES_1[SPECIAL_ED],"",0)</f>
        <v/>
      </c>
    </row>
    <row r="108" spans="1:19" ht="14.45">
      <c r="A108" s="32">
        <v>22912064</v>
      </c>
      <c r="B108" s="32">
        <v>7</v>
      </c>
      <c r="C108" s="33">
        <v>1</v>
      </c>
      <c r="D108" s="32" t="s">
        <v>24</v>
      </c>
      <c r="E108" s="33">
        <v>10</v>
      </c>
      <c r="F108" s="32" t="s">
        <v>25</v>
      </c>
      <c r="G108" s="34">
        <v>1</v>
      </c>
      <c r="H108" s="32" t="s">
        <v>26</v>
      </c>
      <c r="I108" s="35">
        <f>SUMIFS(ES_1[LENGTH_EX_SU],ES_1[STN],ES_1[[#This Row],[STN]],ES_1[DISCIPLINE_TYPE],"Out-of-School Suspension")+SUMIFS(ES_1[LENGTH_EX_SU],ES_1[STN],ES_1[[#This Row],[STN]],ES_1[DISCIPLINE_TYPE],"Expulsion")</f>
        <v>2</v>
      </c>
      <c r="J108" s="32">
        <f>IF(ES_1[[#This Row],[Count Exp/Sus]]&gt;10,1,0)</f>
        <v>0</v>
      </c>
      <c r="K108" s="32" t="str">
        <f t="shared" si="3"/>
        <v>0</v>
      </c>
      <c r="L108" s="32">
        <f>IF(J108=1,IF(COUNTIFS($A$3:A108,A108,J$3:J108,1)=1,A108&amp;"-included",0),0)</f>
        <v>0</v>
      </c>
      <c r="M108" s="32" cm="1">
        <f t="array" ref="M108">IF(ES_1[[#This Row],[Included Exp/Sus]]=1,IF(SUMPRODUCT((ES_1[STN]=ES_1[[#This Row],[STN]])*(ES_1[Included Exp/Sus]=1)*(ROW(ES_1[STN])&lt;=ROW()))=1,1,0),0)</f>
        <v>0</v>
      </c>
      <c r="N108" s="32" t="str">
        <f>_xlfn.XLOOKUP(ES_1[[#This Row],[STN]],SE_1[STN],SE_1[Ethnicity],"",0)</f>
        <v>White</v>
      </c>
      <c r="Q108" t="str">
        <f>_xlfn.XLOOKUP(P108,ES_1[STN],ES_1[Count Exp/Sus],"",0)</f>
        <v/>
      </c>
      <c r="R108" t="str">
        <f>_xlfn.XLOOKUP(P108,ES_1[STN],ES_1[Unique Exp/Sus],"",0)</f>
        <v/>
      </c>
      <c r="S108" t="str">
        <f>_xlfn.XLOOKUP(P108,ES_1[STN],ES_1[SPECIAL_ED],"",0)</f>
        <v/>
      </c>
    </row>
    <row r="109" spans="1:19" ht="14.45">
      <c r="A109" s="32">
        <v>22912064</v>
      </c>
      <c r="B109" s="32">
        <v>7</v>
      </c>
      <c r="C109" s="33">
        <v>1</v>
      </c>
      <c r="D109" s="32" t="s">
        <v>24</v>
      </c>
      <c r="E109" s="33">
        <v>10</v>
      </c>
      <c r="F109" s="32" t="s">
        <v>25</v>
      </c>
      <c r="G109" s="34">
        <v>1</v>
      </c>
      <c r="H109" s="32" t="s">
        <v>26</v>
      </c>
      <c r="I109" s="35">
        <f>SUMIFS(ES_1[LENGTH_EX_SU],ES_1[STN],ES_1[[#This Row],[STN]],ES_1[DISCIPLINE_TYPE],"Out-of-School Suspension")+SUMIFS(ES_1[LENGTH_EX_SU],ES_1[STN],ES_1[[#This Row],[STN]],ES_1[DISCIPLINE_TYPE],"Expulsion")</f>
        <v>2</v>
      </c>
      <c r="J109" s="32">
        <f>IF(ES_1[[#This Row],[Count Exp/Sus]]&gt;10,1,0)</f>
        <v>0</v>
      </c>
      <c r="K109" s="32" t="str">
        <f t="shared" si="3"/>
        <v>0</v>
      </c>
      <c r="L109" s="32">
        <f>IF(J109=1,IF(COUNTIFS($A$3:A109,A109,J$3:J109,1)=1,A109&amp;"-included",0),0)</f>
        <v>0</v>
      </c>
      <c r="M109" s="32" cm="1">
        <f t="array" ref="M109">IF(ES_1[[#This Row],[Included Exp/Sus]]=1,IF(SUMPRODUCT((ES_1[STN]=ES_1[[#This Row],[STN]])*(ES_1[Included Exp/Sus]=1)*(ROW(ES_1[STN])&lt;=ROW()))=1,1,0),0)</f>
        <v>0</v>
      </c>
      <c r="N109" s="32" t="str">
        <f>_xlfn.XLOOKUP(ES_1[[#This Row],[STN]],SE_1[STN],SE_1[Ethnicity],"",0)</f>
        <v>White</v>
      </c>
      <c r="Q109" t="str">
        <f>_xlfn.XLOOKUP(P109,ES_1[STN],ES_1[Count Exp/Sus],"",0)</f>
        <v/>
      </c>
      <c r="R109" t="str">
        <f>_xlfn.XLOOKUP(P109,ES_1[STN],ES_1[Unique Exp/Sus],"",0)</f>
        <v/>
      </c>
      <c r="S109" t="str">
        <f>_xlfn.XLOOKUP(P109,ES_1[STN],ES_1[SPECIAL_ED],"",0)</f>
        <v/>
      </c>
    </row>
    <row r="110" spans="1:19" ht="14.45">
      <c r="A110" s="32">
        <v>22912064</v>
      </c>
      <c r="B110" s="32">
        <v>7</v>
      </c>
      <c r="C110" s="33">
        <v>2</v>
      </c>
      <c r="D110" s="32" t="s">
        <v>31</v>
      </c>
      <c r="E110" s="33">
        <v>11</v>
      </c>
      <c r="F110" s="32" t="s">
        <v>36</v>
      </c>
      <c r="G110" s="34">
        <v>1</v>
      </c>
      <c r="H110" s="32" t="s">
        <v>26</v>
      </c>
      <c r="I110" s="35">
        <f>SUMIFS(ES_1[LENGTH_EX_SU],ES_1[STN],ES_1[[#This Row],[STN]],ES_1[DISCIPLINE_TYPE],"Out-of-School Suspension")+SUMIFS(ES_1[LENGTH_EX_SU],ES_1[STN],ES_1[[#This Row],[STN]],ES_1[DISCIPLINE_TYPE],"Expulsion")</f>
        <v>2</v>
      </c>
      <c r="J110" s="32">
        <f>IF(ES_1[[#This Row],[Count Exp/Sus]]&gt;10,1,0)</f>
        <v>0</v>
      </c>
      <c r="K110" s="32" t="str">
        <f t="shared" si="3"/>
        <v>0</v>
      </c>
      <c r="L110" s="32">
        <f>IF(J110=1,IF(COUNTIFS($A$3:A110,A110,J$3:J110,1)=1,A110&amp;"-included",0),0)</f>
        <v>0</v>
      </c>
      <c r="M110" s="32" cm="1">
        <f t="array" ref="M110">IF(ES_1[[#This Row],[Included Exp/Sus]]=1,IF(SUMPRODUCT((ES_1[STN]=ES_1[[#This Row],[STN]])*(ES_1[Included Exp/Sus]=1)*(ROW(ES_1[STN])&lt;=ROW()))=1,1,0),0)</f>
        <v>0</v>
      </c>
      <c r="N110" s="32" t="str">
        <f>_xlfn.XLOOKUP(ES_1[[#This Row],[STN]],SE_1[STN],SE_1[Ethnicity],"",0)</f>
        <v>White</v>
      </c>
      <c r="Q110" t="str">
        <f>_xlfn.XLOOKUP(P110,ES_1[STN],ES_1[Count Exp/Sus],"",0)</f>
        <v/>
      </c>
      <c r="R110" t="str">
        <f>_xlfn.XLOOKUP(P110,ES_1[STN],ES_1[Unique Exp/Sus],"",0)</f>
        <v/>
      </c>
      <c r="S110" t="str">
        <f>_xlfn.XLOOKUP(P110,ES_1[STN],ES_1[SPECIAL_ED],"",0)</f>
        <v/>
      </c>
    </row>
    <row r="111" spans="1:19" ht="14.45">
      <c r="A111" s="32">
        <v>22912065</v>
      </c>
      <c r="B111" s="32">
        <v>7</v>
      </c>
      <c r="C111" s="33">
        <v>2</v>
      </c>
      <c r="D111" s="32" t="s">
        <v>31</v>
      </c>
      <c r="E111" s="33">
        <v>13</v>
      </c>
      <c r="F111" s="32" t="s">
        <v>34</v>
      </c>
      <c r="G111" s="34">
        <v>10</v>
      </c>
      <c r="H111" s="32" t="s">
        <v>29</v>
      </c>
      <c r="I111" s="35">
        <f>SUMIFS(ES_1[LENGTH_EX_SU],ES_1[STN],ES_1[[#This Row],[STN]],ES_1[DISCIPLINE_TYPE],"Out-of-School Suspension")+SUMIFS(ES_1[LENGTH_EX_SU],ES_1[STN],ES_1[[#This Row],[STN]],ES_1[DISCIPLINE_TYPE],"Expulsion")</f>
        <v>10</v>
      </c>
      <c r="J111" s="32">
        <f>IF(ES_1[[#This Row],[Count Exp/Sus]]&gt;10,1,0)</f>
        <v>0</v>
      </c>
      <c r="K111" s="32" t="str">
        <f t="shared" si="3"/>
        <v>0</v>
      </c>
      <c r="L111" s="32">
        <f>IF(J111=1,IF(COUNTIFS($A$3:A111,A111,J$3:J111,1)=1,A111&amp;"-included",0),0)</f>
        <v>0</v>
      </c>
      <c r="M111" s="32" cm="1">
        <f t="array" ref="M111">IF(ES_1[[#This Row],[Included Exp/Sus]]=1,IF(SUMPRODUCT((ES_1[STN]=ES_1[[#This Row],[STN]])*(ES_1[Included Exp/Sus]=1)*(ROW(ES_1[STN])&lt;=ROW()))=1,1,0),0)</f>
        <v>0</v>
      </c>
      <c r="N111" s="32" t="str">
        <f>_xlfn.XLOOKUP(ES_1[[#This Row],[STN]],SE_1[STN],SE_1[Ethnicity],"",0)</f>
        <v/>
      </c>
      <c r="Q111" t="str">
        <f>_xlfn.XLOOKUP(P111,ES_1[STN],ES_1[Count Exp/Sus],"",0)</f>
        <v/>
      </c>
      <c r="R111" t="str">
        <f>_xlfn.XLOOKUP(P111,ES_1[STN],ES_1[Unique Exp/Sus],"",0)</f>
        <v/>
      </c>
      <c r="S111" t="str">
        <f>_xlfn.XLOOKUP(P111,ES_1[STN],ES_1[SPECIAL_ED],"",0)</f>
        <v/>
      </c>
    </row>
    <row r="112" spans="1:19" ht="14.45">
      <c r="A112" s="32">
        <v>22912065</v>
      </c>
      <c r="B112" s="32">
        <v>7</v>
      </c>
      <c r="C112" s="33">
        <v>1</v>
      </c>
      <c r="D112" s="32" t="s">
        <v>24</v>
      </c>
      <c r="E112" s="33">
        <v>15</v>
      </c>
      <c r="F112" s="32" t="s">
        <v>27</v>
      </c>
      <c r="G112" s="34">
        <v>1</v>
      </c>
      <c r="H112" s="32" t="s">
        <v>29</v>
      </c>
      <c r="I112" s="35">
        <f>SUMIFS(ES_1[LENGTH_EX_SU],ES_1[STN],ES_1[[#This Row],[STN]],ES_1[DISCIPLINE_TYPE],"Out-of-School Suspension")+SUMIFS(ES_1[LENGTH_EX_SU],ES_1[STN],ES_1[[#This Row],[STN]],ES_1[DISCIPLINE_TYPE],"Expulsion")</f>
        <v>10</v>
      </c>
      <c r="J112" s="32">
        <f>IF(ES_1[[#This Row],[Count Exp/Sus]]&gt;10,1,0)</f>
        <v>0</v>
      </c>
      <c r="K112" s="32" t="str">
        <f t="shared" si="3"/>
        <v>0</v>
      </c>
      <c r="L112" s="32">
        <f>IF(J112=1,IF(COUNTIFS($A$3:A112,A112,J$3:J112,1)=1,A112&amp;"-included",0),0)</f>
        <v>0</v>
      </c>
      <c r="M112" s="32" cm="1">
        <f t="array" ref="M112">IF(ES_1[[#This Row],[Included Exp/Sus]]=1,IF(SUMPRODUCT((ES_1[STN]=ES_1[[#This Row],[STN]])*(ES_1[Included Exp/Sus]=1)*(ROW(ES_1[STN])&lt;=ROW()))=1,1,0),0)</f>
        <v>0</v>
      </c>
      <c r="N112" s="32" t="str">
        <f>_xlfn.XLOOKUP(ES_1[[#This Row],[STN]],SE_1[STN],SE_1[Ethnicity],"",0)</f>
        <v/>
      </c>
      <c r="Q112" t="str">
        <f>_xlfn.XLOOKUP(P112,ES_1[STN],ES_1[Count Exp/Sus],"",0)</f>
        <v/>
      </c>
      <c r="R112" t="str">
        <f>_xlfn.XLOOKUP(P112,ES_1[STN],ES_1[Unique Exp/Sus],"",0)</f>
        <v/>
      </c>
      <c r="S112" t="str">
        <f>_xlfn.XLOOKUP(P112,ES_1[STN],ES_1[SPECIAL_ED],"",0)</f>
        <v/>
      </c>
    </row>
    <row r="113" spans="1:19" ht="14.45">
      <c r="A113" s="32">
        <v>22912090</v>
      </c>
      <c r="B113" s="32">
        <v>8</v>
      </c>
      <c r="C113" s="33">
        <v>1</v>
      </c>
      <c r="D113" s="32" t="s">
        <v>24</v>
      </c>
      <c r="E113" s="33">
        <v>14</v>
      </c>
      <c r="F113" s="32" t="s">
        <v>32</v>
      </c>
      <c r="G113" s="34">
        <v>2</v>
      </c>
      <c r="H113" s="32" t="s">
        <v>29</v>
      </c>
      <c r="I113" s="35">
        <f>SUMIFS(ES_1[LENGTH_EX_SU],ES_1[STN],ES_1[[#This Row],[STN]],ES_1[DISCIPLINE_TYPE],"Out-of-School Suspension")+SUMIFS(ES_1[LENGTH_EX_SU],ES_1[STN],ES_1[[#This Row],[STN]],ES_1[DISCIPLINE_TYPE],"Expulsion")</f>
        <v>0</v>
      </c>
      <c r="J113" s="32">
        <f>IF(ES_1[[#This Row],[Count Exp/Sus]]&gt;10,1,0)</f>
        <v>0</v>
      </c>
      <c r="K113" s="32" t="str">
        <f t="shared" si="3"/>
        <v>0</v>
      </c>
      <c r="L113" s="32">
        <f>IF(J113=1,IF(COUNTIFS($A$3:A113,A113,J$3:J113,1)=1,A113&amp;"-included",0),0)</f>
        <v>0</v>
      </c>
      <c r="M113" s="32" cm="1">
        <f t="array" ref="M113">IF(ES_1[[#This Row],[Included Exp/Sus]]=1,IF(SUMPRODUCT((ES_1[STN]=ES_1[[#This Row],[STN]])*(ES_1[Included Exp/Sus]=1)*(ROW(ES_1[STN])&lt;=ROW()))=1,1,0),0)</f>
        <v>0</v>
      </c>
      <c r="N113" s="32" t="str">
        <f>_xlfn.XLOOKUP(ES_1[[#This Row],[STN]],SE_1[STN],SE_1[Ethnicity],"",0)</f>
        <v/>
      </c>
      <c r="Q113" t="str">
        <f>_xlfn.XLOOKUP(P113,ES_1[STN],ES_1[Count Exp/Sus],"",0)</f>
        <v/>
      </c>
      <c r="R113" t="str">
        <f>_xlfn.XLOOKUP(P113,ES_1[STN],ES_1[Unique Exp/Sus],"",0)</f>
        <v/>
      </c>
      <c r="S113" t="str">
        <f>_xlfn.XLOOKUP(P113,ES_1[STN],ES_1[SPECIAL_ED],"",0)</f>
        <v/>
      </c>
    </row>
    <row r="114" spans="1:19" ht="14.45">
      <c r="A114" s="32">
        <v>22912234</v>
      </c>
      <c r="B114" s="32">
        <v>4</v>
      </c>
      <c r="C114" s="33">
        <v>1</v>
      </c>
      <c r="D114" s="32" t="s">
        <v>24</v>
      </c>
      <c r="E114" s="33">
        <v>11</v>
      </c>
      <c r="F114" s="32" t="s">
        <v>36</v>
      </c>
      <c r="G114" s="33">
        <v>15</v>
      </c>
      <c r="H114" s="32" t="s">
        <v>26</v>
      </c>
      <c r="I114" s="35">
        <f>SUMIFS(ES_1[LENGTH_EX_SU],ES_1[STN],ES_1[[#This Row],[STN]],ES_1[DISCIPLINE_TYPE],"Out-of-School Suspension")+SUMIFS(ES_1[LENGTH_EX_SU],ES_1[STN],ES_1[[#This Row],[STN]],ES_1[DISCIPLINE_TYPE],"Expulsion")</f>
        <v>0</v>
      </c>
      <c r="J114" s="32">
        <f>IF(ES_1[[#This Row],[Count Exp/Sus]]&gt;10,1,0)</f>
        <v>0</v>
      </c>
      <c r="K114" s="32" t="str">
        <f t="shared" si="3"/>
        <v>0</v>
      </c>
      <c r="L114" s="32">
        <f>IF(J114=1,IF(COUNTIFS($A$3:A114,A114,J$3:J114,1)=1,A114&amp;"-included",0),0)</f>
        <v>0</v>
      </c>
      <c r="M114" s="32" cm="1">
        <f t="array" ref="M114">IF(ES_1[[#This Row],[Included Exp/Sus]]=1,IF(SUMPRODUCT((ES_1[STN]=ES_1[[#This Row],[STN]])*(ES_1[Included Exp/Sus]=1)*(ROW(ES_1[STN])&lt;=ROW()))=1,1,0),0)</f>
        <v>0</v>
      </c>
      <c r="N114" s="32" t="str">
        <f>_xlfn.XLOOKUP(ES_1[[#This Row],[STN]],SE_1[STN],SE_1[Ethnicity],"",0)</f>
        <v>White</v>
      </c>
      <c r="Q114" t="str">
        <f>_xlfn.XLOOKUP(P114,ES_1[STN],ES_1[Count Exp/Sus],"",0)</f>
        <v/>
      </c>
      <c r="R114" t="str">
        <f>_xlfn.XLOOKUP(P114,ES_1[STN],ES_1[Unique Exp/Sus],"",0)</f>
        <v/>
      </c>
      <c r="S114" t="str">
        <f>_xlfn.XLOOKUP(P114,ES_1[STN],ES_1[SPECIAL_ED],"",0)</f>
        <v/>
      </c>
    </row>
    <row r="115" spans="1:19" ht="14.45">
      <c r="A115" s="32">
        <v>22912273</v>
      </c>
      <c r="B115" s="32">
        <v>6</v>
      </c>
      <c r="C115" s="33">
        <v>2</v>
      </c>
      <c r="D115" s="32" t="s">
        <v>31</v>
      </c>
      <c r="E115" s="33">
        <v>11</v>
      </c>
      <c r="F115" s="32" t="s">
        <v>36</v>
      </c>
      <c r="G115" s="33">
        <v>2</v>
      </c>
      <c r="H115" s="32" t="s">
        <v>26</v>
      </c>
      <c r="I115" s="35">
        <f>SUMIFS(ES_1[LENGTH_EX_SU],ES_1[STN],ES_1[[#This Row],[STN]],ES_1[DISCIPLINE_TYPE],"Out-of-School Suspension")+SUMIFS(ES_1[LENGTH_EX_SU],ES_1[STN],ES_1[[#This Row],[STN]],ES_1[DISCIPLINE_TYPE],"Expulsion")</f>
        <v>2</v>
      </c>
      <c r="J115" s="32">
        <f>IF(ES_1[[#This Row],[Count Exp/Sus]]&gt;10,1,0)</f>
        <v>0</v>
      </c>
      <c r="K115" s="32" t="str">
        <f t="shared" si="3"/>
        <v>0</v>
      </c>
      <c r="L115" s="32">
        <f>IF(J115=1,IF(COUNTIFS($A$3:A115,A115,J$3:J115,1)=1,A115&amp;"-included",0),0)</f>
        <v>0</v>
      </c>
      <c r="M115" s="32" cm="1">
        <f t="array" ref="M115">IF(ES_1[[#This Row],[Included Exp/Sus]]=1,IF(SUMPRODUCT((ES_1[STN]=ES_1[[#This Row],[STN]])*(ES_1[Included Exp/Sus]=1)*(ROW(ES_1[STN])&lt;=ROW()))=1,1,0),0)</f>
        <v>0</v>
      </c>
      <c r="N115" s="32" t="str">
        <f>_xlfn.XLOOKUP(ES_1[[#This Row],[STN]],SE_1[STN],SE_1[Ethnicity],"",0)</f>
        <v>White</v>
      </c>
      <c r="Q115" t="str">
        <f>_xlfn.XLOOKUP(P115,ES_1[STN],ES_1[Count Exp/Sus],"",0)</f>
        <v/>
      </c>
      <c r="R115" t="str">
        <f>_xlfn.XLOOKUP(P115,ES_1[STN],ES_1[Unique Exp/Sus],"",0)</f>
        <v/>
      </c>
      <c r="S115" t="str">
        <f>_xlfn.XLOOKUP(P115,ES_1[STN],ES_1[SPECIAL_ED],"",0)</f>
        <v/>
      </c>
    </row>
    <row r="116" spans="1:19" ht="14.45">
      <c r="A116" s="32">
        <v>22912405</v>
      </c>
      <c r="B116" s="32">
        <v>5</v>
      </c>
      <c r="C116" s="33">
        <v>1</v>
      </c>
      <c r="D116" s="32" t="s">
        <v>24</v>
      </c>
      <c r="E116" s="33">
        <v>15</v>
      </c>
      <c r="F116" s="32" t="s">
        <v>27</v>
      </c>
      <c r="G116" s="34">
        <v>1</v>
      </c>
      <c r="H116" s="32" t="s">
        <v>26</v>
      </c>
      <c r="I116" s="35">
        <f>SUMIFS(ES_1[LENGTH_EX_SU],ES_1[STN],ES_1[[#This Row],[STN]],ES_1[DISCIPLINE_TYPE],"Out-of-School Suspension")+SUMIFS(ES_1[LENGTH_EX_SU],ES_1[STN],ES_1[[#This Row],[STN]],ES_1[DISCIPLINE_TYPE],"Expulsion")</f>
        <v>0</v>
      </c>
      <c r="J116" s="32">
        <f>IF(ES_1[[#This Row],[Count Exp/Sus]]&gt;10,1,0)</f>
        <v>0</v>
      </c>
      <c r="K116" s="32" t="str">
        <f t="shared" si="3"/>
        <v>0</v>
      </c>
      <c r="L116" s="32">
        <f>IF(J116=1,IF(COUNTIFS($A$3:A116,A116,J$3:J116,1)=1,A116&amp;"-included",0),0)</f>
        <v>0</v>
      </c>
      <c r="M116" s="32" cm="1">
        <f t="array" ref="M116">IF(ES_1[[#This Row],[Included Exp/Sus]]=1,IF(SUMPRODUCT((ES_1[STN]=ES_1[[#This Row],[STN]])*(ES_1[Included Exp/Sus]=1)*(ROW(ES_1[STN])&lt;=ROW()))=1,1,0),0)</f>
        <v>0</v>
      </c>
      <c r="N116" s="32" t="str">
        <f>_xlfn.XLOOKUP(ES_1[[#This Row],[STN]],SE_1[STN],SE_1[Ethnicity],"",0)</f>
        <v>White</v>
      </c>
      <c r="Q116" t="str">
        <f>_xlfn.XLOOKUP(P116,ES_1[STN],ES_1[Count Exp/Sus],"",0)</f>
        <v/>
      </c>
      <c r="R116" t="str">
        <f>_xlfn.XLOOKUP(P116,ES_1[STN],ES_1[Unique Exp/Sus],"",0)</f>
        <v/>
      </c>
      <c r="S116" t="str">
        <f>_xlfn.XLOOKUP(P116,ES_1[STN],ES_1[SPECIAL_ED],"",0)</f>
        <v/>
      </c>
    </row>
    <row r="117" spans="1:19" ht="14.45">
      <c r="A117" s="32">
        <v>22912476</v>
      </c>
      <c r="B117" s="32">
        <v>5</v>
      </c>
      <c r="C117" s="33">
        <v>1</v>
      </c>
      <c r="D117" s="32" t="s">
        <v>24</v>
      </c>
      <c r="E117" s="33">
        <v>10</v>
      </c>
      <c r="F117" s="32" t="s">
        <v>25</v>
      </c>
      <c r="G117" s="33">
        <v>1</v>
      </c>
      <c r="H117" s="32" t="s">
        <v>29</v>
      </c>
      <c r="I117" s="35">
        <f>SUMIFS(ES_1[LENGTH_EX_SU],ES_1[STN],ES_1[[#This Row],[STN]],ES_1[DISCIPLINE_TYPE],"Out-of-School Suspension")+SUMIFS(ES_1[LENGTH_EX_SU],ES_1[STN],ES_1[[#This Row],[STN]],ES_1[DISCIPLINE_TYPE],"Expulsion")</f>
        <v>6</v>
      </c>
      <c r="J117" s="32">
        <f>IF(ES_1[[#This Row],[Count Exp/Sus]]&gt;10,1,0)</f>
        <v>0</v>
      </c>
      <c r="K117" s="32" t="str">
        <f t="shared" si="3"/>
        <v>0</v>
      </c>
      <c r="L117" s="32">
        <f>IF(J117=1,IF(COUNTIFS($A$3:A117,A117,J$3:J117,1)=1,A117&amp;"-included",0),0)</f>
        <v>0</v>
      </c>
      <c r="M117" s="32" cm="1">
        <f t="array" ref="M117">IF(ES_1[[#This Row],[Included Exp/Sus]]=1,IF(SUMPRODUCT((ES_1[STN]=ES_1[[#This Row],[STN]])*(ES_1[Included Exp/Sus]=1)*(ROW(ES_1[STN])&lt;=ROW()))=1,1,0),0)</f>
        <v>0</v>
      </c>
      <c r="N117" s="32" t="str">
        <f>_xlfn.XLOOKUP(ES_1[[#This Row],[STN]],SE_1[STN],SE_1[Ethnicity],"",0)</f>
        <v/>
      </c>
      <c r="Q117" t="str">
        <f>_xlfn.XLOOKUP(P117,ES_1[STN],ES_1[Count Exp/Sus],"",0)</f>
        <v/>
      </c>
      <c r="R117" t="str">
        <f>_xlfn.XLOOKUP(P117,ES_1[STN],ES_1[Unique Exp/Sus],"",0)</f>
        <v/>
      </c>
      <c r="S117" t="str">
        <f>_xlfn.XLOOKUP(P117,ES_1[STN],ES_1[SPECIAL_ED],"",0)</f>
        <v/>
      </c>
    </row>
    <row r="118" spans="1:19" ht="14.45">
      <c r="A118" s="32">
        <v>22912476</v>
      </c>
      <c r="B118" s="32">
        <v>5</v>
      </c>
      <c r="C118" s="33">
        <v>2</v>
      </c>
      <c r="D118" s="32" t="s">
        <v>31</v>
      </c>
      <c r="E118" s="33">
        <v>13</v>
      </c>
      <c r="F118" s="32" t="s">
        <v>34</v>
      </c>
      <c r="G118" s="33">
        <v>1</v>
      </c>
      <c r="H118" s="32" t="s">
        <v>29</v>
      </c>
      <c r="I118" s="35">
        <f>SUMIFS(ES_1[LENGTH_EX_SU],ES_1[STN],ES_1[[#This Row],[STN]],ES_1[DISCIPLINE_TYPE],"Out-of-School Suspension")+SUMIFS(ES_1[LENGTH_EX_SU],ES_1[STN],ES_1[[#This Row],[STN]],ES_1[DISCIPLINE_TYPE],"Expulsion")</f>
        <v>6</v>
      </c>
      <c r="J118" s="32">
        <f>IF(ES_1[[#This Row],[Count Exp/Sus]]&gt;10,1,0)</f>
        <v>0</v>
      </c>
      <c r="K118" s="32" t="str">
        <f t="shared" ref="K118:K149" si="4">TRIM(IF(J118=1,A118 &amp;"-included",0))</f>
        <v>0</v>
      </c>
      <c r="L118" s="32">
        <f>IF(J118=1,IF(COUNTIFS($A$3:A118,A118,J$3:J118,1)=1,A118&amp;"-included",0),0)</f>
        <v>0</v>
      </c>
      <c r="M118" s="32" cm="1">
        <f t="array" ref="M118">IF(ES_1[[#This Row],[Included Exp/Sus]]=1,IF(SUMPRODUCT((ES_1[STN]=ES_1[[#This Row],[STN]])*(ES_1[Included Exp/Sus]=1)*(ROW(ES_1[STN])&lt;=ROW()))=1,1,0),0)</f>
        <v>0</v>
      </c>
      <c r="N118" s="32" t="str">
        <f>_xlfn.XLOOKUP(ES_1[[#This Row],[STN]],SE_1[STN],SE_1[Ethnicity],"",0)</f>
        <v/>
      </c>
      <c r="Q118" t="str">
        <f>_xlfn.XLOOKUP(P118,ES_1[STN],ES_1[Count Exp/Sus],"",0)</f>
        <v/>
      </c>
      <c r="R118" t="str">
        <f>_xlfn.XLOOKUP(P118,ES_1[STN],ES_1[Unique Exp/Sus],"",0)</f>
        <v/>
      </c>
      <c r="S118" t="str">
        <f>_xlfn.XLOOKUP(P118,ES_1[STN],ES_1[SPECIAL_ED],"",0)</f>
        <v/>
      </c>
    </row>
    <row r="119" spans="1:19" ht="14.45">
      <c r="A119" s="32">
        <v>22912476</v>
      </c>
      <c r="B119" s="32">
        <v>5</v>
      </c>
      <c r="C119" s="33">
        <v>2</v>
      </c>
      <c r="D119" s="32" t="s">
        <v>31</v>
      </c>
      <c r="E119" s="33">
        <v>10</v>
      </c>
      <c r="F119" s="32" t="s">
        <v>25</v>
      </c>
      <c r="G119" s="33">
        <v>1</v>
      </c>
      <c r="H119" s="32" t="s">
        <v>29</v>
      </c>
      <c r="I119" s="35">
        <f>SUMIFS(ES_1[LENGTH_EX_SU],ES_1[STN],ES_1[[#This Row],[STN]],ES_1[DISCIPLINE_TYPE],"Out-of-School Suspension")+SUMIFS(ES_1[LENGTH_EX_SU],ES_1[STN],ES_1[[#This Row],[STN]],ES_1[DISCIPLINE_TYPE],"Expulsion")</f>
        <v>6</v>
      </c>
      <c r="J119" s="32">
        <f>IF(ES_1[[#This Row],[Count Exp/Sus]]&gt;10,1,0)</f>
        <v>0</v>
      </c>
      <c r="K119" s="32" t="str">
        <f t="shared" si="4"/>
        <v>0</v>
      </c>
      <c r="L119" s="32">
        <f>IF(J119=1,IF(COUNTIFS($A$3:A119,A119,J$3:J119,1)=1,A119&amp;"-included",0),0)</f>
        <v>0</v>
      </c>
      <c r="M119" s="32" cm="1">
        <f t="array" ref="M119">IF(ES_1[[#This Row],[Included Exp/Sus]]=1,IF(SUMPRODUCT((ES_1[STN]=ES_1[[#This Row],[STN]])*(ES_1[Included Exp/Sus]=1)*(ROW(ES_1[STN])&lt;=ROW()))=1,1,0),0)</f>
        <v>0</v>
      </c>
      <c r="N119" s="32" t="str">
        <f>_xlfn.XLOOKUP(ES_1[[#This Row],[STN]],SE_1[STN],SE_1[Ethnicity],"",0)</f>
        <v/>
      </c>
      <c r="Q119" t="str">
        <f>_xlfn.XLOOKUP(P119,ES_1[STN],ES_1[Count Exp/Sus],"",0)</f>
        <v/>
      </c>
      <c r="R119" t="str">
        <f>_xlfn.XLOOKUP(P119,ES_1[STN],ES_1[Unique Exp/Sus],"",0)</f>
        <v/>
      </c>
      <c r="S119" t="str">
        <f>_xlfn.XLOOKUP(P119,ES_1[STN],ES_1[SPECIAL_ED],"",0)</f>
        <v/>
      </c>
    </row>
    <row r="120" spans="1:19" ht="14.45">
      <c r="A120" s="32">
        <v>22912476</v>
      </c>
      <c r="B120" s="32">
        <v>5</v>
      </c>
      <c r="C120" s="33">
        <v>2</v>
      </c>
      <c r="D120" s="32" t="s">
        <v>31</v>
      </c>
      <c r="E120" s="33">
        <v>7</v>
      </c>
      <c r="F120" s="32" t="s">
        <v>30</v>
      </c>
      <c r="G120" s="33">
        <v>4</v>
      </c>
      <c r="H120" s="32" t="s">
        <v>29</v>
      </c>
      <c r="I120" s="35">
        <f>SUMIFS(ES_1[LENGTH_EX_SU],ES_1[STN],ES_1[[#This Row],[STN]],ES_1[DISCIPLINE_TYPE],"Out-of-School Suspension")+SUMIFS(ES_1[LENGTH_EX_SU],ES_1[STN],ES_1[[#This Row],[STN]],ES_1[DISCIPLINE_TYPE],"Expulsion")</f>
        <v>6</v>
      </c>
      <c r="J120" s="32">
        <f>IF(ES_1[[#This Row],[Count Exp/Sus]]&gt;10,1,0)</f>
        <v>0</v>
      </c>
      <c r="K120" s="32" t="str">
        <f t="shared" si="4"/>
        <v>0</v>
      </c>
      <c r="L120" s="32">
        <f>IF(J120=1,IF(COUNTIFS($A$3:A120,A120,J$3:J120,1)=1,A120&amp;"-included",0),0)</f>
        <v>0</v>
      </c>
      <c r="M120" s="32" cm="1">
        <f t="array" ref="M120">IF(ES_1[[#This Row],[Included Exp/Sus]]=1,IF(SUMPRODUCT((ES_1[STN]=ES_1[[#This Row],[STN]])*(ES_1[Included Exp/Sus]=1)*(ROW(ES_1[STN])&lt;=ROW()))=1,1,0),0)</f>
        <v>0</v>
      </c>
      <c r="N120" s="32" t="str">
        <f>_xlfn.XLOOKUP(ES_1[[#This Row],[STN]],SE_1[STN],SE_1[Ethnicity],"",0)</f>
        <v/>
      </c>
      <c r="Q120" t="str">
        <f>_xlfn.XLOOKUP(P120,ES_1[STN],ES_1[Count Exp/Sus],"",0)</f>
        <v/>
      </c>
      <c r="R120" t="str">
        <f>_xlfn.XLOOKUP(P120,ES_1[STN],ES_1[Unique Exp/Sus],"",0)</f>
        <v/>
      </c>
      <c r="S120" t="str">
        <f>_xlfn.XLOOKUP(P120,ES_1[STN],ES_1[SPECIAL_ED],"",0)</f>
        <v/>
      </c>
    </row>
    <row r="121" spans="1:19" ht="14.45">
      <c r="A121" s="32">
        <v>22913061</v>
      </c>
      <c r="B121" s="32">
        <v>7</v>
      </c>
      <c r="C121" s="33">
        <v>1</v>
      </c>
      <c r="D121" s="32" t="s">
        <v>24</v>
      </c>
      <c r="E121" s="33">
        <v>15</v>
      </c>
      <c r="F121" s="32" t="s">
        <v>27</v>
      </c>
      <c r="G121" s="34">
        <v>1</v>
      </c>
      <c r="H121" s="32" t="s">
        <v>29</v>
      </c>
      <c r="I121" s="35">
        <f>SUMIFS(ES_1[LENGTH_EX_SU],ES_1[STN],ES_1[[#This Row],[STN]],ES_1[DISCIPLINE_TYPE],"Out-of-School Suspension")+SUMIFS(ES_1[LENGTH_EX_SU],ES_1[STN],ES_1[[#This Row],[STN]],ES_1[DISCIPLINE_TYPE],"Expulsion")</f>
        <v>0</v>
      </c>
      <c r="J121" s="32">
        <f>IF(ES_1[[#This Row],[Count Exp/Sus]]&gt;10,1,0)</f>
        <v>0</v>
      </c>
      <c r="K121" s="32" t="str">
        <f t="shared" si="4"/>
        <v>0</v>
      </c>
      <c r="L121" s="32">
        <f>IF(J121=1,IF(COUNTIFS($A$3:A121,A121,J$3:J121,1)=1,A121&amp;"-included",0),0)</f>
        <v>0</v>
      </c>
      <c r="M121" s="32" cm="1">
        <f t="array" ref="M121">IF(ES_1[[#This Row],[Included Exp/Sus]]=1,IF(SUMPRODUCT((ES_1[STN]=ES_1[[#This Row],[STN]])*(ES_1[Included Exp/Sus]=1)*(ROW(ES_1[STN])&lt;=ROW()))=1,1,0),0)</f>
        <v>0</v>
      </c>
      <c r="N121" s="32" t="str">
        <f>_xlfn.XLOOKUP(ES_1[[#This Row],[STN]],SE_1[STN],SE_1[Ethnicity],"",0)</f>
        <v/>
      </c>
      <c r="Q121" t="str">
        <f>_xlfn.XLOOKUP(P121,ES_1[STN],ES_1[Count Exp/Sus],"",0)</f>
        <v/>
      </c>
      <c r="R121" t="str">
        <f>_xlfn.XLOOKUP(P121,ES_1[STN],ES_1[Unique Exp/Sus],"",0)</f>
        <v/>
      </c>
      <c r="S121" t="str">
        <f>_xlfn.XLOOKUP(P121,ES_1[STN],ES_1[SPECIAL_ED],"",0)</f>
        <v/>
      </c>
    </row>
    <row r="122" spans="1:19" ht="14.45">
      <c r="A122" s="32">
        <v>22913169</v>
      </c>
      <c r="B122" s="32">
        <v>6</v>
      </c>
      <c r="C122" s="33">
        <v>1</v>
      </c>
      <c r="D122" s="32" t="s">
        <v>24</v>
      </c>
      <c r="E122" s="33">
        <v>10</v>
      </c>
      <c r="F122" s="32" t="s">
        <v>25</v>
      </c>
      <c r="G122" s="34">
        <v>1</v>
      </c>
      <c r="H122" s="32" t="s">
        <v>29</v>
      </c>
      <c r="I122" s="35">
        <f>SUMIFS(ES_1[LENGTH_EX_SU],ES_1[STN],ES_1[[#This Row],[STN]],ES_1[DISCIPLINE_TYPE],"Out-of-School Suspension")+SUMIFS(ES_1[LENGTH_EX_SU],ES_1[STN],ES_1[[#This Row],[STN]],ES_1[DISCIPLINE_TYPE],"Expulsion")</f>
        <v>0</v>
      </c>
      <c r="J122" s="32">
        <f>IF(ES_1[[#This Row],[Count Exp/Sus]]&gt;10,1,0)</f>
        <v>0</v>
      </c>
      <c r="K122" s="32" t="str">
        <f t="shared" si="4"/>
        <v>0</v>
      </c>
      <c r="L122" s="32">
        <f>IF(J122=1,IF(COUNTIFS($A$3:A122,A122,J$3:J122,1)=1,A122&amp;"-included",0),0)</f>
        <v>0</v>
      </c>
      <c r="M122" s="32" cm="1">
        <f t="array" ref="M122">IF(ES_1[[#This Row],[Included Exp/Sus]]=1,IF(SUMPRODUCT((ES_1[STN]=ES_1[[#This Row],[STN]])*(ES_1[Included Exp/Sus]=1)*(ROW(ES_1[STN])&lt;=ROW()))=1,1,0),0)</f>
        <v>0</v>
      </c>
      <c r="N122" s="32" t="str">
        <f>_xlfn.XLOOKUP(ES_1[[#This Row],[STN]],SE_1[STN],SE_1[Ethnicity],"",0)</f>
        <v/>
      </c>
      <c r="Q122" t="str">
        <f>_xlfn.XLOOKUP(P122,ES_1[STN],ES_1[Count Exp/Sus],"",0)</f>
        <v/>
      </c>
      <c r="R122" t="str">
        <f>_xlfn.XLOOKUP(P122,ES_1[STN],ES_1[Unique Exp/Sus],"",0)</f>
        <v/>
      </c>
      <c r="S122" t="str">
        <f>_xlfn.XLOOKUP(P122,ES_1[STN],ES_1[SPECIAL_ED],"",0)</f>
        <v/>
      </c>
    </row>
    <row r="123" spans="1:19" ht="14.45">
      <c r="A123" s="32">
        <v>22913171</v>
      </c>
      <c r="B123" s="32">
        <v>6</v>
      </c>
      <c r="C123" s="33">
        <v>2</v>
      </c>
      <c r="D123" s="32" t="s">
        <v>31</v>
      </c>
      <c r="E123" s="33">
        <v>11</v>
      </c>
      <c r="F123" s="32" t="s">
        <v>36</v>
      </c>
      <c r="G123" s="34">
        <v>2</v>
      </c>
      <c r="H123" s="32" t="s">
        <v>29</v>
      </c>
      <c r="I123" s="35">
        <f>SUMIFS(ES_1[LENGTH_EX_SU],ES_1[STN],ES_1[[#This Row],[STN]],ES_1[DISCIPLINE_TYPE],"Out-of-School Suspension")+SUMIFS(ES_1[LENGTH_EX_SU],ES_1[STN],ES_1[[#This Row],[STN]],ES_1[DISCIPLINE_TYPE],"Expulsion")</f>
        <v>9</v>
      </c>
      <c r="J123" s="32">
        <f>IF(ES_1[[#This Row],[Count Exp/Sus]]&gt;10,1,0)</f>
        <v>0</v>
      </c>
      <c r="K123" s="32" t="str">
        <f t="shared" si="4"/>
        <v>0</v>
      </c>
      <c r="L123" s="32">
        <f>IF(J123=1,IF(COUNTIFS($A$3:A123,A123,J$3:J123,1)=1,A123&amp;"-included",0),0)</f>
        <v>0</v>
      </c>
      <c r="M123" s="32" cm="1">
        <f t="array" ref="M123">IF(ES_1[[#This Row],[Included Exp/Sus]]=1,IF(SUMPRODUCT((ES_1[STN]=ES_1[[#This Row],[STN]])*(ES_1[Included Exp/Sus]=1)*(ROW(ES_1[STN])&lt;=ROW()))=1,1,0),0)</f>
        <v>0</v>
      </c>
      <c r="N123" s="32" t="str">
        <f>_xlfn.XLOOKUP(ES_1[[#This Row],[STN]],SE_1[STN],SE_1[Ethnicity],"",0)</f>
        <v/>
      </c>
      <c r="Q123" t="str">
        <f>_xlfn.XLOOKUP(P123,ES_1[STN],ES_1[Count Exp/Sus],"",0)</f>
        <v/>
      </c>
      <c r="R123" t="str">
        <f>_xlfn.XLOOKUP(P123,ES_1[STN],ES_1[Unique Exp/Sus],"",0)</f>
        <v/>
      </c>
      <c r="S123" t="str">
        <f>_xlfn.XLOOKUP(P123,ES_1[STN],ES_1[SPECIAL_ED],"",0)</f>
        <v/>
      </c>
    </row>
    <row r="124" spans="1:19" ht="14.45">
      <c r="A124" s="32">
        <v>22913171</v>
      </c>
      <c r="B124" s="32">
        <v>6</v>
      </c>
      <c r="C124" s="33">
        <v>2</v>
      </c>
      <c r="D124" s="32" t="s">
        <v>31</v>
      </c>
      <c r="E124" s="33">
        <v>19</v>
      </c>
      <c r="F124" s="32" t="s">
        <v>37</v>
      </c>
      <c r="G124" s="34">
        <v>5</v>
      </c>
      <c r="H124" s="32" t="s">
        <v>29</v>
      </c>
      <c r="I124" s="35">
        <f>SUMIFS(ES_1[LENGTH_EX_SU],ES_1[STN],ES_1[[#This Row],[STN]],ES_1[DISCIPLINE_TYPE],"Out-of-School Suspension")+SUMIFS(ES_1[LENGTH_EX_SU],ES_1[STN],ES_1[[#This Row],[STN]],ES_1[DISCIPLINE_TYPE],"Expulsion")</f>
        <v>9</v>
      </c>
      <c r="J124" s="32">
        <f>IF(ES_1[[#This Row],[Count Exp/Sus]]&gt;10,1,0)</f>
        <v>0</v>
      </c>
      <c r="K124" s="32" t="str">
        <f t="shared" si="4"/>
        <v>0</v>
      </c>
      <c r="L124" s="32">
        <f>IF(J124=1,IF(COUNTIFS($A$3:A124,A124,J$3:J124,1)=1,A124&amp;"-included",0),0)</f>
        <v>0</v>
      </c>
      <c r="M124" s="32" cm="1">
        <f t="array" ref="M124">IF(ES_1[[#This Row],[Included Exp/Sus]]=1,IF(SUMPRODUCT((ES_1[STN]=ES_1[[#This Row],[STN]])*(ES_1[Included Exp/Sus]=1)*(ROW(ES_1[STN])&lt;=ROW()))=1,1,0),0)</f>
        <v>0</v>
      </c>
      <c r="N124" s="32" t="str">
        <f>_xlfn.XLOOKUP(ES_1[[#This Row],[STN]],SE_1[STN],SE_1[Ethnicity],"",0)</f>
        <v/>
      </c>
      <c r="Q124" t="str">
        <f>_xlfn.XLOOKUP(P124,ES_1[STN],ES_1[Count Exp/Sus],"",0)</f>
        <v/>
      </c>
      <c r="R124" t="str">
        <f>_xlfn.XLOOKUP(P124,ES_1[STN],ES_1[Unique Exp/Sus],"",0)</f>
        <v/>
      </c>
      <c r="S124" t="str">
        <f>_xlfn.XLOOKUP(P124,ES_1[STN],ES_1[SPECIAL_ED],"",0)</f>
        <v/>
      </c>
    </row>
    <row r="125" spans="1:19" ht="14.45">
      <c r="A125" s="32">
        <v>22913171</v>
      </c>
      <c r="B125" s="32">
        <v>6</v>
      </c>
      <c r="C125" s="33">
        <v>2</v>
      </c>
      <c r="D125" s="32" t="s">
        <v>31</v>
      </c>
      <c r="E125" s="33">
        <v>10</v>
      </c>
      <c r="F125" s="32" t="s">
        <v>25</v>
      </c>
      <c r="G125" s="34">
        <v>2</v>
      </c>
      <c r="H125" s="32" t="s">
        <v>29</v>
      </c>
      <c r="I125" s="35">
        <f>SUMIFS(ES_1[LENGTH_EX_SU],ES_1[STN],ES_1[[#This Row],[STN]],ES_1[DISCIPLINE_TYPE],"Out-of-School Suspension")+SUMIFS(ES_1[LENGTH_EX_SU],ES_1[STN],ES_1[[#This Row],[STN]],ES_1[DISCIPLINE_TYPE],"Expulsion")</f>
        <v>9</v>
      </c>
      <c r="J125" s="32">
        <f>IF(ES_1[[#This Row],[Count Exp/Sus]]&gt;10,1,0)</f>
        <v>0</v>
      </c>
      <c r="K125" s="32" t="str">
        <f t="shared" si="4"/>
        <v>0</v>
      </c>
      <c r="L125" s="32">
        <f>IF(J125=1,IF(COUNTIFS($A$3:A125,A125,J$3:J125,1)=1,A125&amp;"-included",0),0)</f>
        <v>0</v>
      </c>
      <c r="M125" s="32" cm="1">
        <f t="array" ref="M125">IF(ES_1[[#This Row],[Included Exp/Sus]]=1,IF(SUMPRODUCT((ES_1[STN]=ES_1[[#This Row],[STN]])*(ES_1[Included Exp/Sus]=1)*(ROW(ES_1[STN])&lt;=ROW()))=1,1,0),0)</f>
        <v>0</v>
      </c>
      <c r="N125" s="32" t="str">
        <f>_xlfn.XLOOKUP(ES_1[[#This Row],[STN]],SE_1[STN],SE_1[Ethnicity],"",0)</f>
        <v/>
      </c>
      <c r="Q125" t="str">
        <f>_xlfn.XLOOKUP(P125,ES_1[STN],ES_1[Count Exp/Sus],"",0)</f>
        <v/>
      </c>
      <c r="R125" t="str">
        <f>_xlfn.XLOOKUP(P125,ES_1[STN],ES_1[Unique Exp/Sus],"",0)</f>
        <v/>
      </c>
      <c r="S125" t="str">
        <f>_xlfn.XLOOKUP(P125,ES_1[STN],ES_1[SPECIAL_ED],"",0)</f>
        <v/>
      </c>
    </row>
    <row r="126" spans="1:19" ht="14.45">
      <c r="A126" s="32">
        <v>22913229</v>
      </c>
      <c r="B126" s="32">
        <v>6</v>
      </c>
      <c r="C126" s="36">
        <v>1</v>
      </c>
      <c r="D126" s="32" t="s">
        <v>24</v>
      </c>
      <c r="E126" s="33">
        <v>15</v>
      </c>
      <c r="F126" s="32" t="s">
        <v>27</v>
      </c>
      <c r="G126" s="33">
        <v>1</v>
      </c>
      <c r="H126" s="32" t="s">
        <v>26</v>
      </c>
      <c r="I126" s="35">
        <f>SUMIFS(ES_1[LENGTH_EX_SU],ES_1[STN],ES_1[[#This Row],[STN]],ES_1[DISCIPLINE_TYPE],"Out-of-School Suspension")+SUMIFS(ES_1[LENGTH_EX_SU],ES_1[STN],ES_1[[#This Row],[STN]],ES_1[DISCIPLINE_TYPE],"Expulsion")</f>
        <v>0</v>
      </c>
      <c r="J126" s="32">
        <f>IF(ES_1[[#This Row],[Count Exp/Sus]]&gt;10,1,0)</f>
        <v>0</v>
      </c>
      <c r="K126" s="32" t="str">
        <f t="shared" si="4"/>
        <v>0</v>
      </c>
      <c r="L126" s="32">
        <f>IF(J126=1,IF(COUNTIFS($A$3:A126,A126,J$3:J126,1)=1,A126&amp;"-included",0),0)</f>
        <v>0</v>
      </c>
      <c r="M126" s="32" cm="1">
        <f t="array" ref="M126">IF(ES_1[[#This Row],[Included Exp/Sus]]=1,IF(SUMPRODUCT((ES_1[STN]=ES_1[[#This Row],[STN]])*(ES_1[Included Exp/Sus]=1)*(ROW(ES_1[STN])&lt;=ROW()))=1,1,0),0)</f>
        <v>0</v>
      </c>
      <c r="N126" s="32" t="str">
        <f>_xlfn.XLOOKUP(ES_1[[#This Row],[STN]],SE_1[STN],SE_1[Ethnicity],"",0)</f>
        <v>Hispanic Ethnicity and of any race</v>
      </c>
      <c r="Q126" t="str">
        <f>_xlfn.XLOOKUP(P126,ES_1[STN],ES_1[Count Exp/Sus],"",0)</f>
        <v/>
      </c>
      <c r="R126" t="str">
        <f>_xlfn.XLOOKUP(P126,ES_1[STN],ES_1[Unique Exp/Sus],"",0)</f>
        <v/>
      </c>
      <c r="S126" t="str">
        <f>_xlfn.XLOOKUP(P126,ES_1[STN],ES_1[SPECIAL_ED],"",0)</f>
        <v/>
      </c>
    </row>
    <row r="127" spans="1:19" ht="14.45">
      <c r="A127" s="32">
        <v>22913229</v>
      </c>
      <c r="B127" s="32">
        <v>6</v>
      </c>
      <c r="C127" s="33">
        <v>1</v>
      </c>
      <c r="D127" s="32" t="s">
        <v>24</v>
      </c>
      <c r="E127" s="33">
        <v>15</v>
      </c>
      <c r="F127" s="32" t="s">
        <v>27</v>
      </c>
      <c r="G127" s="34">
        <v>1</v>
      </c>
      <c r="H127" s="32" t="s">
        <v>26</v>
      </c>
      <c r="I127" s="35">
        <f>SUMIFS(ES_1[LENGTH_EX_SU],ES_1[STN],ES_1[[#This Row],[STN]],ES_1[DISCIPLINE_TYPE],"Out-of-School Suspension")+SUMIFS(ES_1[LENGTH_EX_SU],ES_1[STN],ES_1[[#This Row],[STN]],ES_1[DISCIPLINE_TYPE],"Expulsion")</f>
        <v>0</v>
      </c>
      <c r="J127" s="32">
        <f>IF(ES_1[[#This Row],[Count Exp/Sus]]&gt;10,1,0)</f>
        <v>0</v>
      </c>
      <c r="K127" s="32" t="str">
        <f t="shared" si="4"/>
        <v>0</v>
      </c>
      <c r="L127" s="32">
        <f>IF(J127=1,IF(COUNTIFS($A$3:A127,A127,J$3:J127,1)=1,A127&amp;"-included",0),0)</f>
        <v>0</v>
      </c>
      <c r="M127" s="32" cm="1">
        <f t="array" ref="M127">IF(ES_1[[#This Row],[Included Exp/Sus]]=1,IF(SUMPRODUCT((ES_1[STN]=ES_1[[#This Row],[STN]])*(ES_1[Included Exp/Sus]=1)*(ROW(ES_1[STN])&lt;=ROW()))=1,1,0),0)</f>
        <v>0</v>
      </c>
      <c r="N127" s="32" t="str">
        <f>_xlfn.XLOOKUP(ES_1[[#This Row],[STN]],SE_1[STN],SE_1[Ethnicity],"",0)</f>
        <v>Hispanic Ethnicity and of any race</v>
      </c>
      <c r="Q127" t="str">
        <f>_xlfn.XLOOKUP(P127,ES_1[STN],ES_1[Count Exp/Sus],"",0)</f>
        <v/>
      </c>
      <c r="R127" t="str">
        <f>_xlfn.XLOOKUP(P127,ES_1[STN],ES_1[Unique Exp/Sus],"",0)</f>
        <v/>
      </c>
      <c r="S127" t="str">
        <f>_xlfn.XLOOKUP(P127,ES_1[STN],ES_1[SPECIAL_ED],"",0)</f>
        <v/>
      </c>
    </row>
    <row r="128" spans="1:19" ht="14.45">
      <c r="A128" s="32">
        <v>22913229</v>
      </c>
      <c r="B128" s="32">
        <v>6</v>
      </c>
      <c r="C128" s="33">
        <v>1</v>
      </c>
      <c r="D128" s="32" t="s">
        <v>24</v>
      </c>
      <c r="E128" s="33">
        <v>15</v>
      </c>
      <c r="F128" s="32" t="s">
        <v>27</v>
      </c>
      <c r="G128" s="34">
        <v>1</v>
      </c>
      <c r="H128" s="32" t="s">
        <v>26</v>
      </c>
      <c r="I128" s="35">
        <f>SUMIFS(ES_1[LENGTH_EX_SU],ES_1[STN],ES_1[[#This Row],[STN]],ES_1[DISCIPLINE_TYPE],"Out-of-School Suspension")+SUMIFS(ES_1[LENGTH_EX_SU],ES_1[STN],ES_1[[#This Row],[STN]],ES_1[DISCIPLINE_TYPE],"Expulsion")</f>
        <v>0</v>
      </c>
      <c r="J128" s="32">
        <f>IF(ES_1[[#This Row],[Count Exp/Sus]]&gt;10,1,0)</f>
        <v>0</v>
      </c>
      <c r="K128" s="32" t="str">
        <f t="shared" si="4"/>
        <v>0</v>
      </c>
      <c r="L128" s="32">
        <f>IF(J128=1,IF(COUNTIFS($A$3:A128,A128,J$3:J128,1)=1,A128&amp;"-included",0),0)</f>
        <v>0</v>
      </c>
      <c r="M128" s="32" cm="1">
        <f t="array" ref="M128">IF(ES_1[[#This Row],[Included Exp/Sus]]=1,IF(SUMPRODUCT((ES_1[STN]=ES_1[[#This Row],[STN]])*(ES_1[Included Exp/Sus]=1)*(ROW(ES_1[STN])&lt;=ROW()))=1,1,0),0)</f>
        <v>0</v>
      </c>
      <c r="N128" s="32" t="str">
        <f>_xlfn.XLOOKUP(ES_1[[#This Row],[STN]],SE_1[STN],SE_1[Ethnicity],"",0)</f>
        <v>Hispanic Ethnicity and of any race</v>
      </c>
      <c r="Q128" t="str">
        <f>_xlfn.XLOOKUP(P128,ES_1[STN],ES_1[Count Exp/Sus],"",0)</f>
        <v/>
      </c>
      <c r="R128" t="str">
        <f>_xlfn.XLOOKUP(P128,ES_1[STN],ES_1[Unique Exp/Sus],"",0)</f>
        <v/>
      </c>
      <c r="S128" t="str">
        <f>_xlfn.XLOOKUP(P128,ES_1[STN],ES_1[SPECIAL_ED],"",0)</f>
        <v/>
      </c>
    </row>
    <row r="129" spans="1:19" ht="14.45">
      <c r="A129" s="32">
        <v>22913244</v>
      </c>
      <c r="B129" s="32">
        <v>8</v>
      </c>
      <c r="C129" s="33">
        <v>2</v>
      </c>
      <c r="D129" s="32" t="s">
        <v>31</v>
      </c>
      <c r="E129" s="33">
        <v>2</v>
      </c>
      <c r="F129" s="32" t="s">
        <v>33</v>
      </c>
      <c r="G129" s="34">
        <v>8</v>
      </c>
      <c r="H129" s="32" t="s">
        <v>29</v>
      </c>
      <c r="I129" s="35">
        <f>SUMIFS(ES_1[LENGTH_EX_SU],ES_1[STN],ES_1[[#This Row],[STN]],ES_1[DISCIPLINE_TYPE],"Out-of-School Suspension")+SUMIFS(ES_1[LENGTH_EX_SU],ES_1[STN],ES_1[[#This Row],[STN]],ES_1[DISCIPLINE_TYPE],"Expulsion")</f>
        <v>8</v>
      </c>
      <c r="J129" s="32">
        <f>IF(ES_1[[#This Row],[Count Exp/Sus]]&gt;10,1,0)</f>
        <v>0</v>
      </c>
      <c r="K129" s="32" t="str">
        <f t="shared" si="4"/>
        <v>0</v>
      </c>
      <c r="L129" s="32">
        <f>IF(J129=1,IF(COUNTIFS($A$3:A129,A129,J$3:J129,1)=1,A129&amp;"-included",0),0)</f>
        <v>0</v>
      </c>
      <c r="M129" s="32" cm="1">
        <f t="array" ref="M129">IF(ES_1[[#This Row],[Included Exp/Sus]]=1,IF(SUMPRODUCT((ES_1[STN]=ES_1[[#This Row],[STN]])*(ES_1[Included Exp/Sus]=1)*(ROW(ES_1[STN])&lt;=ROW()))=1,1,0),0)</f>
        <v>0</v>
      </c>
      <c r="N129" s="32" t="str">
        <f>_xlfn.XLOOKUP(ES_1[[#This Row],[STN]],SE_1[STN],SE_1[Ethnicity],"",0)</f>
        <v/>
      </c>
      <c r="Q129" t="str">
        <f>_xlfn.XLOOKUP(P129,ES_1[STN],ES_1[Count Exp/Sus],"",0)</f>
        <v/>
      </c>
      <c r="R129" t="str">
        <f>_xlfn.XLOOKUP(P129,ES_1[STN],ES_1[Unique Exp/Sus],"",0)</f>
        <v/>
      </c>
      <c r="S129" t="str">
        <f>_xlfn.XLOOKUP(P129,ES_1[STN],ES_1[SPECIAL_ED],"",0)</f>
        <v/>
      </c>
    </row>
    <row r="130" spans="1:19" ht="14.45">
      <c r="A130" s="32">
        <v>22913292</v>
      </c>
      <c r="B130" s="32">
        <v>5</v>
      </c>
      <c r="C130" s="33">
        <v>1</v>
      </c>
      <c r="D130" s="32" t="s">
        <v>24</v>
      </c>
      <c r="E130" s="33">
        <v>10</v>
      </c>
      <c r="F130" s="32" t="s">
        <v>25</v>
      </c>
      <c r="G130" s="34">
        <v>1</v>
      </c>
      <c r="H130" s="32" t="s">
        <v>29</v>
      </c>
      <c r="I130" s="35">
        <f>SUMIFS(ES_1[LENGTH_EX_SU],ES_1[STN],ES_1[[#This Row],[STN]],ES_1[DISCIPLINE_TYPE],"Out-of-School Suspension")+SUMIFS(ES_1[LENGTH_EX_SU],ES_1[STN],ES_1[[#This Row],[STN]],ES_1[DISCIPLINE_TYPE],"Expulsion")</f>
        <v>5</v>
      </c>
      <c r="J130" s="32">
        <f>IF(ES_1[[#This Row],[Count Exp/Sus]]&gt;10,1,0)</f>
        <v>0</v>
      </c>
      <c r="K130" s="32" t="str">
        <f t="shared" si="4"/>
        <v>0</v>
      </c>
      <c r="L130" s="32">
        <f>IF(J130=1,IF(COUNTIFS($A$3:A130,A130,J$3:J130,1)=1,A130&amp;"-included",0),0)</f>
        <v>0</v>
      </c>
      <c r="M130" s="32" cm="1">
        <f t="array" ref="M130">IF(ES_1[[#This Row],[Included Exp/Sus]]=1,IF(SUMPRODUCT((ES_1[STN]=ES_1[[#This Row],[STN]])*(ES_1[Included Exp/Sus]=1)*(ROW(ES_1[STN])&lt;=ROW()))=1,1,0),0)</f>
        <v>0</v>
      </c>
      <c r="N130" s="32" t="str">
        <f>_xlfn.XLOOKUP(ES_1[[#This Row],[STN]],SE_1[STN],SE_1[Ethnicity],"",0)</f>
        <v/>
      </c>
      <c r="Q130" t="str">
        <f>_xlfn.XLOOKUP(P130,ES_1[STN],ES_1[Count Exp/Sus],"",0)</f>
        <v/>
      </c>
      <c r="R130" t="str">
        <f>_xlfn.XLOOKUP(P130,ES_1[STN],ES_1[Unique Exp/Sus],"",0)</f>
        <v/>
      </c>
      <c r="S130" t="str">
        <f>_xlfn.XLOOKUP(P130,ES_1[STN],ES_1[SPECIAL_ED],"",0)</f>
        <v/>
      </c>
    </row>
    <row r="131" spans="1:19" ht="14.45">
      <c r="A131" s="32">
        <v>22913292</v>
      </c>
      <c r="B131" s="32">
        <v>5</v>
      </c>
      <c r="C131" s="33">
        <v>1</v>
      </c>
      <c r="D131" s="32" t="s">
        <v>24</v>
      </c>
      <c r="E131" s="33">
        <v>11</v>
      </c>
      <c r="F131" s="32" t="s">
        <v>36</v>
      </c>
      <c r="G131" s="34">
        <v>1</v>
      </c>
      <c r="H131" s="32" t="s">
        <v>29</v>
      </c>
      <c r="I131" s="35">
        <f>SUMIFS(ES_1[LENGTH_EX_SU],ES_1[STN],ES_1[[#This Row],[STN]],ES_1[DISCIPLINE_TYPE],"Out-of-School Suspension")+SUMIFS(ES_1[LENGTH_EX_SU],ES_1[STN],ES_1[[#This Row],[STN]],ES_1[DISCIPLINE_TYPE],"Expulsion")</f>
        <v>5</v>
      </c>
      <c r="J131" s="32">
        <f>IF(ES_1[[#This Row],[Count Exp/Sus]]&gt;10,1,0)</f>
        <v>0</v>
      </c>
      <c r="K131" s="32" t="str">
        <f t="shared" si="4"/>
        <v>0</v>
      </c>
      <c r="L131" s="32">
        <f>IF(J131=1,IF(COUNTIFS($A$3:A131,A131,J$3:J131,1)=1,A131&amp;"-included",0),0)</f>
        <v>0</v>
      </c>
      <c r="M131" s="32" cm="1">
        <f t="array" ref="M131">IF(ES_1[[#This Row],[Included Exp/Sus]]=1,IF(SUMPRODUCT((ES_1[STN]=ES_1[[#This Row],[STN]])*(ES_1[Included Exp/Sus]=1)*(ROW(ES_1[STN])&lt;=ROW()))=1,1,0),0)</f>
        <v>0</v>
      </c>
      <c r="N131" s="32" t="str">
        <f>_xlfn.XLOOKUP(ES_1[[#This Row],[STN]],SE_1[STN],SE_1[Ethnicity],"",0)</f>
        <v/>
      </c>
      <c r="Q131" t="str">
        <f>_xlfn.XLOOKUP(P131,ES_1[STN],ES_1[Count Exp/Sus],"",0)</f>
        <v/>
      </c>
      <c r="R131" t="str">
        <f>_xlfn.XLOOKUP(P131,ES_1[STN],ES_1[Unique Exp/Sus],"",0)</f>
        <v/>
      </c>
      <c r="S131" t="str">
        <f>_xlfn.XLOOKUP(P131,ES_1[STN],ES_1[SPECIAL_ED],"",0)</f>
        <v/>
      </c>
    </row>
    <row r="132" spans="1:19" ht="14.45">
      <c r="A132" s="32">
        <v>22913292</v>
      </c>
      <c r="B132" s="32">
        <v>5</v>
      </c>
      <c r="C132" s="33">
        <v>2</v>
      </c>
      <c r="D132" s="32" t="s">
        <v>31</v>
      </c>
      <c r="E132" s="33">
        <v>11</v>
      </c>
      <c r="F132" s="32" t="s">
        <v>36</v>
      </c>
      <c r="G132" s="34">
        <v>1</v>
      </c>
      <c r="H132" s="32" t="s">
        <v>29</v>
      </c>
      <c r="I132" s="35">
        <f>SUMIFS(ES_1[LENGTH_EX_SU],ES_1[STN],ES_1[[#This Row],[STN]],ES_1[DISCIPLINE_TYPE],"Out-of-School Suspension")+SUMIFS(ES_1[LENGTH_EX_SU],ES_1[STN],ES_1[[#This Row],[STN]],ES_1[DISCIPLINE_TYPE],"Expulsion")</f>
        <v>5</v>
      </c>
      <c r="J132" s="32">
        <f>IF(ES_1[[#This Row],[Count Exp/Sus]]&gt;10,1,0)</f>
        <v>0</v>
      </c>
      <c r="K132" s="32" t="str">
        <f t="shared" si="4"/>
        <v>0</v>
      </c>
      <c r="L132" s="32">
        <f>IF(J132=1,IF(COUNTIFS($A$3:A132,A132,J$3:J132,1)=1,A132&amp;"-included",0),0)</f>
        <v>0</v>
      </c>
      <c r="M132" s="32" cm="1">
        <f t="array" ref="M132">IF(ES_1[[#This Row],[Included Exp/Sus]]=1,IF(SUMPRODUCT((ES_1[STN]=ES_1[[#This Row],[STN]])*(ES_1[Included Exp/Sus]=1)*(ROW(ES_1[STN])&lt;=ROW()))=1,1,0),0)</f>
        <v>0</v>
      </c>
      <c r="N132" s="32" t="str">
        <f>_xlfn.XLOOKUP(ES_1[[#This Row],[STN]],SE_1[STN],SE_1[Ethnicity],"",0)</f>
        <v/>
      </c>
      <c r="Q132" t="str">
        <f>_xlfn.XLOOKUP(P132,ES_1[STN],ES_1[Count Exp/Sus],"",0)</f>
        <v/>
      </c>
      <c r="R132" t="str">
        <f>_xlfn.XLOOKUP(P132,ES_1[STN],ES_1[Unique Exp/Sus],"",0)</f>
        <v/>
      </c>
      <c r="S132" t="str">
        <f>_xlfn.XLOOKUP(P132,ES_1[STN],ES_1[SPECIAL_ED],"",0)</f>
        <v/>
      </c>
    </row>
    <row r="133" spans="1:19" ht="14.45">
      <c r="A133" s="32">
        <v>22913292</v>
      </c>
      <c r="B133" s="32">
        <v>5</v>
      </c>
      <c r="C133" s="33">
        <v>2</v>
      </c>
      <c r="D133" s="32" t="s">
        <v>31</v>
      </c>
      <c r="E133" s="33">
        <v>11</v>
      </c>
      <c r="F133" s="32" t="s">
        <v>36</v>
      </c>
      <c r="G133" s="34">
        <v>2</v>
      </c>
      <c r="H133" s="32" t="s">
        <v>29</v>
      </c>
      <c r="I133" s="35">
        <f>SUMIFS(ES_1[LENGTH_EX_SU],ES_1[STN],ES_1[[#This Row],[STN]],ES_1[DISCIPLINE_TYPE],"Out-of-School Suspension")+SUMIFS(ES_1[LENGTH_EX_SU],ES_1[STN],ES_1[[#This Row],[STN]],ES_1[DISCIPLINE_TYPE],"Expulsion")</f>
        <v>5</v>
      </c>
      <c r="J133" s="32">
        <f>IF(ES_1[[#This Row],[Count Exp/Sus]]&gt;10,1,0)</f>
        <v>0</v>
      </c>
      <c r="K133" s="32" t="str">
        <f t="shared" si="4"/>
        <v>0</v>
      </c>
      <c r="L133" s="32">
        <f>IF(J133=1,IF(COUNTIFS($A$3:A133,A133,J$3:J133,1)=1,A133&amp;"-included",0),0)</f>
        <v>0</v>
      </c>
      <c r="M133" s="32" cm="1">
        <f t="array" ref="M133">IF(ES_1[[#This Row],[Included Exp/Sus]]=1,IF(SUMPRODUCT((ES_1[STN]=ES_1[[#This Row],[STN]])*(ES_1[Included Exp/Sus]=1)*(ROW(ES_1[STN])&lt;=ROW()))=1,1,0),0)</f>
        <v>0</v>
      </c>
      <c r="N133" s="32" t="str">
        <f>_xlfn.XLOOKUP(ES_1[[#This Row],[STN]],SE_1[STN],SE_1[Ethnicity],"",0)</f>
        <v/>
      </c>
      <c r="Q133" t="str">
        <f>_xlfn.XLOOKUP(P133,ES_1[STN],ES_1[Count Exp/Sus],"",0)</f>
        <v/>
      </c>
      <c r="R133" t="str">
        <f>_xlfn.XLOOKUP(P133,ES_1[STN],ES_1[Unique Exp/Sus],"",0)</f>
        <v/>
      </c>
      <c r="S133" t="str">
        <f>_xlfn.XLOOKUP(P133,ES_1[STN],ES_1[SPECIAL_ED],"",0)</f>
        <v/>
      </c>
    </row>
    <row r="134" spans="1:19" ht="14.45">
      <c r="A134" s="32">
        <v>22913292</v>
      </c>
      <c r="B134" s="32">
        <v>5</v>
      </c>
      <c r="C134" s="33">
        <v>2</v>
      </c>
      <c r="D134" s="32" t="s">
        <v>31</v>
      </c>
      <c r="E134" s="33">
        <v>11</v>
      </c>
      <c r="F134" s="32" t="s">
        <v>36</v>
      </c>
      <c r="G134" s="34">
        <v>2</v>
      </c>
      <c r="H134" s="32" t="s">
        <v>29</v>
      </c>
      <c r="I134" s="35">
        <f>SUMIFS(ES_1[LENGTH_EX_SU],ES_1[STN],ES_1[[#This Row],[STN]],ES_1[DISCIPLINE_TYPE],"Out-of-School Suspension")+SUMIFS(ES_1[LENGTH_EX_SU],ES_1[STN],ES_1[[#This Row],[STN]],ES_1[DISCIPLINE_TYPE],"Expulsion")</f>
        <v>5</v>
      </c>
      <c r="J134" s="32">
        <f>IF(ES_1[[#This Row],[Count Exp/Sus]]&gt;10,1,0)</f>
        <v>0</v>
      </c>
      <c r="K134" s="32" t="str">
        <f t="shared" si="4"/>
        <v>0</v>
      </c>
      <c r="L134" s="32">
        <f>IF(J134=1,IF(COUNTIFS($A$3:A134,A134,J$3:J134,1)=1,A134&amp;"-included",0),0)</f>
        <v>0</v>
      </c>
      <c r="M134" s="32" cm="1">
        <f t="array" ref="M134">IF(ES_1[[#This Row],[Included Exp/Sus]]=1,IF(SUMPRODUCT((ES_1[STN]=ES_1[[#This Row],[STN]])*(ES_1[Included Exp/Sus]=1)*(ROW(ES_1[STN])&lt;=ROW()))=1,1,0),0)</f>
        <v>0</v>
      </c>
      <c r="N134" s="32" t="str">
        <f>_xlfn.XLOOKUP(ES_1[[#This Row],[STN]],SE_1[STN],SE_1[Ethnicity],"",0)</f>
        <v/>
      </c>
      <c r="Q134" t="str">
        <f>_xlfn.XLOOKUP(P134,ES_1[STN],ES_1[Count Exp/Sus],"",0)</f>
        <v/>
      </c>
      <c r="R134" t="str">
        <f>_xlfn.XLOOKUP(P134,ES_1[STN],ES_1[Unique Exp/Sus],"",0)</f>
        <v/>
      </c>
      <c r="S134" t="str">
        <f>_xlfn.XLOOKUP(P134,ES_1[STN],ES_1[SPECIAL_ED],"",0)</f>
        <v/>
      </c>
    </row>
    <row r="135" spans="1:19" ht="14.45">
      <c r="A135" s="32">
        <v>22913406</v>
      </c>
      <c r="B135" s="32">
        <v>5</v>
      </c>
      <c r="C135" s="33">
        <v>2</v>
      </c>
      <c r="D135" s="32" t="s">
        <v>31</v>
      </c>
      <c r="E135" s="33">
        <v>10</v>
      </c>
      <c r="F135" s="32" t="s">
        <v>25</v>
      </c>
      <c r="G135" s="34">
        <v>1</v>
      </c>
      <c r="H135" s="32" t="s">
        <v>29</v>
      </c>
      <c r="I135" s="35">
        <f>SUMIFS(ES_1[LENGTH_EX_SU],ES_1[STN],ES_1[[#This Row],[STN]],ES_1[DISCIPLINE_TYPE],"Out-of-School Suspension")+SUMIFS(ES_1[LENGTH_EX_SU],ES_1[STN],ES_1[[#This Row],[STN]],ES_1[DISCIPLINE_TYPE],"Expulsion")</f>
        <v>6</v>
      </c>
      <c r="J135" s="32">
        <f>IF(ES_1[[#This Row],[Count Exp/Sus]]&gt;10,1,0)</f>
        <v>0</v>
      </c>
      <c r="K135" s="32" t="str">
        <f t="shared" si="4"/>
        <v>0</v>
      </c>
      <c r="L135" s="32">
        <f>IF(J135=1,IF(COUNTIFS($A$3:A135,A135,J$3:J135,1)=1,A135&amp;"-included",0),0)</f>
        <v>0</v>
      </c>
      <c r="M135" s="32" cm="1">
        <f t="array" ref="M135">IF(ES_1[[#This Row],[Included Exp/Sus]]=1,IF(SUMPRODUCT((ES_1[STN]=ES_1[[#This Row],[STN]])*(ES_1[Included Exp/Sus]=1)*(ROW(ES_1[STN])&lt;=ROW()))=1,1,0),0)</f>
        <v>0</v>
      </c>
      <c r="N135" s="32" t="str">
        <f>_xlfn.XLOOKUP(ES_1[[#This Row],[STN]],SE_1[STN],SE_1[Ethnicity],"",0)</f>
        <v/>
      </c>
      <c r="Q135" t="str">
        <f>_xlfn.XLOOKUP(P135,ES_1[STN],ES_1[Count Exp/Sus],"",0)</f>
        <v/>
      </c>
      <c r="R135" t="str">
        <f>_xlfn.XLOOKUP(P135,ES_1[STN],ES_1[Unique Exp/Sus],"",0)</f>
        <v/>
      </c>
      <c r="S135" t="str">
        <f>_xlfn.XLOOKUP(P135,ES_1[STN],ES_1[SPECIAL_ED],"",0)</f>
        <v/>
      </c>
    </row>
    <row r="136" spans="1:19" ht="14.45">
      <c r="A136" s="32">
        <v>22913406</v>
      </c>
      <c r="B136" s="32">
        <v>5</v>
      </c>
      <c r="C136" s="33">
        <v>2</v>
      </c>
      <c r="D136" s="32" t="s">
        <v>31</v>
      </c>
      <c r="E136" s="33">
        <v>10</v>
      </c>
      <c r="F136" s="32" t="s">
        <v>25</v>
      </c>
      <c r="G136" s="34">
        <v>5</v>
      </c>
      <c r="H136" s="32" t="s">
        <v>29</v>
      </c>
      <c r="I136" s="35">
        <f>SUMIFS(ES_1[LENGTH_EX_SU],ES_1[STN],ES_1[[#This Row],[STN]],ES_1[DISCIPLINE_TYPE],"Out-of-School Suspension")+SUMIFS(ES_1[LENGTH_EX_SU],ES_1[STN],ES_1[[#This Row],[STN]],ES_1[DISCIPLINE_TYPE],"Expulsion")</f>
        <v>6</v>
      </c>
      <c r="J136" s="32">
        <f>IF(ES_1[[#This Row],[Count Exp/Sus]]&gt;10,1,0)</f>
        <v>0</v>
      </c>
      <c r="K136" s="32" t="str">
        <f t="shared" si="4"/>
        <v>0</v>
      </c>
      <c r="L136" s="32">
        <f>IF(J136=1,IF(COUNTIFS($A$3:A136,A136,J$3:J136,1)=1,A136&amp;"-included",0),0)</f>
        <v>0</v>
      </c>
      <c r="M136" s="32" cm="1">
        <f t="array" ref="M136">IF(ES_1[[#This Row],[Included Exp/Sus]]=1,IF(SUMPRODUCT((ES_1[STN]=ES_1[[#This Row],[STN]])*(ES_1[Included Exp/Sus]=1)*(ROW(ES_1[STN])&lt;=ROW()))=1,1,0),0)</f>
        <v>0</v>
      </c>
      <c r="N136" s="32" t="str">
        <f>_xlfn.XLOOKUP(ES_1[[#This Row],[STN]],SE_1[STN],SE_1[Ethnicity],"",0)</f>
        <v/>
      </c>
      <c r="Q136" t="str">
        <f>_xlfn.XLOOKUP(P136,ES_1[STN],ES_1[Count Exp/Sus],"",0)</f>
        <v/>
      </c>
      <c r="R136" t="str">
        <f>_xlfn.XLOOKUP(P136,ES_1[STN],ES_1[Unique Exp/Sus],"",0)</f>
        <v/>
      </c>
      <c r="S136" t="str">
        <f>_xlfn.XLOOKUP(P136,ES_1[STN],ES_1[SPECIAL_ED],"",0)</f>
        <v/>
      </c>
    </row>
    <row r="137" spans="1:19" ht="14.45">
      <c r="A137" s="32">
        <v>22914003</v>
      </c>
      <c r="B137" s="32">
        <v>5</v>
      </c>
      <c r="C137" s="33">
        <v>2</v>
      </c>
      <c r="D137" s="32" t="s">
        <v>31</v>
      </c>
      <c r="E137" s="33">
        <v>13</v>
      </c>
      <c r="F137" s="32" t="s">
        <v>34</v>
      </c>
      <c r="G137" s="34">
        <v>2</v>
      </c>
      <c r="H137" s="32" t="s">
        <v>29</v>
      </c>
      <c r="I137" s="35">
        <f>SUMIFS(ES_1[LENGTH_EX_SU],ES_1[STN],ES_1[[#This Row],[STN]],ES_1[DISCIPLINE_TYPE],"Out-of-School Suspension")+SUMIFS(ES_1[LENGTH_EX_SU],ES_1[STN],ES_1[[#This Row],[STN]],ES_1[DISCIPLINE_TYPE],"Expulsion")</f>
        <v>2</v>
      </c>
      <c r="J137" s="32">
        <f>IF(ES_1[[#This Row],[Count Exp/Sus]]&gt;10,1,0)</f>
        <v>0</v>
      </c>
      <c r="K137" s="32" t="str">
        <f t="shared" si="4"/>
        <v>0</v>
      </c>
      <c r="L137" s="32">
        <f>IF(J137=1,IF(COUNTIFS($A$3:A137,A137,J$3:J137,1)=1,A137&amp;"-included",0),0)</f>
        <v>0</v>
      </c>
      <c r="M137" s="32" cm="1">
        <f t="array" ref="M137">IF(ES_1[[#This Row],[Included Exp/Sus]]=1,IF(SUMPRODUCT((ES_1[STN]=ES_1[[#This Row],[STN]])*(ES_1[Included Exp/Sus]=1)*(ROW(ES_1[STN])&lt;=ROW()))=1,1,0),0)</f>
        <v>0</v>
      </c>
      <c r="N137" s="32" t="str">
        <f>_xlfn.XLOOKUP(ES_1[[#This Row],[STN]],SE_1[STN],SE_1[Ethnicity],"",0)</f>
        <v/>
      </c>
      <c r="Q137" t="str">
        <f>_xlfn.XLOOKUP(P137,ES_1[STN],ES_1[Count Exp/Sus],"",0)</f>
        <v/>
      </c>
      <c r="R137" t="str">
        <f>_xlfn.XLOOKUP(P137,ES_1[STN],ES_1[Unique Exp/Sus],"",0)</f>
        <v/>
      </c>
      <c r="S137" t="str">
        <f>_xlfn.XLOOKUP(P137,ES_1[STN],ES_1[SPECIAL_ED],"",0)</f>
        <v/>
      </c>
    </row>
    <row r="138" spans="1:19" ht="14.45">
      <c r="A138" s="32">
        <v>22914021</v>
      </c>
      <c r="B138" s="32">
        <v>5</v>
      </c>
      <c r="C138" s="33">
        <v>2</v>
      </c>
      <c r="D138" s="32" t="s">
        <v>31</v>
      </c>
      <c r="E138" s="33">
        <v>10</v>
      </c>
      <c r="F138" s="32" t="s">
        <v>25</v>
      </c>
      <c r="G138" s="34">
        <v>5</v>
      </c>
      <c r="H138" s="32" t="s">
        <v>29</v>
      </c>
      <c r="I138" s="35">
        <f>SUMIFS(ES_1[LENGTH_EX_SU],ES_1[STN],ES_1[[#This Row],[STN]],ES_1[DISCIPLINE_TYPE],"Out-of-School Suspension")+SUMIFS(ES_1[LENGTH_EX_SU],ES_1[STN],ES_1[[#This Row],[STN]],ES_1[DISCIPLINE_TYPE],"Expulsion")</f>
        <v>5</v>
      </c>
      <c r="J138" s="32">
        <f>IF(ES_1[[#This Row],[Count Exp/Sus]]&gt;10,1,0)</f>
        <v>0</v>
      </c>
      <c r="K138" s="32" t="str">
        <f t="shared" si="4"/>
        <v>0</v>
      </c>
      <c r="L138" s="32">
        <f>IF(J138=1,IF(COUNTIFS($A$3:A138,A138,J$3:J138,1)=1,A138&amp;"-included",0),0)</f>
        <v>0</v>
      </c>
      <c r="M138" s="32" cm="1">
        <f t="array" ref="M138">IF(ES_1[[#This Row],[Included Exp/Sus]]=1,IF(SUMPRODUCT((ES_1[STN]=ES_1[[#This Row],[STN]])*(ES_1[Included Exp/Sus]=1)*(ROW(ES_1[STN])&lt;=ROW()))=1,1,0),0)</f>
        <v>0</v>
      </c>
      <c r="N138" s="32" t="str">
        <f>_xlfn.XLOOKUP(ES_1[[#This Row],[STN]],SE_1[STN],SE_1[Ethnicity],"",0)</f>
        <v/>
      </c>
      <c r="Q138" t="str">
        <f>_xlfn.XLOOKUP(P138,ES_1[STN],ES_1[Count Exp/Sus],"",0)</f>
        <v/>
      </c>
      <c r="R138" t="str">
        <f>_xlfn.XLOOKUP(P138,ES_1[STN],ES_1[Unique Exp/Sus],"",0)</f>
        <v/>
      </c>
      <c r="S138" t="str">
        <f>_xlfn.XLOOKUP(P138,ES_1[STN],ES_1[SPECIAL_ED],"",0)</f>
        <v/>
      </c>
    </row>
    <row r="139" spans="1:19" ht="14.45">
      <c r="A139" s="32">
        <v>22914091</v>
      </c>
      <c r="B139" s="32">
        <v>4</v>
      </c>
      <c r="C139" s="33">
        <v>1</v>
      </c>
      <c r="D139" s="32" t="s">
        <v>24</v>
      </c>
      <c r="E139" s="33">
        <v>10</v>
      </c>
      <c r="F139" s="32" t="s">
        <v>25</v>
      </c>
      <c r="G139" s="34">
        <v>1</v>
      </c>
      <c r="H139" s="32" t="s">
        <v>26</v>
      </c>
      <c r="I139" s="35">
        <f>SUMIFS(ES_1[LENGTH_EX_SU],ES_1[STN],ES_1[[#This Row],[STN]],ES_1[DISCIPLINE_TYPE],"Out-of-School Suspension")+SUMIFS(ES_1[LENGTH_EX_SU],ES_1[STN],ES_1[[#This Row],[STN]],ES_1[DISCIPLINE_TYPE],"Expulsion")</f>
        <v>0</v>
      </c>
      <c r="J139" s="32">
        <f>IF(ES_1[[#This Row],[Count Exp/Sus]]&gt;10,1,0)</f>
        <v>0</v>
      </c>
      <c r="K139" s="32" t="str">
        <f t="shared" si="4"/>
        <v>0</v>
      </c>
      <c r="L139" s="32">
        <f>IF(J139=1,IF(COUNTIFS($A$3:A139,A139,J$3:J139,1)=1,A139&amp;"-included",0),0)</f>
        <v>0</v>
      </c>
      <c r="M139" s="32" cm="1">
        <f t="array" ref="M139">IF(ES_1[[#This Row],[Included Exp/Sus]]=1,IF(SUMPRODUCT((ES_1[STN]=ES_1[[#This Row],[STN]])*(ES_1[Included Exp/Sus]=1)*(ROW(ES_1[STN])&lt;=ROW()))=1,1,0),0)</f>
        <v>0</v>
      </c>
      <c r="N139" s="32" t="str">
        <f>_xlfn.XLOOKUP(ES_1[[#This Row],[STN]],SE_1[STN],SE_1[Ethnicity],"",0)</f>
        <v>White</v>
      </c>
      <c r="Q139" t="str">
        <f>_xlfn.XLOOKUP(P139,ES_1[STN],ES_1[Count Exp/Sus],"",0)</f>
        <v/>
      </c>
      <c r="R139" t="str">
        <f>_xlfn.XLOOKUP(P139,ES_1[STN],ES_1[Unique Exp/Sus],"",0)</f>
        <v/>
      </c>
      <c r="S139" t="str">
        <f>_xlfn.XLOOKUP(P139,ES_1[STN],ES_1[SPECIAL_ED],"",0)</f>
        <v/>
      </c>
    </row>
    <row r="140" spans="1:19" ht="14.45">
      <c r="A140" s="32">
        <v>22914100</v>
      </c>
      <c r="B140" s="32">
        <v>5</v>
      </c>
      <c r="C140" s="33">
        <v>1</v>
      </c>
      <c r="D140" s="32" t="s">
        <v>24</v>
      </c>
      <c r="E140" s="33">
        <v>19</v>
      </c>
      <c r="F140" s="32" t="s">
        <v>37</v>
      </c>
      <c r="G140" s="34">
        <v>1</v>
      </c>
      <c r="H140" s="32" t="s">
        <v>29</v>
      </c>
      <c r="I140" s="35">
        <f>SUMIFS(ES_1[LENGTH_EX_SU],ES_1[STN],ES_1[[#This Row],[STN]],ES_1[DISCIPLINE_TYPE],"Out-of-School Suspension")+SUMIFS(ES_1[LENGTH_EX_SU],ES_1[STN],ES_1[[#This Row],[STN]],ES_1[DISCIPLINE_TYPE],"Expulsion")</f>
        <v>0</v>
      </c>
      <c r="J140" s="32">
        <f>IF(ES_1[[#This Row],[Count Exp/Sus]]&gt;10,1,0)</f>
        <v>0</v>
      </c>
      <c r="K140" s="32" t="str">
        <f t="shared" si="4"/>
        <v>0</v>
      </c>
      <c r="L140" s="32">
        <f>IF(J140=1,IF(COUNTIFS($A$3:A140,A140,J$3:J140,1)=1,A140&amp;"-included",0),0)</f>
        <v>0</v>
      </c>
      <c r="M140" s="32" cm="1">
        <f t="array" ref="M140">IF(ES_1[[#This Row],[Included Exp/Sus]]=1,IF(SUMPRODUCT((ES_1[STN]=ES_1[[#This Row],[STN]])*(ES_1[Included Exp/Sus]=1)*(ROW(ES_1[STN])&lt;=ROW()))=1,1,0),0)</f>
        <v>0</v>
      </c>
      <c r="N140" s="32" t="str">
        <f>_xlfn.XLOOKUP(ES_1[[#This Row],[STN]],SE_1[STN],SE_1[Ethnicity],"",0)</f>
        <v/>
      </c>
      <c r="Q140" t="str">
        <f>_xlfn.XLOOKUP(P140,ES_1[STN],ES_1[Count Exp/Sus],"",0)</f>
        <v/>
      </c>
      <c r="R140" t="str">
        <f>_xlfn.XLOOKUP(P140,ES_1[STN],ES_1[Unique Exp/Sus],"",0)</f>
        <v/>
      </c>
      <c r="S140" t="str">
        <f>_xlfn.XLOOKUP(P140,ES_1[STN],ES_1[SPECIAL_ED],"",0)</f>
        <v/>
      </c>
    </row>
    <row r="141" spans="1:19" ht="14.45">
      <c r="A141" s="32">
        <v>22914131</v>
      </c>
      <c r="B141" s="32">
        <v>5</v>
      </c>
      <c r="C141" s="33">
        <v>2</v>
      </c>
      <c r="D141" s="32" t="s">
        <v>31</v>
      </c>
      <c r="E141" s="33">
        <v>14</v>
      </c>
      <c r="F141" s="32" t="s">
        <v>32</v>
      </c>
      <c r="G141" s="34">
        <v>1</v>
      </c>
      <c r="H141" s="32" t="s">
        <v>26</v>
      </c>
      <c r="I141" s="35">
        <f>SUMIFS(ES_1[LENGTH_EX_SU],ES_1[STN],ES_1[[#This Row],[STN]],ES_1[DISCIPLINE_TYPE],"Out-of-School Suspension")+SUMIFS(ES_1[LENGTH_EX_SU],ES_1[STN],ES_1[[#This Row],[STN]],ES_1[DISCIPLINE_TYPE],"Expulsion")</f>
        <v>1</v>
      </c>
      <c r="J141" s="32">
        <f>IF(ES_1[[#This Row],[Count Exp/Sus]]&gt;10,1,0)</f>
        <v>0</v>
      </c>
      <c r="K141" s="32" t="str">
        <f t="shared" si="4"/>
        <v>0</v>
      </c>
      <c r="L141" s="32">
        <f>IF(J141=1,IF(COUNTIFS($A$3:A141,A141,J$3:J141,1)=1,A141&amp;"-included",0),0)</f>
        <v>0</v>
      </c>
      <c r="M141" s="32" cm="1">
        <f t="array" ref="M141">IF(ES_1[[#This Row],[Included Exp/Sus]]=1,IF(SUMPRODUCT((ES_1[STN]=ES_1[[#This Row],[STN]])*(ES_1[Included Exp/Sus]=1)*(ROW(ES_1[STN])&lt;=ROW()))=1,1,0),0)</f>
        <v>0</v>
      </c>
      <c r="N141" s="32" t="str">
        <f>_xlfn.XLOOKUP(ES_1[[#This Row],[STN]],SE_1[STN],SE_1[Ethnicity],"",0)</f>
        <v>White</v>
      </c>
      <c r="Q141" t="str">
        <f>_xlfn.XLOOKUP(P141,ES_1[STN],ES_1[Count Exp/Sus],"",0)</f>
        <v/>
      </c>
      <c r="R141" t="str">
        <f>_xlfn.XLOOKUP(P141,ES_1[STN],ES_1[Unique Exp/Sus],"",0)</f>
        <v/>
      </c>
      <c r="S141" t="str">
        <f>_xlfn.XLOOKUP(P141,ES_1[STN],ES_1[SPECIAL_ED],"",0)</f>
        <v/>
      </c>
    </row>
    <row r="142" spans="1:19" ht="14.45">
      <c r="A142" s="32">
        <v>22914150</v>
      </c>
      <c r="B142" s="32">
        <v>5</v>
      </c>
      <c r="C142" s="33">
        <v>2</v>
      </c>
      <c r="D142" s="32" t="s">
        <v>31</v>
      </c>
      <c r="E142" s="33">
        <v>10</v>
      </c>
      <c r="F142" s="32" t="s">
        <v>25</v>
      </c>
      <c r="G142" s="34">
        <v>2</v>
      </c>
      <c r="H142" s="32" t="s">
        <v>26</v>
      </c>
      <c r="I142" s="35">
        <f>SUMIFS(ES_1[LENGTH_EX_SU],ES_1[STN],ES_1[[#This Row],[STN]],ES_1[DISCIPLINE_TYPE],"Out-of-School Suspension")+SUMIFS(ES_1[LENGTH_EX_SU],ES_1[STN],ES_1[[#This Row],[STN]],ES_1[DISCIPLINE_TYPE],"Expulsion")</f>
        <v>2</v>
      </c>
      <c r="J142" s="32">
        <f>IF(ES_1[[#This Row],[Count Exp/Sus]]&gt;10,1,0)</f>
        <v>0</v>
      </c>
      <c r="K142" s="32" t="str">
        <f t="shared" si="4"/>
        <v>0</v>
      </c>
      <c r="L142" s="32">
        <f>IF(J142=1,IF(COUNTIFS($A$3:A142,A142,J$3:J142,1)=1,A142&amp;"-included",0),0)</f>
        <v>0</v>
      </c>
      <c r="M142" s="32" cm="1">
        <f t="array" ref="M142">IF(ES_1[[#This Row],[Included Exp/Sus]]=1,IF(SUMPRODUCT((ES_1[STN]=ES_1[[#This Row],[STN]])*(ES_1[Included Exp/Sus]=1)*(ROW(ES_1[STN])&lt;=ROW()))=1,1,0),0)</f>
        <v>0</v>
      </c>
      <c r="N142" s="32" t="str">
        <f>_xlfn.XLOOKUP(ES_1[[#This Row],[STN]],SE_1[STN],SE_1[Ethnicity],"",0)</f>
        <v>Hispanic Ethnicity and of any race</v>
      </c>
      <c r="Q142" t="str">
        <f>_xlfn.XLOOKUP(P142,ES_1[STN],ES_1[Count Exp/Sus],"",0)</f>
        <v/>
      </c>
      <c r="R142" t="str">
        <f>_xlfn.XLOOKUP(P142,ES_1[STN],ES_1[Unique Exp/Sus],"",0)</f>
        <v/>
      </c>
      <c r="S142" t="str">
        <f>_xlfn.XLOOKUP(P142,ES_1[STN],ES_1[SPECIAL_ED],"",0)</f>
        <v/>
      </c>
    </row>
    <row r="143" spans="1:19" ht="14.45">
      <c r="A143" s="32">
        <v>22914160</v>
      </c>
      <c r="B143" s="32">
        <v>4</v>
      </c>
      <c r="C143" s="33">
        <v>2</v>
      </c>
      <c r="D143" s="32" t="s">
        <v>31</v>
      </c>
      <c r="E143" s="33">
        <v>11</v>
      </c>
      <c r="F143" s="32" t="s">
        <v>36</v>
      </c>
      <c r="G143" s="34">
        <v>1</v>
      </c>
      <c r="H143" s="32" t="s">
        <v>26</v>
      </c>
      <c r="I143" s="35">
        <f>SUMIFS(ES_1[LENGTH_EX_SU],ES_1[STN],ES_1[[#This Row],[STN]],ES_1[DISCIPLINE_TYPE],"Out-of-School Suspension")+SUMIFS(ES_1[LENGTH_EX_SU],ES_1[STN],ES_1[[#This Row],[STN]],ES_1[DISCIPLINE_TYPE],"Expulsion")</f>
        <v>1</v>
      </c>
      <c r="J143" s="32">
        <f>IF(ES_1[[#This Row],[Count Exp/Sus]]&gt;10,1,0)</f>
        <v>0</v>
      </c>
      <c r="K143" s="32" t="str">
        <f t="shared" si="4"/>
        <v>0</v>
      </c>
      <c r="L143" s="32">
        <f>IF(J143=1,IF(COUNTIFS($A$3:A143,A143,J$3:J143,1)=1,A143&amp;"-included",0),0)</f>
        <v>0</v>
      </c>
      <c r="M143" s="32" cm="1">
        <f t="array" ref="M143">IF(ES_1[[#This Row],[Included Exp/Sus]]=1,IF(SUMPRODUCT((ES_1[STN]=ES_1[[#This Row],[STN]])*(ES_1[Included Exp/Sus]=1)*(ROW(ES_1[STN])&lt;=ROW()))=1,1,0),0)</f>
        <v>0</v>
      </c>
      <c r="N143" s="32" t="str">
        <f>_xlfn.XLOOKUP(ES_1[[#This Row],[STN]],SE_1[STN],SE_1[Ethnicity],"",0)</f>
        <v>White</v>
      </c>
      <c r="Q143" t="str">
        <f>_xlfn.XLOOKUP(P143,ES_1[STN],ES_1[Count Exp/Sus],"",0)</f>
        <v/>
      </c>
      <c r="R143" t="str">
        <f>_xlfn.XLOOKUP(P143,ES_1[STN],ES_1[Unique Exp/Sus],"",0)</f>
        <v/>
      </c>
      <c r="S143" t="str">
        <f>_xlfn.XLOOKUP(P143,ES_1[STN],ES_1[SPECIAL_ED],"",0)</f>
        <v/>
      </c>
    </row>
    <row r="144" spans="1:19" ht="14.45">
      <c r="A144" s="32">
        <v>22914277</v>
      </c>
      <c r="B144" s="32">
        <v>4</v>
      </c>
      <c r="C144" s="33">
        <v>1</v>
      </c>
      <c r="D144" s="32" t="s">
        <v>24</v>
      </c>
      <c r="E144" s="33">
        <v>10</v>
      </c>
      <c r="F144" s="32" t="s">
        <v>25</v>
      </c>
      <c r="G144" s="34">
        <v>1</v>
      </c>
      <c r="H144" s="32" t="s">
        <v>26</v>
      </c>
      <c r="I144" s="35">
        <f>SUMIFS(ES_1[LENGTH_EX_SU],ES_1[STN],ES_1[[#This Row],[STN]],ES_1[DISCIPLINE_TYPE],"Out-of-School Suspension")+SUMIFS(ES_1[LENGTH_EX_SU],ES_1[STN],ES_1[[#This Row],[STN]],ES_1[DISCIPLINE_TYPE],"Expulsion")</f>
        <v>3</v>
      </c>
      <c r="J144" s="32">
        <f>IF(ES_1[[#This Row],[Count Exp/Sus]]&gt;10,1,0)</f>
        <v>0</v>
      </c>
      <c r="K144" s="32" t="str">
        <f t="shared" si="4"/>
        <v>0</v>
      </c>
      <c r="L144" s="32">
        <f>IF(J144=1,IF(COUNTIFS($A$3:A144,A144,J$3:J144,1)=1,A144&amp;"-included",0),0)</f>
        <v>0</v>
      </c>
      <c r="M144" s="32" cm="1">
        <f t="array" ref="M144">IF(ES_1[[#This Row],[Included Exp/Sus]]=1,IF(SUMPRODUCT((ES_1[STN]=ES_1[[#This Row],[STN]])*(ES_1[Included Exp/Sus]=1)*(ROW(ES_1[STN])&lt;=ROW()))=1,1,0),0)</f>
        <v>0</v>
      </c>
      <c r="N144" s="32" t="str">
        <f>_xlfn.XLOOKUP(ES_1[[#This Row],[STN]],SE_1[STN],SE_1[Ethnicity],"",0)</f>
        <v>Hispanic Ethnicity and of any race</v>
      </c>
      <c r="Q144" t="str">
        <f>_xlfn.XLOOKUP(P144,ES_1[STN],ES_1[Count Exp/Sus],"",0)</f>
        <v/>
      </c>
      <c r="R144" t="str">
        <f>_xlfn.XLOOKUP(P144,ES_1[STN],ES_1[Unique Exp/Sus],"",0)</f>
        <v/>
      </c>
      <c r="S144" t="str">
        <f>_xlfn.XLOOKUP(P144,ES_1[STN],ES_1[SPECIAL_ED],"",0)</f>
        <v/>
      </c>
    </row>
    <row r="145" spans="1:19" ht="14.45">
      <c r="A145" s="32">
        <v>22914277</v>
      </c>
      <c r="B145" s="32">
        <v>4</v>
      </c>
      <c r="C145" s="33">
        <v>1</v>
      </c>
      <c r="D145" s="32" t="s">
        <v>24</v>
      </c>
      <c r="E145" s="33">
        <v>10</v>
      </c>
      <c r="F145" s="32" t="s">
        <v>25</v>
      </c>
      <c r="G145" s="34">
        <v>1</v>
      </c>
      <c r="H145" s="32" t="s">
        <v>26</v>
      </c>
      <c r="I145" s="35">
        <f>SUMIFS(ES_1[LENGTH_EX_SU],ES_1[STN],ES_1[[#This Row],[STN]],ES_1[DISCIPLINE_TYPE],"Out-of-School Suspension")+SUMIFS(ES_1[LENGTH_EX_SU],ES_1[STN],ES_1[[#This Row],[STN]],ES_1[DISCIPLINE_TYPE],"Expulsion")</f>
        <v>3</v>
      </c>
      <c r="J145" s="32">
        <f>IF(ES_1[[#This Row],[Count Exp/Sus]]&gt;10,1,0)</f>
        <v>0</v>
      </c>
      <c r="K145" s="32" t="str">
        <f t="shared" si="4"/>
        <v>0</v>
      </c>
      <c r="L145" s="32">
        <f>IF(J145=1,IF(COUNTIFS($A$3:A145,A145,J$3:J145,1)=1,A145&amp;"-included",0),0)</f>
        <v>0</v>
      </c>
      <c r="M145" s="32" cm="1">
        <f t="array" ref="M145">IF(ES_1[[#This Row],[Included Exp/Sus]]=1,IF(SUMPRODUCT((ES_1[STN]=ES_1[[#This Row],[STN]])*(ES_1[Included Exp/Sus]=1)*(ROW(ES_1[STN])&lt;=ROW()))=1,1,0),0)</f>
        <v>0</v>
      </c>
      <c r="N145" s="32" t="str">
        <f>_xlfn.XLOOKUP(ES_1[[#This Row],[STN]],SE_1[STN],SE_1[Ethnicity],"",0)</f>
        <v>Hispanic Ethnicity and of any race</v>
      </c>
      <c r="Q145" t="str">
        <f>_xlfn.XLOOKUP(P145,ES_1[STN],ES_1[Count Exp/Sus],"",0)</f>
        <v/>
      </c>
      <c r="R145" t="str">
        <f>_xlfn.XLOOKUP(P145,ES_1[STN],ES_1[Unique Exp/Sus],"",0)</f>
        <v/>
      </c>
      <c r="S145" t="str">
        <f>_xlfn.XLOOKUP(P145,ES_1[STN],ES_1[SPECIAL_ED],"",0)</f>
        <v/>
      </c>
    </row>
    <row r="146" spans="1:19" ht="14.45">
      <c r="A146" s="32">
        <v>22914277</v>
      </c>
      <c r="B146" s="32">
        <v>4</v>
      </c>
      <c r="C146" s="33">
        <v>2</v>
      </c>
      <c r="D146" s="32" t="s">
        <v>31</v>
      </c>
      <c r="E146" s="33">
        <v>11</v>
      </c>
      <c r="F146" s="32" t="s">
        <v>36</v>
      </c>
      <c r="G146" s="34">
        <v>3</v>
      </c>
      <c r="H146" s="32" t="s">
        <v>26</v>
      </c>
      <c r="I146" s="35">
        <f>SUMIFS(ES_1[LENGTH_EX_SU],ES_1[STN],ES_1[[#This Row],[STN]],ES_1[DISCIPLINE_TYPE],"Out-of-School Suspension")+SUMIFS(ES_1[LENGTH_EX_SU],ES_1[STN],ES_1[[#This Row],[STN]],ES_1[DISCIPLINE_TYPE],"Expulsion")</f>
        <v>3</v>
      </c>
      <c r="J146" s="32">
        <f>IF(ES_1[[#This Row],[Count Exp/Sus]]&gt;10,1,0)</f>
        <v>0</v>
      </c>
      <c r="K146" s="32" t="str">
        <f t="shared" si="4"/>
        <v>0</v>
      </c>
      <c r="L146" s="32">
        <f>IF(J146=1,IF(COUNTIFS($A$3:A146,A146,J$3:J146,1)=1,A146&amp;"-included",0),0)</f>
        <v>0</v>
      </c>
      <c r="M146" s="32" cm="1">
        <f t="array" ref="M146">IF(ES_1[[#This Row],[Included Exp/Sus]]=1,IF(SUMPRODUCT((ES_1[STN]=ES_1[[#This Row],[STN]])*(ES_1[Included Exp/Sus]=1)*(ROW(ES_1[STN])&lt;=ROW()))=1,1,0),0)</f>
        <v>0</v>
      </c>
      <c r="N146" s="32" t="str">
        <f>_xlfn.XLOOKUP(ES_1[[#This Row],[STN]],SE_1[STN],SE_1[Ethnicity],"",0)</f>
        <v>Hispanic Ethnicity and of any race</v>
      </c>
      <c r="Q146" t="str">
        <f>_xlfn.XLOOKUP(P146,ES_1[STN],ES_1[Count Exp/Sus],"",0)</f>
        <v/>
      </c>
      <c r="R146" t="str">
        <f>_xlfn.XLOOKUP(P146,ES_1[STN],ES_1[Unique Exp/Sus],"",0)</f>
        <v/>
      </c>
      <c r="S146" t="str">
        <f>_xlfn.XLOOKUP(P146,ES_1[STN],ES_1[SPECIAL_ED],"",0)</f>
        <v/>
      </c>
    </row>
    <row r="147" spans="1:19" ht="14.45">
      <c r="A147" s="32">
        <v>22914278</v>
      </c>
      <c r="B147" s="32">
        <v>4</v>
      </c>
      <c r="C147" s="33">
        <v>2</v>
      </c>
      <c r="D147" s="32" t="s">
        <v>31</v>
      </c>
      <c r="E147" s="33">
        <v>8</v>
      </c>
      <c r="F147" s="32" t="s">
        <v>27</v>
      </c>
      <c r="G147" s="34">
        <v>1</v>
      </c>
      <c r="H147" s="32" t="s">
        <v>29</v>
      </c>
      <c r="I147" s="35">
        <f>SUMIFS(ES_1[LENGTH_EX_SU],ES_1[STN],ES_1[[#This Row],[STN]],ES_1[DISCIPLINE_TYPE],"Out-of-School Suspension")+SUMIFS(ES_1[LENGTH_EX_SU],ES_1[STN],ES_1[[#This Row],[STN]],ES_1[DISCIPLINE_TYPE],"Expulsion")</f>
        <v>1</v>
      </c>
      <c r="J147" s="32">
        <f>IF(ES_1[[#This Row],[Count Exp/Sus]]&gt;10,1,0)</f>
        <v>0</v>
      </c>
      <c r="K147" s="32" t="str">
        <f t="shared" si="4"/>
        <v>0</v>
      </c>
      <c r="L147" s="32">
        <f>IF(J147=1,IF(COUNTIFS($A$3:A147,A147,J$3:J147,1)=1,A147&amp;"-included",0),0)</f>
        <v>0</v>
      </c>
      <c r="M147" s="32" cm="1">
        <f t="array" ref="M147">IF(ES_1[[#This Row],[Included Exp/Sus]]=1,IF(SUMPRODUCT((ES_1[STN]=ES_1[[#This Row],[STN]])*(ES_1[Included Exp/Sus]=1)*(ROW(ES_1[STN])&lt;=ROW()))=1,1,0),0)</f>
        <v>0</v>
      </c>
      <c r="N147" s="32" t="str">
        <f>_xlfn.XLOOKUP(ES_1[[#This Row],[STN]],SE_1[STN],SE_1[Ethnicity],"",0)</f>
        <v/>
      </c>
      <c r="Q147" t="str">
        <f>_xlfn.XLOOKUP(P147,ES_1[STN],ES_1[Count Exp/Sus],"",0)</f>
        <v/>
      </c>
      <c r="R147" t="str">
        <f>_xlfn.XLOOKUP(P147,ES_1[STN],ES_1[Unique Exp/Sus],"",0)</f>
        <v/>
      </c>
      <c r="S147" t="str">
        <f>_xlfn.XLOOKUP(P147,ES_1[STN],ES_1[SPECIAL_ED],"",0)</f>
        <v/>
      </c>
    </row>
    <row r="148" spans="1:19" ht="14.45">
      <c r="A148" s="32">
        <v>22914379</v>
      </c>
      <c r="B148" s="32">
        <v>3</v>
      </c>
      <c r="C148" s="33">
        <v>2</v>
      </c>
      <c r="D148" s="32" t="s">
        <v>31</v>
      </c>
      <c r="E148" s="33">
        <v>3</v>
      </c>
      <c r="F148" s="32" t="s">
        <v>39</v>
      </c>
      <c r="G148" s="34">
        <v>5</v>
      </c>
      <c r="H148" s="32" t="s">
        <v>29</v>
      </c>
      <c r="I148" s="35">
        <f>SUMIFS(ES_1[LENGTH_EX_SU],ES_1[STN],ES_1[[#This Row],[STN]],ES_1[DISCIPLINE_TYPE],"Out-of-School Suspension")+SUMIFS(ES_1[LENGTH_EX_SU],ES_1[STN],ES_1[[#This Row],[STN]],ES_1[DISCIPLINE_TYPE],"Expulsion")</f>
        <v>5</v>
      </c>
      <c r="J148" s="32">
        <f>IF(ES_1[[#This Row],[Count Exp/Sus]]&gt;10,1,0)</f>
        <v>0</v>
      </c>
      <c r="K148" s="32" t="str">
        <f t="shared" si="4"/>
        <v>0</v>
      </c>
      <c r="L148" s="32">
        <f>IF(J148=1,IF(COUNTIFS($A$3:A148,A148,J$3:J148,1)=1,A148&amp;"-included",0),0)</f>
        <v>0</v>
      </c>
      <c r="M148" s="32" cm="1">
        <f t="array" ref="M148">IF(ES_1[[#This Row],[Included Exp/Sus]]=1,IF(SUMPRODUCT((ES_1[STN]=ES_1[[#This Row],[STN]])*(ES_1[Included Exp/Sus]=1)*(ROW(ES_1[STN])&lt;=ROW()))=1,1,0),0)</f>
        <v>0</v>
      </c>
      <c r="N148" s="32" t="str">
        <f>_xlfn.XLOOKUP(ES_1[[#This Row],[STN]],SE_1[STN],SE_1[Ethnicity],"",0)</f>
        <v/>
      </c>
      <c r="Q148" t="str">
        <f>_xlfn.XLOOKUP(P148,ES_1[STN],ES_1[Count Exp/Sus],"",0)</f>
        <v/>
      </c>
      <c r="R148" t="str">
        <f>_xlfn.XLOOKUP(P148,ES_1[STN],ES_1[Unique Exp/Sus],"",0)</f>
        <v/>
      </c>
      <c r="S148" t="str">
        <f>_xlfn.XLOOKUP(P148,ES_1[STN],ES_1[SPECIAL_ED],"",0)</f>
        <v/>
      </c>
    </row>
    <row r="149" spans="1:19" ht="14.45">
      <c r="A149" s="32">
        <v>22914393</v>
      </c>
      <c r="B149" s="32">
        <v>3</v>
      </c>
      <c r="C149" s="33">
        <v>2</v>
      </c>
      <c r="D149" s="32" t="s">
        <v>31</v>
      </c>
      <c r="E149" s="33">
        <v>10</v>
      </c>
      <c r="F149" s="32" t="s">
        <v>25</v>
      </c>
      <c r="G149" s="34">
        <v>8</v>
      </c>
      <c r="H149" s="32" t="s">
        <v>26</v>
      </c>
      <c r="I149" s="35">
        <f>SUMIFS(ES_1[LENGTH_EX_SU],ES_1[STN],ES_1[[#This Row],[STN]],ES_1[DISCIPLINE_TYPE],"Out-of-School Suspension")+SUMIFS(ES_1[LENGTH_EX_SU],ES_1[STN],ES_1[[#This Row],[STN]],ES_1[DISCIPLINE_TYPE],"Expulsion")</f>
        <v>13</v>
      </c>
      <c r="J149" s="32">
        <f>IF(ES_1[[#This Row],[Count Exp/Sus]]&gt;10,1,0)</f>
        <v>1</v>
      </c>
      <c r="K149" s="32" t="str">
        <f t="shared" si="4"/>
        <v>22914393-included</v>
      </c>
      <c r="L149" s="32" t="str">
        <f>IF(J149=1,IF(COUNTIFS($A$3:A149,A149,J$3:J149,1)=1,A149&amp;"-included",0),0)</f>
        <v>22914393-included</v>
      </c>
      <c r="M149" s="32" cm="1">
        <f t="array" ref="M149">IF(ES_1[[#This Row],[Included Exp/Sus]]=1,IF(SUMPRODUCT((ES_1[STN]=ES_1[[#This Row],[STN]])*(ES_1[Included Exp/Sus]=1)*(ROW(ES_1[STN])&lt;=ROW()))=1,1,0),0)</f>
        <v>1</v>
      </c>
      <c r="N149" s="32" t="str">
        <f>_xlfn.XLOOKUP(ES_1[[#This Row],[STN]],SE_1[STN],SE_1[Ethnicity],"",0)</f>
        <v>Multiracial (two or more races)</v>
      </c>
      <c r="Q149" t="str">
        <f>_xlfn.XLOOKUP(P149,ES_1[STN],ES_1[Count Exp/Sus],"",0)</f>
        <v/>
      </c>
      <c r="R149" t="str">
        <f>_xlfn.XLOOKUP(P149,ES_1[STN],ES_1[Unique Exp/Sus],"",0)</f>
        <v/>
      </c>
      <c r="S149" t="str">
        <f>_xlfn.XLOOKUP(P149,ES_1[STN],ES_1[SPECIAL_ED],"",0)</f>
        <v/>
      </c>
    </row>
    <row r="150" spans="1:19" ht="14.45">
      <c r="A150" s="32">
        <v>22914393</v>
      </c>
      <c r="B150" s="32">
        <v>3</v>
      </c>
      <c r="C150" s="33">
        <v>2</v>
      </c>
      <c r="D150" s="32" t="s">
        <v>31</v>
      </c>
      <c r="E150" s="33">
        <v>10</v>
      </c>
      <c r="F150" s="32" t="s">
        <v>25</v>
      </c>
      <c r="G150" s="34">
        <v>1</v>
      </c>
      <c r="H150" s="32" t="s">
        <v>26</v>
      </c>
      <c r="I150" s="35">
        <f>SUMIFS(ES_1[LENGTH_EX_SU],ES_1[STN],ES_1[[#This Row],[STN]],ES_1[DISCIPLINE_TYPE],"Out-of-School Suspension")+SUMIFS(ES_1[LENGTH_EX_SU],ES_1[STN],ES_1[[#This Row],[STN]],ES_1[DISCIPLINE_TYPE],"Expulsion")</f>
        <v>13</v>
      </c>
      <c r="J150" s="32">
        <f>IF(ES_1[[#This Row],[Count Exp/Sus]]&gt;10,1,0)</f>
        <v>1</v>
      </c>
      <c r="K150" s="32" t="str">
        <f t="shared" ref="K150:K181" si="5">TRIM(IF(J150=1,A150 &amp;"-included",0))</f>
        <v>22914393-included</v>
      </c>
      <c r="L150" s="32">
        <f>IF(J150=1,IF(COUNTIFS($A$3:A150,A150,J$3:J150,1)=1,A150&amp;"-included",0),0)</f>
        <v>0</v>
      </c>
      <c r="M150" s="32" cm="1">
        <f t="array" ref="M150">IF(ES_1[[#This Row],[Included Exp/Sus]]=1,IF(SUMPRODUCT((ES_1[STN]=ES_1[[#This Row],[STN]])*(ES_1[Included Exp/Sus]=1)*(ROW(ES_1[STN])&lt;=ROW()))=1,1,0),0)</f>
        <v>0</v>
      </c>
      <c r="N150" s="32" t="str">
        <f>_xlfn.XLOOKUP(ES_1[[#This Row],[STN]],SE_1[STN],SE_1[Ethnicity],"",0)</f>
        <v>Multiracial (two or more races)</v>
      </c>
      <c r="Q150" t="str">
        <f>_xlfn.XLOOKUP(P150,ES_1[STN],ES_1[Count Exp/Sus],"",0)</f>
        <v/>
      </c>
      <c r="R150" t="str">
        <f>_xlfn.XLOOKUP(P150,ES_1[STN],ES_1[Unique Exp/Sus],"",0)</f>
        <v/>
      </c>
      <c r="S150" t="str">
        <f>_xlfn.XLOOKUP(P150,ES_1[STN],ES_1[SPECIAL_ED],"",0)</f>
        <v/>
      </c>
    </row>
    <row r="151" spans="1:19" ht="14.45">
      <c r="A151" s="32">
        <v>22914393</v>
      </c>
      <c r="B151" s="32">
        <v>3</v>
      </c>
      <c r="C151" s="33">
        <v>2</v>
      </c>
      <c r="D151" s="32" t="s">
        <v>31</v>
      </c>
      <c r="E151" s="33">
        <v>14</v>
      </c>
      <c r="F151" s="32" t="s">
        <v>32</v>
      </c>
      <c r="G151" s="34">
        <v>2</v>
      </c>
      <c r="H151" s="32" t="s">
        <v>26</v>
      </c>
      <c r="I151" s="35">
        <f>SUMIFS(ES_1[LENGTH_EX_SU],ES_1[STN],ES_1[[#This Row],[STN]],ES_1[DISCIPLINE_TYPE],"Out-of-School Suspension")+SUMIFS(ES_1[LENGTH_EX_SU],ES_1[STN],ES_1[[#This Row],[STN]],ES_1[DISCIPLINE_TYPE],"Expulsion")</f>
        <v>13</v>
      </c>
      <c r="J151" s="32">
        <f>IF(ES_1[[#This Row],[Count Exp/Sus]]&gt;10,1,0)</f>
        <v>1</v>
      </c>
      <c r="K151" s="32" t="str">
        <f t="shared" si="5"/>
        <v>22914393-included</v>
      </c>
      <c r="L151" s="32">
        <f>IF(J151=1,IF(COUNTIFS($A$3:A151,A151,J$3:J151,1)=1,A151&amp;"-included",0),0)</f>
        <v>0</v>
      </c>
      <c r="M151" s="32" cm="1">
        <f t="array" ref="M151">IF(ES_1[[#This Row],[Included Exp/Sus]]=1,IF(SUMPRODUCT((ES_1[STN]=ES_1[[#This Row],[STN]])*(ES_1[Included Exp/Sus]=1)*(ROW(ES_1[STN])&lt;=ROW()))=1,1,0),0)</f>
        <v>0</v>
      </c>
      <c r="N151" s="32" t="str">
        <f>_xlfn.XLOOKUP(ES_1[[#This Row],[STN]],SE_1[STN],SE_1[Ethnicity],"",0)</f>
        <v>Multiracial (two or more races)</v>
      </c>
      <c r="Q151" t="str">
        <f>_xlfn.XLOOKUP(P151,ES_1[STN],ES_1[Count Exp/Sus],"",0)</f>
        <v/>
      </c>
      <c r="R151" t="str">
        <f>_xlfn.XLOOKUP(P151,ES_1[STN],ES_1[Unique Exp/Sus],"",0)</f>
        <v/>
      </c>
      <c r="S151" t="str">
        <f>_xlfn.XLOOKUP(P151,ES_1[STN],ES_1[SPECIAL_ED],"",0)</f>
        <v/>
      </c>
    </row>
    <row r="152" spans="1:19" ht="14.45">
      <c r="A152" s="32">
        <v>22914393</v>
      </c>
      <c r="B152" s="32">
        <v>3</v>
      </c>
      <c r="C152" s="33">
        <v>2</v>
      </c>
      <c r="D152" s="32" t="s">
        <v>31</v>
      </c>
      <c r="E152" s="33">
        <v>8</v>
      </c>
      <c r="F152" s="32" t="s">
        <v>32</v>
      </c>
      <c r="G152" s="34">
        <v>1</v>
      </c>
      <c r="H152" s="32" t="s">
        <v>26</v>
      </c>
      <c r="I152" s="35">
        <f>SUMIFS(ES_1[LENGTH_EX_SU],ES_1[STN],ES_1[[#This Row],[STN]],ES_1[DISCIPLINE_TYPE],"Out-of-School Suspension")+SUMIFS(ES_1[LENGTH_EX_SU],ES_1[STN],ES_1[[#This Row],[STN]],ES_1[DISCIPLINE_TYPE],"Expulsion")</f>
        <v>13</v>
      </c>
      <c r="J152" s="32">
        <f>IF(ES_1[[#This Row],[Count Exp/Sus]]&gt;10,1,0)</f>
        <v>1</v>
      </c>
      <c r="K152" s="32" t="str">
        <f t="shared" si="5"/>
        <v>22914393-included</v>
      </c>
      <c r="L152" s="32">
        <f>IF(J152=1,IF(COUNTIFS($A$3:A152,A152,J$3:J152,1)=1,A152&amp;"-included",0),0)</f>
        <v>0</v>
      </c>
      <c r="M152" s="32" cm="1">
        <f t="array" ref="M152">IF(ES_1[[#This Row],[Included Exp/Sus]]=1,IF(SUMPRODUCT((ES_1[STN]=ES_1[[#This Row],[STN]])*(ES_1[Included Exp/Sus]=1)*(ROW(ES_1[STN])&lt;=ROW()))=1,1,0),0)</f>
        <v>0</v>
      </c>
      <c r="N152" s="32" t="str">
        <f>_xlfn.XLOOKUP(ES_1[[#This Row],[STN]],SE_1[STN],SE_1[Ethnicity],"",0)</f>
        <v>Multiracial (two or more races)</v>
      </c>
      <c r="Q152" t="str">
        <f>_xlfn.XLOOKUP(P152,ES_1[STN],ES_1[Count Exp/Sus],"",0)</f>
        <v/>
      </c>
      <c r="R152" t="str">
        <f>_xlfn.XLOOKUP(P152,ES_1[STN],ES_1[Unique Exp/Sus],"",0)</f>
        <v/>
      </c>
      <c r="S152" t="str">
        <f>_xlfn.XLOOKUP(P152,ES_1[STN],ES_1[SPECIAL_ED],"",0)</f>
        <v/>
      </c>
    </row>
    <row r="153" spans="1:19" ht="14.45">
      <c r="A153" s="32">
        <v>22914393</v>
      </c>
      <c r="B153" s="32">
        <v>3</v>
      </c>
      <c r="C153" s="33">
        <v>2</v>
      </c>
      <c r="D153" s="32" t="s">
        <v>31</v>
      </c>
      <c r="E153" s="33">
        <v>10</v>
      </c>
      <c r="F153" s="32" t="s">
        <v>25</v>
      </c>
      <c r="G153" s="34">
        <v>1</v>
      </c>
      <c r="H153" s="32" t="s">
        <v>26</v>
      </c>
      <c r="I153" s="35">
        <f>SUMIFS(ES_1[LENGTH_EX_SU],ES_1[STN],ES_1[[#This Row],[STN]],ES_1[DISCIPLINE_TYPE],"Out-of-School Suspension")+SUMIFS(ES_1[LENGTH_EX_SU],ES_1[STN],ES_1[[#This Row],[STN]],ES_1[DISCIPLINE_TYPE],"Expulsion")</f>
        <v>13</v>
      </c>
      <c r="J153" s="32">
        <f>IF(ES_1[[#This Row],[Count Exp/Sus]]&gt;10,1,0)</f>
        <v>1</v>
      </c>
      <c r="K153" s="32" t="str">
        <f t="shared" si="5"/>
        <v>22914393-included</v>
      </c>
      <c r="L153" s="32">
        <f>IF(J153=1,IF(COUNTIFS($A$3:A153,A153,J$3:J153,1)=1,A153&amp;"-included",0),0)</f>
        <v>0</v>
      </c>
      <c r="M153" s="32" cm="1">
        <f t="array" ref="M153">IF(ES_1[[#This Row],[Included Exp/Sus]]=1,IF(SUMPRODUCT((ES_1[STN]=ES_1[[#This Row],[STN]])*(ES_1[Included Exp/Sus]=1)*(ROW(ES_1[STN])&lt;=ROW()))=1,1,0),0)</f>
        <v>0</v>
      </c>
      <c r="N153" s="32" t="str">
        <f>_xlfn.XLOOKUP(ES_1[[#This Row],[STN]],SE_1[STN],SE_1[Ethnicity],"",0)</f>
        <v>Multiracial (two or more races)</v>
      </c>
      <c r="Q153" t="str">
        <f>_xlfn.XLOOKUP(P153,ES_1[STN],ES_1[Count Exp/Sus],"",0)</f>
        <v/>
      </c>
      <c r="R153" t="str">
        <f>_xlfn.XLOOKUP(P153,ES_1[STN],ES_1[Unique Exp/Sus],"",0)</f>
        <v/>
      </c>
      <c r="S153" t="str">
        <f>_xlfn.XLOOKUP(P153,ES_1[STN],ES_1[SPECIAL_ED],"",0)</f>
        <v/>
      </c>
    </row>
    <row r="154" spans="1:19" ht="14.45">
      <c r="A154" s="32">
        <v>22915003</v>
      </c>
      <c r="B154" s="32">
        <v>3</v>
      </c>
      <c r="C154" s="33">
        <v>2</v>
      </c>
      <c r="D154" s="32" t="s">
        <v>31</v>
      </c>
      <c r="E154" s="33">
        <v>8</v>
      </c>
      <c r="F154" s="32" t="s">
        <v>36</v>
      </c>
      <c r="G154" s="34">
        <v>2</v>
      </c>
      <c r="H154" s="32" t="s">
        <v>29</v>
      </c>
      <c r="I154" s="35">
        <f>SUMIFS(ES_1[LENGTH_EX_SU],ES_1[STN],ES_1[[#This Row],[STN]],ES_1[DISCIPLINE_TYPE],"Out-of-School Suspension")+SUMIFS(ES_1[LENGTH_EX_SU],ES_1[STN],ES_1[[#This Row],[STN]],ES_1[DISCIPLINE_TYPE],"Expulsion")</f>
        <v>2</v>
      </c>
      <c r="J154" s="32">
        <f>IF(ES_1[[#This Row],[Count Exp/Sus]]&gt;10,1,0)</f>
        <v>0</v>
      </c>
      <c r="K154" s="32" t="str">
        <f t="shared" si="5"/>
        <v>0</v>
      </c>
      <c r="L154" s="32">
        <f>IF(J154=1,IF(COUNTIFS($A$3:A154,A154,J$3:J154,1)=1,A154&amp;"-included",0),0)</f>
        <v>0</v>
      </c>
      <c r="M154" s="32" cm="1">
        <f t="array" ref="M154">IF(ES_1[[#This Row],[Included Exp/Sus]]=1,IF(SUMPRODUCT((ES_1[STN]=ES_1[[#This Row],[STN]])*(ES_1[Included Exp/Sus]=1)*(ROW(ES_1[STN])&lt;=ROW()))=1,1,0),0)</f>
        <v>0</v>
      </c>
      <c r="N154" s="32" t="str">
        <f>_xlfn.XLOOKUP(ES_1[[#This Row],[STN]],SE_1[STN],SE_1[Ethnicity],"",0)</f>
        <v/>
      </c>
      <c r="Q154" t="str">
        <f>_xlfn.XLOOKUP(P154,ES_1[STN],ES_1[Count Exp/Sus],"",0)</f>
        <v/>
      </c>
      <c r="R154" t="str">
        <f>_xlfn.XLOOKUP(P154,ES_1[STN],ES_1[Unique Exp/Sus],"",0)</f>
        <v/>
      </c>
      <c r="S154" t="str">
        <f>_xlfn.XLOOKUP(P154,ES_1[STN],ES_1[SPECIAL_ED],"",0)</f>
        <v/>
      </c>
    </row>
    <row r="155" spans="1:19" ht="14.45">
      <c r="A155" s="32">
        <v>22915043</v>
      </c>
      <c r="B155" s="32">
        <v>2</v>
      </c>
      <c r="C155" s="33">
        <v>2</v>
      </c>
      <c r="D155" s="32" t="s">
        <v>31</v>
      </c>
      <c r="E155" s="33">
        <v>11</v>
      </c>
      <c r="F155" s="32" t="s">
        <v>36</v>
      </c>
      <c r="G155" s="34">
        <v>1</v>
      </c>
      <c r="H155" s="32" t="s">
        <v>26</v>
      </c>
      <c r="I155" s="35">
        <f>SUMIFS(ES_1[LENGTH_EX_SU],ES_1[STN],ES_1[[#This Row],[STN]],ES_1[DISCIPLINE_TYPE],"Out-of-School Suspension")+SUMIFS(ES_1[LENGTH_EX_SU],ES_1[STN],ES_1[[#This Row],[STN]],ES_1[DISCIPLINE_TYPE],"Expulsion")</f>
        <v>1</v>
      </c>
      <c r="J155" s="32">
        <f>IF(ES_1[[#This Row],[Count Exp/Sus]]&gt;10,1,0)</f>
        <v>0</v>
      </c>
      <c r="K155" s="32" t="str">
        <f t="shared" si="5"/>
        <v>0</v>
      </c>
      <c r="L155" s="32">
        <f>IF(J155=1,IF(COUNTIFS($A$3:A155,A155,J$3:J155,1)=1,A155&amp;"-included",0),0)</f>
        <v>0</v>
      </c>
      <c r="M155" s="32" cm="1">
        <f t="array" ref="M155">IF(ES_1[[#This Row],[Included Exp/Sus]]=1,IF(SUMPRODUCT((ES_1[STN]=ES_1[[#This Row],[STN]])*(ES_1[Included Exp/Sus]=1)*(ROW(ES_1[STN])&lt;=ROW()))=1,1,0),0)</f>
        <v>0</v>
      </c>
      <c r="N155" s="32" t="str">
        <f>_xlfn.XLOOKUP(ES_1[[#This Row],[STN]],SE_1[STN],SE_1[Ethnicity],"",0)</f>
        <v>Hispanic Ethnicity and of any race</v>
      </c>
      <c r="Q155" t="str">
        <f>_xlfn.XLOOKUP(P155,ES_1[STN],ES_1[Count Exp/Sus],"",0)</f>
        <v/>
      </c>
      <c r="R155" t="str">
        <f>_xlfn.XLOOKUP(P155,ES_1[STN],ES_1[Unique Exp/Sus],"",0)</f>
        <v/>
      </c>
      <c r="S155" t="str">
        <f>_xlfn.XLOOKUP(P155,ES_1[STN],ES_1[SPECIAL_ED],"",0)</f>
        <v/>
      </c>
    </row>
    <row r="156" spans="1:19" ht="14.45">
      <c r="A156" s="32">
        <v>22915105</v>
      </c>
      <c r="B156" s="32">
        <v>3</v>
      </c>
      <c r="C156" s="33">
        <v>1</v>
      </c>
      <c r="D156" s="32" t="s">
        <v>24</v>
      </c>
      <c r="E156" s="33">
        <v>10</v>
      </c>
      <c r="F156" s="32" t="s">
        <v>25</v>
      </c>
      <c r="G156" s="34">
        <v>1</v>
      </c>
      <c r="H156" s="32" t="s">
        <v>29</v>
      </c>
      <c r="I156" s="35">
        <f>SUMIFS(ES_1[LENGTH_EX_SU],ES_1[STN],ES_1[[#This Row],[STN]],ES_1[DISCIPLINE_TYPE],"Out-of-School Suspension")+SUMIFS(ES_1[LENGTH_EX_SU],ES_1[STN],ES_1[[#This Row],[STN]],ES_1[DISCIPLINE_TYPE],"Expulsion")</f>
        <v>0</v>
      </c>
      <c r="J156" s="32">
        <f>IF(ES_1[[#This Row],[Count Exp/Sus]]&gt;10,1,0)</f>
        <v>0</v>
      </c>
      <c r="K156" s="32" t="str">
        <f t="shared" si="5"/>
        <v>0</v>
      </c>
      <c r="L156" s="32">
        <f>IF(J156=1,IF(COUNTIFS($A$3:A156,A156,J$3:J156,1)=1,A156&amp;"-included",0),0)</f>
        <v>0</v>
      </c>
      <c r="M156" s="32" cm="1">
        <f t="array" ref="M156">IF(ES_1[[#This Row],[Included Exp/Sus]]=1,IF(SUMPRODUCT((ES_1[STN]=ES_1[[#This Row],[STN]])*(ES_1[Included Exp/Sus]=1)*(ROW(ES_1[STN])&lt;=ROW()))=1,1,0),0)</f>
        <v>0</v>
      </c>
      <c r="N156" s="32" t="str">
        <f>_xlfn.XLOOKUP(ES_1[[#This Row],[STN]],SE_1[STN],SE_1[Ethnicity],"",0)</f>
        <v/>
      </c>
      <c r="Q156" t="str">
        <f>_xlfn.XLOOKUP(P156,ES_1[STN],ES_1[Count Exp/Sus],"",0)</f>
        <v/>
      </c>
      <c r="R156" t="str">
        <f>_xlfn.XLOOKUP(P156,ES_1[STN],ES_1[Unique Exp/Sus],"",0)</f>
        <v/>
      </c>
      <c r="S156" t="str">
        <f>_xlfn.XLOOKUP(P156,ES_1[STN],ES_1[SPECIAL_ED],"",0)</f>
        <v/>
      </c>
    </row>
    <row r="157" spans="1:19" ht="14.45">
      <c r="A157" s="32">
        <v>22915109</v>
      </c>
      <c r="B157" s="32">
        <v>3</v>
      </c>
      <c r="C157" s="33">
        <v>1</v>
      </c>
      <c r="D157" s="32" t="s">
        <v>24</v>
      </c>
      <c r="E157" s="33">
        <v>10</v>
      </c>
      <c r="F157" s="32" t="s">
        <v>25</v>
      </c>
      <c r="G157" s="34">
        <v>1</v>
      </c>
      <c r="H157" s="32" t="s">
        <v>29</v>
      </c>
      <c r="I157" s="35">
        <f>SUMIFS(ES_1[LENGTH_EX_SU],ES_1[STN],ES_1[[#This Row],[STN]],ES_1[DISCIPLINE_TYPE],"Out-of-School Suspension")+SUMIFS(ES_1[LENGTH_EX_SU],ES_1[STN],ES_1[[#This Row],[STN]],ES_1[DISCIPLINE_TYPE],"Expulsion")</f>
        <v>0</v>
      </c>
      <c r="J157" s="32">
        <f>IF(ES_1[[#This Row],[Count Exp/Sus]]&gt;10,1,0)</f>
        <v>0</v>
      </c>
      <c r="K157" s="32" t="str">
        <f t="shared" si="5"/>
        <v>0</v>
      </c>
      <c r="L157" s="32">
        <f>IF(J157=1,IF(COUNTIFS($A$3:A157,A157,J$3:J157,1)=1,A157&amp;"-included",0),0)</f>
        <v>0</v>
      </c>
      <c r="M157" s="32" cm="1">
        <f t="array" ref="M157">IF(ES_1[[#This Row],[Included Exp/Sus]]=1,IF(SUMPRODUCT((ES_1[STN]=ES_1[[#This Row],[STN]])*(ES_1[Included Exp/Sus]=1)*(ROW(ES_1[STN])&lt;=ROW()))=1,1,0),0)</f>
        <v>0</v>
      </c>
      <c r="N157" s="32" t="str">
        <f>_xlfn.XLOOKUP(ES_1[[#This Row],[STN]],SE_1[STN],SE_1[Ethnicity],"",0)</f>
        <v/>
      </c>
      <c r="Q157" t="str">
        <f>_xlfn.XLOOKUP(P157,ES_1[STN],ES_1[Count Exp/Sus],"",0)</f>
        <v/>
      </c>
      <c r="R157" t="str">
        <f>_xlfn.XLOOKUP(P157,ES_1[STN],ES_1[Unique Exp/Sus],"",0)</f>
        <v/>
      </c>
      <c r="S157" t="str">
        <f>_xlfn.XLOOKUP(P157,ES_1[STN],ES_1[SPECIAL_ED],"",0)</f>
        <v/>
      </c>
    </row>
    <row r="158" spans="1:19" ht="14.45">
      <c r="A158" s="32">
        <v>22915224</v>
      </c>
      <c r="B158" s="32">
        <v>4</v>
      </c>
      <c r="C158" s="33">
        <v>2</v>
      </c>
      <c r="D158" s="32" t="s">
        <v>31</v>
      </c>
      <c r="E158" s="33">
        <v>10</v>
      </c>
      <c r="F158" s="32" t="s">
        <v>25</v>
      </c>
      <c r="G158" s="34">
        <v>1</v>
      </c>
      <c r="H158" s="32" t="s">
        <v>26</v>
      </c>
      <c r="I158" s="35">
        <f>SUMIFS(ES_1[LENGTH_EX_SU],ES_1[STN],ES_1[[#This Row],[STN]],ES_1[DISCIPLINE_TYPE],"Out-of-School Suspension")+SUMIFS(ES_1[LENGTH_EX_SU],ES_1[STN],ES_1[[#This Row],[STN]],ES_1[DISCIPLINE_TYPE],"Expulsion")</f>
        <v>1</v>
      </c>
      <c r="J158" s="32">
        <f>IF(ES_1[[#This Row],[Count Exp/Sus]]&gt;10,1,0)</f>
        <v>0</v>
      </c>
      <c r="K158" s="32" t="str">
        <f t="shared" si="5"/>
        <v>0</v>
      </c>
      <c r="L158" s="32">
        <f>IF(J158=1,IF(COUNTIFS($A$3:A158,A158,J$3:J158,1)=1,A158&amp;"-included",0),0)</f>
        <v>0</v>
      </c>
      <c r="M158" s="32" cm="1">
        <f t="array" ref="M158">IF(ES_1[[#This Row],[Included Exp/Sus]]=1,IF(SUMPRODUCT((ES_1[STN]=ES_1[[#This Row],[STN]])*(ES_1[Included Exp/Sus]=1)*(ROW(ES_1[STN])&lt;=ROW()))=1,1,0),0)</f>
        <v>0</v>
      </c>
      <c r="N158" s="32" t="str">
        <f>_xlfn.XLOOKUP(ES_1[[#This Row],[STN]],SE_1[STN],SE_1[Ethnicity],"",0)</f>
        <v>White</v>
      </c>
      <c r="Q158" t="str">
        <f>_xlfn.XLOOKUP(P158,ES_1[STN],ES_1[Count Exp/Sus],"",0)</f>
        <v/>
      </c>
      <c r="R158" t="str">
        <f>_xlfn.XLOOKUP(P158,ES_1[STN],ES_1[Unique Exp/Sus],"",0)</f>
        <v/>
      </c>
      <c r="S158" t="str">
        <f>_xlfn.XLOOKUP(P158,ES_1[STN],ES_1[SPECIAL_ED],"",0)</f>
        <v/>
      </c>
    </row>
    <row r="159" spans="1:19" ht="14.45">
      <c r="A159" s="32">
        <v>22915242</v>
      </c>
      <c r="B159" s="32">
        <v>5</v>
      </c>
      <c r="C159" s="33">
        <v>2</v>
      </c>
      <c r="D159" s="32" t="s">
        <v>31</v>
      </c>
      <c r="E159" s="33">
        <v>10</v>
      </c>
      <c r="F159" s="32" t="s">
        <v>25</v>
      </c>
      <c r="G159" s="34">
        <v>1</v>
      </c>
      <c r="H159" s="32" t="s">
        <v>29</v>
      </c>
      <c r="I159" s="35">
        <f>SUMIFS(ES_1[LENGTH_EX_SU],ES_1[STN],ES_1[[#This Row],[STN]],ES_1[DISCIPLINE_TYPE],"Out-of-School Suspension")+SUMIFS(ES_1[LENGTH_EX_SU],ES_1[STN],ES_1[[#This Row],[STN]],ES_1[DISCIPLINE_TYPE],"Expulsion")</f>
        <v>18</v>
      </c>
      <c r="J159" s="32">
        <f>IF(ES_1[[#This Row],[Count Exp/Sus]]&gt;10,1,0)</f>
        <v>1</v>
      </c>
      <c r="K159" s="32" t="str">
        <f t="shared" si="5"/>
        <v>22915242-included</v>
      </c>
      <c r="L159" s="32" t="str">
        <f>IF(J159=1,IF(COUNTIFS($A$3:A159,A159,J$3:J159,1)=1,A159&amp;"-included",0),0)</f>
        <v>22915242-included</v>
      </c>
      <c r="M159" s="32" cm="1">
        <f t="array" ref="M159">IF(ES_1[[#This Row],[Included Exp/Sus]]=1,IF(SUMPRODUCT((ES_1[STN]=ES_1[[#This Row],[STN]])*(ES_1[Included Exp/Sus]=1)*(ROW(ES_1[STN])&lt;=ROW()))=1,1,0),0)</f>
        <v>1</v>
      </c>
      <c r="N159" s="32" t="str">
        <f>_xlfn.XLOOKUP(ES_1[[#This Row],[STN]],SE_1[STN],SE_1[Ethnicity],"",0)</f>
        <v/>
      </c>
      <c r="Q159" t="str">
        <f>_xlfn.XLOOKUP(P159,ES_1[STN],ES_1[Count Exp/Sus],"",0)</f>
        <v/>
      </c>
      <c r="R159" t="str">
        <f>_xlfn.XLOOKUP(P159,ES_1[STN],ES_1[Unique Exp/Sus],"",0)</f>
        <v/>
      </c>
      <c r="S159" t="str">
        <f>_xlfn.XLOOKUP(P159,ES_1[STN],ES_1[SPECIAL_ED],"",0)</f>
        <v/>
      </c>
    </row>
    <row r="160" spans="1:19" ht="14.45">
      <c r="A160" s="32">
        <v>22915242</v>
      </c>
      <c r="B160" s="32">
        <v>5</v>
      </c>
      <c r="C160" s="33">
        <v>2</v>
      </c>
      <c r="D160" s="32" t="s">
        <v>31</v>
      </c>
      <c r="E160" s="33">
        <v>10</v>
      </c>
      <c r="F160" s="32" t="s">
        <v>25</v>
      </c>
      <c r="G160" s="34">
        <v>5</v>
      </c>
      <c r="H160" s="32" t="s">
        <v>29</v>
      </c>
      <c r="I160" s="35">
        <f>SUMIFS(ES_1[LENGTH_EX_SU],ES_1[STN],ES_1[[#This Row],[STN]],ES_1[DISCIPLINE_TYPE],"Out-of-School Suspension")+SUMIFS(ES_1[LENGTH_EX_SU],ES_1[STN],ES_1[[#This Row],[STN]],ES_1[DISCIPLINE_TYPE],"Expulsion")</f>
        <v>18</v>
      </c>
      <c r="J160" s="32">
        <f>IF(ES_1[[#This Row],[Count Exp/Sus]]&gt;10,1,0)</f>
        <v>1</v>
      </c>
      <c r="K160" s="32" t="str">
        <f t="shared" si="5"/>
        <v>22915242-included</v>
      </c>
      <c r="L160" s="32">
        <f>IF(J160=1,IF(COUNTIFS($A$3:A160,A160,J$3:J160,1)=1,A160&amp;"-included",0),0)</f>
        <v>0</v>
      </c>
      <c r="M160" s="32" cm="1">
        <f t="array" ref="M160">IF(ES_1[[#This Row],[Included Exp/Sus]]=1,IF(SUMPRODUCT((ES_1[STN]=ES_1[[#This Row],[STN]])*(ES_1[Included Exp/Sus]=1)*(ROW(ES_1[STN])&lt;=ROW()))=1,1,0),0)</f>
        <v>0</v>
      </c>
      <c r="N160" s="32" t="str">
        <f>_xlfn.XLOOKUP(ES_1[[#This Row],[STN]],SE_1[STN],SE_1[Ethnicity],"",0)</f>
        <v/>
      </c>
      <c r="Q160" t="str">
        <f>_xlfn.XLOOKUP(P160,ES_1[STN],ES_1[Count Exp/Sus],"",0)</f>
        <v/>
      </c>
      <c r="R160" t="str">
        <f>_xlfn.XLOOKUP(P160,ES_1[STN],ES_1[Unique Exp/Sus],"",0)</f>
        <v/>
      </c>
      <c r="S160" t="str">
        <f>_xlfn.XLOOKUP(P160,ES_1[STN],ES_1[SPECIAL_ED],"",0)</f>
        <v/>
      </c>
    </row>
    <row r="161" spans="1:19" ht="14.45">
      <c r="A161" s="32">
        <v>22915242</v>
      </c>
      <c r="B161" s="32">
        <v>5</v>
      </c>
      <c r="C161" s="33">
        <v>2</v>
      </c>
      <c r="D161" s="32" t="s">
        <v>31</v>
      </c>
      <c r="E161" s="33">
        <v>10</v>
      </c>
      <c r="F161" s="32" t="s">
        <v>25</v>
      </c>
      <c r="G161" s="34">
        <v>12</v>
      </c>
      <c r="H161" s="32" t="s">
        <v>29</v>
      </c>
      <c r="I161" s="35">
        <f>SUMIFS(ES_1[LENGTH_EX_SU],ES_1[STN],ES_1[[#This Row],[STN]],ES_1[DISCIPLINE_TYPE],"Out-of-School Suspension")+SUMIFS(ES_1[LENGTH_EX_SU],ES_1[STN],ES_1[[#This Row],[STN]],ES_1[DISCIPLINE_TYPE],"Expulsion")</f>
        <v>18</v>
      </c>
      <c r="J161" s="32">
        <f>IF(ES_1[[#This Row],[Count Exp/Sus]]&gt;10,1,0)</f>
        <v>1</v>
      </c>
      <c r="K161" s="32" t="str">
        <f t="shared" si="5"/>
        <v>22915242-included</v>
      </c>
      <c r="L161" s="32">
        <f>IF(J161=1,IF(COUNTIFS($A$3:A161,A161,J$3:J161,1)=1,A161&amp;"-included",0),0)</f>
        <v>0</v>
      </c>
      <c r="M161" s="32" cm="1">
        <f t="array" ref="M161">IF(ES_1[[#This Row],[Included Exp/Sus]]=1,IF(SUMPRODUCT((ES_1[STN]=ES_1[[#This Row],[STN]])*(ES_1[Included Exp/Sus]=1)*(ROW(ES_1[STN])&lt;=ROW()))=1,1,0),0)</f>
        <v>0</v>
      </c>
      <c r="N161" s="32" t="str">
        <f>_xlfn.XLOOKUP(ES_1[[#This Row],[STN]],SE_1[STN],SE_1[Ethnicity],"",0)</f>
        <v/>
      </c>
      <c r="Q161" t="str">
        <f>_xlfn.XLOOKUP(P161,ES_1[STN],ES_1[Count Exp/Sus],"",0)</f>
        <v/>
      </c>
      <c r="R161" t="str">
        <f>_xlfn.XLOOKUP(P161,ES_1[STN],ES_1[Unique Exp/Sus],"",0)</f>
        <v/>
      </c>
      <c r="S161" t="str">
        <f>_xlfn.XLOOKUP(P161,ES_1[STN],ES_1[SPECIAL_ED],"",0)</f>
        <v/>
      </c>
    </row>
    <row r="162" spans="1:19" ht="14.45">
      <c r="A162" s="32">
        <v>22915250</v>
      </c>
      <c r="B162" s="32">
        <v>4</v>
      </c>
      <c r="C162" s="33">
        <v>1</v>
      </c>
      <c r="D162" s="32" t="s">
        <v>24</v>
      </c>
      <c r="E162" s="33">
        <v>15</v>
      </c>
      <c r="F162" s="32" t="s">
        <v>27</v>
      </c>
      <c r="G162" s="34">
        <v>1</v>
      </c>
      <c r="H162" s="32" t="s">
        <v>29</v>
      </c>
      <c r="I162" s="35">
        <f>SUMIFS(ES_1[LENGTH_EX_SU],ES_1[STN],ES_1[[#This Row],[STN]],ES_1[DISCIPLINE_TYPE],"Out-of-School Suspension")+SUMIFS(ES_1[LENGTH_EX_SU],ES_1[STN],ES_1[[#This Row],[STN]],ES_1[DISCIPLINE_TYPE],"Expulsion")</f>
        <v>0</v>
      </c>
      <c r="J162" s="32">
        <f>IF(ES_1[[#This Row],[Count Exp/Sus]]&gt;10,1,0)</f>
        <v>0</v>
      </c>
      <c r="K162" s="32" t="str">
        <f t="shared" si="5"/>
        <v>0</v>
      </c>
      <c r="L162" s="32">
        <f>IF(J162=1,IF(COUNTIFS($A$3:A162,A162,J$3:J162,1)=1,A162&amp;"-included",0),0)</f>
        <v>0</v>
      </c>
      <c r="M162" s="32" cm="1">
        <f t="array" ref="M162">IF(ES_1[[#This Row],[Included Exp/Sus]]=1,IF(SUMPRODUCT((ES_1[STN]=ES_1[[#This Row],[STN]])*(ES_1[Included Exp/Sus]=1)*(ROW(ES_1[STN])&lt;=ROW()))=1,1,0),0)</f>
        <v>0</v>
      </c>
      <c r="N162" s="32" t="str">
        <f>_xlfn.XLOOKUP(ES_1[[#This Row],[STN]],SE_1[STN],SE_1[Ethnicity],"",0)</f>
        <v/>
      </c>
      <c r="Q162" t="str">
        <f>_xlfn.XLOOKUP(P162,ES_1[STN],ES_1[Count Exp/Sus],"",0)</f>
        <v/>
      </c>
      <c r="R162" t="str">
        <f>_xlfn.XLOOKUP(P162,ES_1[STN],ES_1[Unique Exp/Sus],"",0)</f>
        <v/>
      </c>
      <c r="S162" t="str">
        <f>_xlfn.XLOOKUP(P162,ES_1[STN],ES_1[SPECIAL_ED],"",0)</f>
        <v/>
      </c>
    </row>
    <row r="163" spans="1:19" ht="14.45">
      <c r="A163" s="32">
        <v>22915388</v>
      </c>
      <c r="B163" s="32">
        <v>5</v>
      </c>
      <c r="C163" s="33">
        <v>2</v>
      </c>
      <c r="D163" s="32" t="s">
        <v>31</v>
      </c>
      <c r="E163" s="33">
        <v>11</v>
      </c>
      <c r="F163" s="32" t="s">
        <v>36</v>
      </c>
      <c r="G163" s="34">
        <v>2</v>
      </c>
      <c r="H163" s="32" t="s">
        <v>26</v>
      </c>
      <c r="I163" s="35">
        <f>SUMIFS(ES_1[LENGTH_EX_SU],ES_1[STN],ES_1[[#This Row],[STN]],ES_1[DISCIPLINE_TYPE],"Out-of-School Suspension")+SUMIFS(ES_1[LENGTH_EX_SU],ES_1[STN],ES_1[[#This Row],[STN]],ES_1[DISCIPLINE_TYPE],"Expulsion")</f>
        <v>9</v>
      </c>
      <c r="J163" s="32">
        <f>IF(ES_1[[#This Row],[Count Exp/Sus]]&gt;10,1,0)</f>
        <v>0</v>
      </c>
      <c r="K163" s="32" t="str">
        <f t="shared" si="5"/>
        <v>0</v>
      </c>
      <c r="L163" s="32">
        <f>IF(J163=1,IF(COUNTIFS($A$3:A163,A163,J$3:J163,1)=1,A163&amp;"-included",0),0)</f>
        <v>0</v>
      </c>
      <c r="M163" s="32" cm="1">
        <f t="array" ref="M163">IF(ES_1[[#This Row],[Included Exp/Sus]]=1,IF(SUMPRODUCT((ES_1[STN]=ES_1[[#This Row],[STN]])*(ES_1[Included Exp/Sus]=1)*(ROW(ES_1[STN])&lt;=ROW()))=1,1,0),0)</f>
        <v>0</v>
      </c>
      <c r="N163" s="32" t="str">
        <f>_xlfn.XLOOKUP(ES_1[[#This Row],[STN]],SE_1[STN],SE_1[Ethnicity],"",0)</f>
        <v>White</v>
      </c>
      <c r="Q163" t="str">
        <f>_xlfn.XLOOKUP(P163,ES_1[STN],ES_1[Count Exp/Sus],"",0)</f>
        <v/>
      </c>
      <c r="R163" t="str">
        <f>_xlfn.XLOOKUP(P163,ES_1[STN],ES_1[Unique Exp/Sus],"",0)</f>
        <v/>
      </c>
      <c r="S163" t="str">
        <f>_xlfn.XLOOKUP(P163,ES_1[STN],ES_1[SPECIAL_ED],"",0)</f>
        <v/>
      </c>
    </row>
    <row r="164" spans="1:19" ht="14.45">
      <c r="A164" s="32">
        <v>22915388</v>
      </c>
      <c r="B164" s="32">
        <v>5</v>
      </c>
      <c r="C164" s="33">
        <v>2</v>
      </c>
      <c r="D164" s="32" t="s">
        <v>31</v>
      </c>
      <c r="E164" s="33">
        <v>11</v>
      </c>
      <c r="F164" s="32" t="s">
        <v>36</v>
      </c>
      <c r="G164" s="34">
        <v>1</v>
      </c>
      <c r="H164" s="32" t="s">
        <v>26</v>
      </c>
      <c r="I164" s="35">
        <f>SUMIFS(ES_1[LENGTH_EX_SU],ES_1[STN],ES_1[[#This Row],[STN]],ES_1[DISCIPLINE_TYPE],"Out-of-School Suspension")+SUMIFS(ES_1[LENGTH_EX_SU],ES_1[STN],ES_1[[#This Row],[STN]],ES_1[DISCIPLINE_TYPE],"Expulsion")</f>
        <v>9</v>
      </c>
      <c r="J164" s="32">
        <f>IF(ES_1[[#This Row],[Count Exp/Sus]]&gt;10,1,0)</f>
        <v>0</v>
      </c>
      <c r="K164" s="32" t="str">
        <f t="shared" si="5"/>
        <v>0</v>
      </c>
      <c r="L164" s="32">
        <f>IF(J164=1,IF(COUNTIFS($A$3:A164,A164,J$3:J164,1)=1,A164&amp;"-included",0),0)</f>
        <v>0</v>
      </c>
      <c r="M164" s="32" cm="1">
        <f t="array" ref="M164">IF(ES_1[[#This Row],[Included Exp/Sus]]=1,IF(SUMPRODUCT((ES_1[STN]=ES_1[[#This Row],[STN]])*(ES_1[Included Exp/Sus]=1)*(ROW(ES_1[STN])&lt;=ROW()))=1,1,0),0)</f>
        <v>0</v>
      </c>
      <c r="N164" s="32" t="str">
        <f>_xlfn.XLOOKUP(ES_1[[#This Row],[STN]],SE_1[STN],SE_1[Ethnicity],"",0)</f>
        <v>White</v>
      </c>
      <c r="Q164" t="str">
        <f>_xlfn.XLOOKUP(P164,ES_1[STN],ES_1[Count Exp/Sus],"",0)</f>
        <v/>
      </c>
      <c r="R164" t="str">
        <f>_xlfn.XLOOKUP(P164,ES_1[STN],ES_1[Unique Exp/Sus],"",0)</f>
        <v/>
      </c>
      <c r="S164" t="str">
        <f>_xlfn.XLOOKUP(P164,ES_1[STN],ES_1[SPECIAL_ED],"",0)</f>
        <v/>
      </c>
    </row>
    <row r="165" spans="1:19" ht="14.45">
      <c r="A165" s="32">
        <v>22915388</v>
      </c>
      <c r="B165" s="32">
        <v>5</v>
      </c>
      <c r="C165" s="33">
        <v>2</v>
      </c>
      <c r="D165" s="32" t="s">
        <v>31</v>
      </c>
      <c r="E165" s="33">
        <v>11</v>
      </c>
      <c r="F165" s="32" t="s">
        <v>36</v>
      </c>
      <c r="G165" s="34">
        <v>1</v>
      </c>
      <c r="H165" s="32" t="s">
        <v>26</v>
      </c>
      <c r="I165" s="35">
        <f>SUMIFS(ES_1[LENGTH_EX_SU],ES_1[STN],ES_1[[#This Row],[STN]],ES_1[DISCIPLINE_TYPE],"Out-of-School Suspension")+SUMIFS(ES_1[LENGTH_EX_SU],ES_1[STN],ES_1[[#This Row],[STN]],ES_1[DISCIPLINE_TYPE],"Expulsion")</f>
        <v>9</v>
      </c>
      <c r="J165" s="32">
        <f>IF(ES_1[[#This Row],[Count Exp/Sus]]&gt;10,1,0)</f>
        <v>0</v>
      </c>
      <c r="K165" s="32" t="str">
        <f t="shared" si="5"/>
        <v>0</v>
      </c>
      <c r="L165" s="32">
        <f>IF(J165=1,IF(COUNTIFS($A$3:A165,A165,J$3:J165,1)=1,A165&amp;"-included",0),0)</f>
        <v>0</v>
      </c>
      <c r="M165" s="32" cm="1">
        <f t="array" ref="M165">IF(ES_1[[#This Row],[Included Exp/Sus]]=1,IF(SUMPRODUCT((ES_1[STN]=ES_1[[#This Row],[STN]])*(ES_1[Included Exp/Sus]=1)*(ROW(ES_1[STN])&lt;=ROW()))=1,1,0),0)</f>
        <v>0</v>
      </c>
      <c r="N165" s="32" t="str">
        <f>_xlfn.XLOOKUP(ES_1[[#This Row],[STN]],SE_1[STN],SE_1[Ethnicity],"",0)</f>
        <v>White</v>
      </c>
      <c r="Q165" t="str">
        <f>_xlfn.XLOOKUP(P165,ES_1[STN],ES_1[Count Exp/Sus],"",0)</f>
        <v/>
      </c>
      <c r="R165" t="str">
        <f>_xlfn.XLOOKUP(P165,ES_1[STN],ES_1[Unique Exp/Sus],"",0)</f>
        <v/>
      </c>
      <c r="S165" t="str">
        <f>_xlfn.XLOOKUP(P165,ES_1[STN],ES_1[SPECIAL_ED],"",0)</f>
        <v/>
      </c>
    </row>
    <row r="166" spans="1:19" ht="14.45">
      <c r="A166" s="32">
        <v>22915388</v>
      </c>
      <c r="B166" s="32">
        <v>5</v>
      </c>
      <c r="C166" s="33">
        <v>2</v>
      </c>
      <c r="D166" s="32" t="s">
        <v>31</v>
      </c>
      <c r="E166" s="33">
        <v>11</v>
      </c>
      <c r="F166" s="32" t="s">
        <v>36</v>
      </c>
      <c r="G166" s="34">
        <v>5</v>
      </c>
      <c r="H166" s="32" t="s">
        <v>26</v>
      </c>
      <c r="I166" s="35">
        <f>SUMIFS(ES_1[LENGTH_EX_SU],ES_1[STN],ES_1[[#This Row],[STN]],ES_1[DISCIPLINE_TYPE],"Out-of-School Suspension")+SUMIFS(ES_1[LENGTH_EX_SU],ES_1[STN],ES_1[[#This Row],[STN]],ES_1[DISCIPLINE_TYPE],"Expulsion")</f>
        <v>9</v>
      </c>
      <c r="J166" s="32">
        <f>IF(ES_1[[#This Row],[Count Exp/Sus]]&gt;10,1,0)</f>
        <v>0</v>
      </c>
      <c r="K166" s="32" t="str">
        <f t="shared" si="5"/>
        <v>0</v>
      </c>
      <c r="L166" s="32">
        <f>IF(J166=1,IF(COUNTIFS($A$3:A166,A166,J$3:J166,1)=1,A166&amp;"-included",0),0)</f>
        <v>0</v>
      </c>
      <c r="M166" s="32" cm="1">
        <f t="array" ref="M166">IF(ES_1[[#This Row],[Included Exp/Sus]]=1,IF(SUMPRODUCT((ES_1[STN]=ES_1[[#This Row],[STN]])*(ES_1[Included Exp/Sus]=1)*(ROW(ES_1[STN])&lt;=ROW()))=1,1,0),0)</f>
        <v>0</v>
      </c>
      <c r="N166" s="32" t="str">
        <f>_xlfn.XLOOKUP(ES_1[[#This Row],[STN]],SE_1[STN],SE_1[Ethnicity],"",0)</f>
        <v>White</v>
      </c>
      <c r="Q166" t="str">
        <f>_xlfn.XLOOKUP(P166,ES_1[STN],ES_1[Count Exp/Sus],"",0)</f>
        <v/>
      </c>
      <c r="R166" t="str">
        <f>_xlfn.XLOOKUP(P166,ES_1[STN],ES_1[Unique Exp/Sus],"",0)</f>
        <v/>
      </c>
      <c r="S166" t="str">
        <f>_xlfn.XLOOKUP(P166,ES_1[STN],ES_1[SPECIAL_ED],"",0)</f>
        <v/>
      </c>
    </row>
    <row r="167" spans="1:19" ht="14.45">
      <c r="A167" s="32">
        <v>22915531</v>
      </c>
      <c r="B167" s="32">
        <v>9</v>
      </c>
      <c r="C167" s="33">
        <v>2</v>
      </c>
      <c r="D167" s="32" t="s">
        <v>31</v>
      </c>
      <c r="E167" s="33">
        <v>10</v>
      </c>
      <c r="F167" s="32" t="s">
        <v>25</v>
      </c>
      <c r="G167" s="34">
        <v>3</v>
      </c>
      <c r="H167" s="32" t="s">
        <v>26</v>
      </c>
      <c r="I167" s="35">
        <f>SUMIFS(ES_1[LENGTH_EX_SU],ES_1[STN],ES_1[[#This Row],[STN]],ES_1[DISCIPLINE_TYPE],"Out-of-School Suspension")+SUMIFS(ES_1[LENGTH_EX_SU],ES_1[STN],ES_1[[#This Row],[STN]],ES_1[DISCIPLINE_TYPE],"Expulsion")</f>
        <v>4</v>
      </c>
      <c r="J167" s="32">
        <f>IF(ES_1[[#This Row],[Count Exp/Sus]]&gt;10,1,0)</f>
        <v>0</v>
      </c>
      <c r="K167" s="32" t="str">
        <f t="shared" si="5"/>
        <v>0</v>
      </c>
      <c r="L167" s="32">
        <f>IF(J167=1,IF(COUNTIFS($A$3:A167,A167,J$3:J167,1)=1,A167&amp;"-included",0),0)</f>
        <v>0</v>
      </c>
      <c r="M167" s="32" cm="1">
        <f t="array" ref="M167">IF(ES_1[[#This Row],[Included Exp/Sus]]=1,IF(SUMPRODUCT((ES_1[STN]=ES_1[[#This Row],[STN]])*(ES_1[Included Exp/Sus]=1)*(ROW(ES_1[STN])&lt;=ROW()))=1,1,0),0)</f>
        <v>0</v>
      </c>
      <c r="N167" s="32" t="str">
        <f>_xlfn.XLOOKUP(ES_1[[#This Row],[STN]],SE_1[STN],SE_1[Ethnicity],"",0)</f>
        <v>Hispanic Ethnicity and of any race</v>
      </c>
      <c r="Q167" t="str">
        <f>_xlfn.XLOOKUP(P167,ES_1[STN],ES_1[Count Exp/Sus],"",0)</f>
        <v/>
      </c>
      <c r="R167" t="str">
        <f>_xlfn.XLOOKUP(P167,ES_1[STN],ES_1[Unique Exp/Sus],"",0)</f>
        <v/>
      </c>
      <c r="S167" t="str">
        <f>_xlfn.XLOOKUP(P167,ES_1[STN],ES_1[SPECIAL_ED],"",0)</f>
        <v/>
      </c>
    </row>
    <row r="168" spans="1:19" ht="14.45">
      <c r="A168" s="32">
        <v>22915531</v>
      </c>
      <c r="B168" s="32">
        <v>9</v>
      </c>
      <c r="C168" s="33">
        <v>2</v>
      </c>
      <c r="D168" s="32" t="s">
        <v>31</v>
      </c>
      <c r="E168" s="33">
        <v>10</v>
      </c>
      <c r="F168" s="32" t="s">
        <v>25</v>
      </c>
      <c r="G168" s="34">
        <v>1</v>
      </c>
      <c r="H168" s="32" t="s">
        <v>26</v>
      </c>
      <c r="I168" s="35">
        <f>SUMIFS(ES_1[LENGTH_EX_SU],ES_1[STN],ES_1[[#This Row],[STN]],ES_1[DISCIPLINE_TYPE],"Out-of-School Suspension")+SUMIFS(ES_1[LENGTH_EX_SU],ES_1[STN],ES_1[[#This Row],[STN]],ES_1[DISCIPLINE_TYPE],"Expulsion")</f>
        <v>4</v>
      </c>
      <c r="J168" s="32">
        <f>IF(ES_1[[#This Row],[Count Exp/Sus]]&gt;10,1,0)</f>
        <v>0</v>
      </c>
      <c r="K168" s="32" t="str">
        <f t="shared" si="5"/>
        <v>0</v>
      </c>
      <c r="L168" s="32">
        <f>IF(J168=1,IF(COUNTIFS($A$3:A168,A168,J$3:J168,1)=1,A168&amp;"-included",0),0)</f>
        <v>0</v>
      </c>
      <c r="M168" s="32" cm="1">
        <f t="array" ref="M168">IF(ES_1[[#This Row],[Included Exp/Sus]]=1,IF(SUMPRODUCT((ES_1[STN]=ES_1[[#This Row],[STN]])*(ES_1[Included Exp/Sus]=1)*(ROW(ES_1[STN])&lt;=ROW()))=1,1,0),0)</f>
        <v>0</v>
      </c>
      <c r="N168" s="32" t="str">
        <f>_xlfn.XLOOKUP(ES_1[[#This Row],[STN]],SE_1[STN],SE_1[Ethnicity],"",0)</f>
        <v>Hispanic Ethnicity and of any race</v>
      </c>
      <c r="Q168" t="str">
        <f>_xlfn.XLOOKUP(P168,ES_1[STN],ES_1[Count Exp/Sus],"",0)</f>
        <v/>
      </c>
      <c r="R168" t="str">
        <f>_xlfn.XLOOKUP(P168,ES_1[STN],ES_1[Unique Exp/Sus],"",0)</f>
        <v/>
      </c>
      <c r="S168" t="str">
        <f>_xlfn.XLOOKUP(P168,ES_1[STN],ES_1[SPECIAL_ED],"",0)</f>
        <v/>
      </c>
    </row>
    <row r="169" spans="1:19" ht="14.45">
      <c r="A169" s="32">
        <v>22916047</v>
      </c>
      <c r="B169" s="32">
        <v>2</v>
      </c>
      <c r="C169" s="33">
        <v>1</v>
      </c>
      <c r="D169" s="32" t="s">
        <v>24</v>
      </c>
      <c r="E169" s="33">
        <v>15</v>
      </c>
      <c r="F169" s="32" t="s">
        <v>27</v>
      </c>
      <c r="G169" s="34">
        <v>1</v>
      </c>
      <c r="H169" s="32" t="s">
        <v>29</v>
      </c>
      <c r="I169" s="35">
        <f>SUMIFS(ES_1[LENGTH_EX_SU],ES_1[STN],ES_1[[#This Row],[STN]],ES_1[DISCIPLINE_TYPE],"Out-of-School Suspension")+SUMIFS(ES_1[LENGTH_EX_SU],ES_1[STN],ES_1[[#This Row],[STN]],ES_1[DISCIPLINE_TYPE],"Expulsion")</f>
        <v>0</v>
      </c>
      <c r="J169" s="32">
        <f>IF(ES_1[[#This Row],[Count Exp/Sus]]&gt;10,1,0)</f>
        <v>0</v>
      </c>
      <c r="K169" s="32" t="str">
        <f t="shared" si="5"/>
        <v>0</v>
      </c>
      <c r="L169" s="32">
        <f>IF(J169=1,IF(COUNTIFS($A$3:A169,A169,J$3:J169,1)=1,A169&amp;"-included",0),0)</f>
        <v>0</v>
      </c>
      <c r="M169" s="32" cm="1">
        <f t="array" ref="M169">IF(ES_1[[#This Row],[Included Exp/Sus]]=1,IF(SUMPRODUCT((ES_1[STN]=ES_1[[#This Row],[STN]])*(ES_1[Included Exp/Sus]=1)*(ROW(ES_1[STN])&lt;=ROW()))=1,1,0),0)</f>
        <v>0</v>
      </c>
      <c r="N169" s="32" t="str">
        <f>_xlfn.XLOOKUP(ES_1[[#This Row],[STN]],SE_1[STN],SE_1[Ethnicity],"",0)</f>
        <v/>
      </c>
      <c r="Q169" t="str">
        <f>_xlfn.XLOOKUP(P169,ES_1[STN],ES_1[Count Exp/Sus],"",0)</f>
        <v/>
      </c>
      <c r="R169" t="str">
        <f>_xlfn.XLOOKUP(P169,ES_1[STN],ES_1[Unique Exp/Sus],"",0)</f>
        <v/>
      </c>
      <c r="S169" t="str">
        <f>_xlfn.XLOOKUP(P169,ES_1[STN],ES_1[SPECIAL_ED],"",0)</f>
        <v/>
      </c>
    </row>
    <row r="170" spans="1:19" ht="14.45">
      <c r="A170" s="32">
        <v>22916139</v>
      </c>
      <c r="B170" s="32">
        <v>3</v>
      </c>
      <c r="C170" s="33">
        <v>2</v>
      </c>
      <c r="D170" s="32" t="s">
        <v>31</v>
      </c>
      <c r="E170" s="33">
        <v>15</v>
      </c>
      <c r="F170" s="32" t="s">
        <v>27</v>
      </c>
      <c r="G170" s="34">
        <v>1</v>
      </c>
      <c r="H170" s="32" t="s">
        <v>29</v>
      </c>
      <c r="I170" s="35">
        <f>SUMIFS(ES_1[LENGTH_EX_SU],ES_1[STN],ES_1[[#This Row],[STN]],ES_1[DISCIPLINE_TYPE],"Out-of-School Suspension")+SUMIFS(ES_1[LENGTH_EX_SU],ES_1[STN],ES_1[[#This Row],[STN]],ES_1[DISCIPLINE_TYPE],"Expulsion")</f>
        <v>4</v>
      </c>
      <c r="J170" s="32">
        <f>IF(ES_1[[#This Row],[Count Exp/Sus]]&gt;10,1,0)</f>
        <v>0</v>
      </c>
      <c r="K170" s="32" t="str">
        <f t="shared" si="5"/>
        <v>0</v>
      </c>
      <c r="L170" s="32">
        <f>IF(J170=1,IF(COUNTIFS($A$3:A170,A170,J$3:J170,1)=1,A170&amp;"-included",0),0)</f>
        <v>0</v>
      </c>
      <c r="M170" s="32" cm="1">
        <f t="array" ref="M170">IF(ES_1[[#This Row],[Included Exp/Sus]]=1,IF(SUMPRODUCT((ES_1[STN]=ES_1[[#This Row],[STN]])*(ES_1[Included Exp/Sus]=1)*(ROW(ES_1[STN])&lt;=ROW()))=1,1,0),0)</f>
        <v>0</v>
      </c>
      <c r="N170" s="32" t="str">
        <f>_xlfn.XLOOKUP(ES_1[[#This Row],[STN]],SE_1[STN],SE_1[Ethnicity],"",0)</f>
        <v/>
      </c>
      <c r="Q170" t="str">
        <f>_xlfn.XLOOKUP(P170,ES_1[STN],ES_1[Count Exp/Sus],"",0)</f>
        <v/>
      </c>
      <c r="R170" t="str">
        <f>_xlfn.XLOOKUP(P170,ES_1[STN],ES_1[Unique Exp/Sus],"",0)</f>
        <v/>
      </c>
      <c r="S170" t="str">
        <f>_xlfn.XLOOKUP(P170,ES_1[STN],ES_1[SPECIAL_ED],"",0)</f>
        <v/>
      </c>
    </row>
    <row r="171" spans="1:19" ht="14.45">
      <c r="A171" s="32">
        <v>22916139</v>
      </c>
      <c r="B171" s="32">
        <v>3</v>
      </c>
      <c r="C171" s="33">
        <v>2</v>
      </c>
      <c r="D171" s="32" t="s">
        <v>31</v>
      </c>
      <c r="E171" s="33">
        <v>15</v>
      </c>
      <c r="F171" s="32" t="s">
        <v>27</v>
      </c>
      <c r="G171" s="34">
        <v>1</v>
      </c>
      <c r="H171" s="32" t="s">
        <v>29</v>
      </c>
      <c r="I171" s="35">
        <f>SUMIFS(ES_1[LENGTH_EX_SU],ES_1[STN],ES_1[[#This Row],[STN]],ES_1[DISCIPLINE_TYPE],"Out-of-School Suspension")+SUMIFS(ES_1[LENGTH_EX_SU],ES_1[STN],ES_1[[#This Row],[STN]],ES_1[DISCIPLINE_TYPE],"Expulsion")</f>
        <v>4</v>
      </c>
      <c r="J171" s="32">
        <f>IF(ES_1[[#This Row],[Count Exp/Sus]]&gt;10,1,0)</f>
        <v>0</v>
      </c>
      <c r="K171" s="32" t="str">
        <f t="shared" si="5"/>
        <v>0</v>
      </c>
      <c r="L171" s="32">
        <f>IF(J171=1,IF(COUNTIFS($A$3:A171,A171,J$3:J171,1)=1,A171&amp;"-included",0),0)</f>
        <v>0</v>
      </c>
      <c r="M171" s="32" cm="1">
        <f t="array" ref="M171">IF(ES_1[[#This Row],[Included Exp/Sus]]=1,IF(SUMPRODUCT((ES_1[STN]=ES_1[[#This Row],[STN]])*(ES_1[Included Exp/Sus]=1)*(ROW(ES_1[STN])&lt;=ROW()))=1,1,0),0)</f>
        <v>0</v>
      </c>
      <c r="N171" s="32" t="str">
        <f>_xlfn.XLOOKUP(ES_1[[#This Row],[STN]],SE_1[STN],SE_1[Ethnicity],"",0)</f>
        <v/>
      </c>
      <c r="Q171" t="str">
        <f>_xlfn.XLOOKUP(P171,ES_1[STN],ES_1[Count Exp/Sus],"",0)</f>
        <v/>
      </c>
      <c r="R171" t="str">
        <f>_xlfn.XLOOKUP(P171,ES_1[STN],ES_1[Unique Exp/Sus],"",0)</f>
        <v/>
      </c>
      <c r="S171" t="str">
        <f>_xlfn.XLOOKUP(P171,ES_1[STN],ES_1[SPECIAL_ED],"",0)</f>
        <v/>
      </c>
    </row>
    <row r="172" spans="1:19" ht="14.45">
      <c r="A172" s="32">
        <v>22916139</v>
      </c>
      <c r="B172" s="32">
        <v>3</v>
      </c>
      <c r="C172" s="33">
        <v>1</v>
      </c>
      <c r="D172" s="32" t="s">
        <v>24</v>
      </c>
      <c r="E172" s="33">
        <v>10</v>
      </c>
      <c r="F172" s="32" t="s">
        <v>25</v>
      </c>
      <c r="G172" s="34">
        <v>1</v>
      </c>
      <c r="H172" s="32" t="s">
        <v>29</v>
      </c>
      <c r="I172" s="35">
        <f>SUMIFS(ES_1[LENGTH_EX_SU],ES_1[STN],ES_1[[#This Row],[STN]],ES_1[DISCIPLINE_TYPE],"Out-of-School Suspension")+SUMIFS(ES_1[LENGTH_EX_SU],ES_1[STN],ES_1[[#This Row],[STN]],ES_1[DISCIPLINE_TYPE],"Expulsion")</f>
        <v>4</v>
      </c>
      <c r="J172" s="32">
        <f>IF(ES_1[[#This Row],[Count Exp/Sus]]&gt;10,1,0)</f>
        <v>0</v>
      </c>
      <c r="K172" s="32" t="str">
        <f t="shared" si="5"/>
        <v>0</v>
      </c>
      <c r="L172" s="32">
        <f>IF(J172=1,IF(COUNTIFS($A$3:A172,A172,J$3:J172,1)=1,A172&amp;"-included",0),0)</f>
        <v>0</v>
      </c>
      <c r="M172" s="32" cm="1">
        <f t="array" ref="M172">IF(ES_1[[#This Row],[Included Exp/Sus]]=1,IF(SUMPRODUCT((ES_1[STN]=ES_1[[#This Row],[STN]])*(ES_1[Included Exp/Sus]=1)*(ROW(ES_1[STN])&lt;=ROW()))=1,1,0),0)</f>
        <v>0</v>
      </c>
      <c r="N172" s="32" t="str">
        <f>_xlfn.XLOOKUP(ES_1[[#This Row],[STN]],SE_1[STN],SE_1[Ethnicity],"",0)</f>
        <v/>
      </c>
      <c r="Q172" t="str">
        <f>_xlfn.XLOOKUP(P172,ES_1[STN],ES_1[Count Exp/Sus],"",0)</f>
        <v/>
      </c>
      <c r="R172" t="str">
        <f>_xlfn.XLOOKUP(P172,ES_1[STN],ES_1[Unique Exp/Sus],"",0)</f>
        <v/>
      </c>
      <c r="S172" t="str">
        <f>_xlfn.XLOOKUP(P172,ES_1[STN],ES_1[SPECIAL_ED],"",0)</f>
        <v/>
      </c>
    </row>
    <row r="173" spans="1:19" ht="14.45">
      <c r="A173" s="32">
        <v>22916139</v>
      </c>
      <c r="B173" s="32">
        <v>3</v>
      </c>
      <c r="C173" s="33">
        <v>2</v>
      </c>
      <c r="D173" s="32" t="s">
        <v>31</v>
      </c>
      <c r="E173" s="33">
        <v>15</v>
      </c>
      <c r="F173" s="32" t="s">
        <v>27</v>
      </c>
      <c r="G173" s="34">
        <v>1</v>
      </c>
      <c r="H173" s="32" t="s">
        <v>29</v>
      </c>
      <c r="I173" s="35">
        <f>SUMIFS(ES_1[LENGTH_EX_SU],ES_1[STN],ES_1[[#This Row],[STN]],ES_1[DISCIPLINE_TYPE],"Out-of-School Suspension")+SUMIFS(ES_1[LENGTH_EX_SU],ES_1[STN],ES_1[[#This Row],[STN]],ES_1[DISCIPLINE_TYPE],"Expulsion")</f>
        <v>4</v>
      </c>
      <c r="J173" s="32">
        <f>IF(ES_1[[#This Row],[Count Exp/Sus]]&gt;10,1,0)</f>
        <v>0</v>
      </c>
      <c r="K173" s="32" t="str">
        <f t="shared" si="5"/>
        <v>0</v>
      </c>
      <c r="L173" s="32">
        <f>IF(J173=1,IF(COUNTIFS($A$3:A173,A173,J$3:J173,1)=1,A173&amp;"-included",0),0)</f>
        <v>0</v>
      </c>
      <c r="M173" s="32" cm="1">
        <f t="array" ref="M173">IF(ES_1[[#This Row],[Included Exp/Sus]]=1,IF(SUMPRODUCT((ES_1[STN]=ES_1[[#This Row],[STN]])*(ES_1[Included Exp/Sus]=1)*(ROW(ES_1[STN])&lt;=ROW()))=1,1,0),0)</f>
        <v>0</v>
      </c>
      <c r="N173" s="32" t="str">
        <f>_xlfn.XLOOKUP(ES_1[[#This Row],[STN]],SE_1[STN],SE_1[Ethnicity],"",0)</f>
        <v/>
      </c>
      <c r="Q173" t="str">
        <f>_xlfn.XLOOKUP(P173,ES_1[STN],ES_1[Count Exp/Sus],"",0)</f>
        <v/>
      </c>
      <c r="R173" t="str">
        <f>_xlfn.XLOOKUP(P173,ES_1[STN],ES_1[Unique Exp/Sus],"",0)</f>
        <v/>
      </c>
      <c r="S173" t="str">
        <f>_xlfn.XLOOKUP(P173,ES_1[STN],ES_1[SPECIAL_ED],"",0)</f>
        <v/>
      </c>
    </row>
    <row r="174" spans="1:19" ht="14.45">
      <c r="A174" s="32">
        <v>22916139</v>
      </c>
      <c r="B174" s="32">
        <v>3</v>
      </c>
      <c r="C174" s="33">
        <v>1</v>
      </c>
      <c r="D174" s="32" t="s">
        <v>24</v>
      </c>
      <c r="E174" s="33">
        <v>10</v>
      </c>
      <c r="F174" s="32" t="s">
        <v>25</v>
      </c>
      <c r="G174" s="34">
        <v>1</v>
      </c>
      <c r="H174" s="32" t="s">
        <v>29</v>
      </c>
      <c r="I174" s="35">
        <f>SUMIFS(ES_1[LENGTH_EX_SU],ES_1[STN],ES_1[[#This Row],[STN]],ES_1[DISCIPLINE_TYPE],"Out-of-School Suspension")+SUMIFS(ES_1[LENGTH_EX_SU],ES_1[STN],ES_1[[#This Row],[STN]],ES_1[DISCIPLINE_TYPE],"Expulsion")</f>
        <v>4</v>
      </c>
      <c r="J174" s="32">
        <f>IF(ES_1[[#This Row],[Count Exp/Sus]]&gt;10,1,0)</f>
        <v>0</v>
      </c>
      <c r="K174" s="32" t="str">
        <f t="shared" si="5"/>
        <v>0</v>
      </c>
      <c r="L174" s="32">
        <f>IF(J174=1,IF(COUNTIFS($A$3:A174,A174,J$3:J174,1)=1,A174&amp;"-included",0),0)</f>
        <v>0</v>
      </c>
      <c r="M174" s="32" cm="1">
        <f t="array" ref="M174">IF(ES_1[[#This Row],[Included Exp/Sus]]=1,IF(SUMPRODUCT((ES_1[STN]=ES_1[[#This Row],[STN]])*(ES_1[Included Exp/Sus]=1)*(ROW(ES_1[STN])&lt;=ROW()))=1,1,0),0)</f>
        <v>0</v>
      </c>
      <c r="N174" s="32" t="str">
        <f>_xlfn.XLOOKUP(ES_1[[#This Row],[STN]],SE_1[STN],SE_1[Ethnicity],"",0)</f>
        <v/>
      </c>
      <c r="Q174" t="str">
        <f>_xlfn.XLOOKUP(P174,ES_1[STN],ES_1[Count Exp/Sus],"",0)</f>
        <v/>
      </c>
      <c r="R174" t="str">
        <f>_xlfn.XLOOKUP(P174,ES_1[STN],ES_1[Unique Exp/Sus],"",0)</f>
        <v/>
      </c>
      <c r="S174" t="str">
        <f>_xlfn.XLOOKUP(P174,ES_1[STN],ES_1[SPECIAL_ED],"",0)</f>
        <v/>
      </c>
    </row>
    <row r="175" spans="1:19" ht="14.45">
      <c r="A175" s="32">
        <v>22916139</v>
      </c>
      <c r="B175" s="32">
        <v>3</v>
      </c>
      <c r="C175" s="33">
        <v>2</v>
      </c>
      <c r="D175" s="32" t="s">
        <v>31</v>
      </c>
      <c r="E175" s="33">
        <v>11</v>
      </c>
      <c r="F175" s="32" t="s">
        <v>36</v>
      </c>
      <c r="G175" s="34">
        <v>1</v>
      </c>
      <c r="H175" s="32" t="s">
        <v>29</v>
      </c>
      <c r="I175" s="35">
        <f>SUMIFS(ES_1[LENGTH_EX_SU],ES_1[STN],ES_1[[#This Row],[STN]],ES_1[DISCIPLINE_TYPE],"Out-of-School Suspension")+SUMIFS(ES_1[LENGTH_EX_SU],ES_1[STN],ES_1[[#This Row],[STN]],ES_1[DISCIPLINE_TYPE],"Expulsion")</f>
        <v>4</v>
      </c>
      <c r="J175" s="32">
        <f>IF(ES_1[[#This Row],[Count Exp/Sus]]&gt;10,1,0)</f>
        <v>0</v>
      </c>
      <c r="K175" s="32" t="str">
        <f t="shared" si="5"/>
        <v>0</v>
      </c>
      <c r="L175" s="32">
        <f>IF(J175=1,IF(COUNTIFS($A$3:A175,A175,J$3:J175,1)=1,A175&amp;"-included",0),0)</f>
        <v>0</v>
      </c>
      <c r="M175" s="32" cm="1">
        <f t="array" ref="M175">IF(ES_1[[#This Row],[Included Exp/Sus]]=1,IF(SUMPRODUCT((ES_1[STN]=ES_1[[#This Row],[STN]])*(ES_1[Included Exp/Sus]=1)*(ROW(ES_1[STN])&lt;=ROW()))=1,1,0),0)</f>
        <v>0</v>
      </c>
      <c r="N175" s="32" t="str">
        <f>_xlfn.XLOOKUP(ES_1[[#This Row],[STN]],SE_1[STN],SE_1[Ethnicity],"",0)</f>
        <v/>
      </c>
      <c r="Q175" t="str">
        <f>_xlfn.XLOOKUP(P175,ES_1[STN],ES_1[Count Exp/Sus],"",0)</f>
        <v/>
      </c>
      <c r="R175" t="str">
        <f>_xlfn.XLOOKUP(P175,ES_1[STN],ES_1[Unique Exp/Sus],"",0)</f>
        <v/>
      </c>
      <c r="S175" t="str">
        <f>_xlfn.XLOOKUP(P175,ES_1[STN],ES_1[SPECIAL_ED],"",0)</f>
        <v/>
      </c>
    </row>
    <row r="176" spans="1:19" ht="14.45">
      <c r="A176" s="32">
        <v>22917214</v>
      </c>
      <c r="B176" s="32">
        <v>1</v>
      </c>
      <c r="C176" s="33">
        <v>2</v>
      </c>
      <c r="D176" s="32" t="s">
        <v>31</v>
      </c>
      <c r="E176" s="33">
        <v>15</v>
      </c>
      <c r="F176" s="32" t="s">
        <v>27</v>
      </c>
      <c r="G176" s="34">
        <v>1</v>
      </c>
      <c r="H176" s="32" t="s">
        <v>29</v>
      </c>
      <c r="I176" s="35">
        <f>SUMIFS(ES_1[LENGTH_EX_SU],ES_1[STN],ES_1[[#This Row],[STN]],ES_1[DISCIPLINE_TYPE],"Out-of-School Suspension")+SUMIFS(ES_1[LENGTH_EX_SU],ES_1[STN],ES_1[[#This Row],[STN]],ES_1[DISCIPLINE_TYPE],"Expulsion")</f>
        <v>3</v>
      </c>
      <c r="J176" s="32">
        <f>IF(ES_1[[#This Row],[Count Exp/Sus]]&gt;10,1,0)</f>
        <v>0</v>
      </c>
      <c r="K176" s="32" t="str">
        <f t="shared" si="5"/>
        <v>0</v>
      </c>
      <c r="L176" s="32">
        <f>IF(J176=1,IF(COUNTIFS($A$3:A176,A176,J$3:J176,1)=1,A176&amp;"-included",0),0)</f>
        <v>0</v>
      </c>
      <c r="M176" s="32" cm="1">
        <f t="array" ref="M176">IF(ES_1[[#This Row],[Included Exp/Sus]]=1,IF(SUMPRODUCT((ES_1[STN]=ES_1[[#This Row],[STN]])*(ES_1[Included Exp/Sus]=1)*(ROW(ES_1[STN])&lt;=ROW()))=1,1,0),0)</f>
        <v>0</v>
      </c>
      <c r="N176" s="32" t="str">
        <f>_xlfn.XLOOKUP(ES_1[[#This Row],[STN]],SE_1[STN],SE_1[Ethnicity],"",0)</f>
        <v/>
      </c>
      <c r="Q176" t="str">
        <f>_xlfn.XLOOKUP(P176,ES_1[STN],ES_1[Count Exp/Sus],"",0)</f>
        <v/>
      </c>
      <c r="R176" t="str">
        <f>_xlfn.XLOOKUP(P176,ES_1[STN],ES_1[Unique Exp/Sus],"",0)</f>
        <v/>
      </c>
      <c r="S176" t="str">
        <f>_xlfn.XLOOKUP(P176,ES_1[STN],ES_1[SPECIAL_ED],"",0)</f>
        <v/>
      </c>
    </row>
    <row r="177" spans="1:19" ht="14.45">
      <c r="A177" s="32">
        <v>22917214</v>
      </c>
      <c r="B177" s="32">
        <v>1</v>
      </c>
      <c r="C177" s="33">
        <v>2</v>
      </c>
      <c r="D177" s="32" t="s">
        <v>31</v>
      </c>
      <c r="E177" s="33">
        <v>10</v>
      </c>
      <c r="F177" s="32" t="s">
        <v>25</v>
      </c>
      <c r="G177" s="34">
        <v>2</v>
      </c>
      <c r="H177" s="32" t="s">
        <v>29</v>
      </c>
      <c r="I177" s="35">
        <f>SUMIFS(ES_1[LENGTH_EX_SU],ES_1[STN],ES_1[[#This Row],[STN]],ES_1[DISCIPLINE_TYPE],"Out-of-School Suspension")+SUMIFS(ES_1[LENGTH_EX_SU],ES_1[STN],ES_1[[#This Row],[STN]],ES_1[DISCIPLINE_TYPE],"Expulsion")</f>
        <v>3</v>
      </c>
      <c r="J177" s="32">
        <f>IF(ES_1[[#This Row],[Count Exp/Sus]]&gt;10,1,0)</f>
        <v>0</v>
      </c>
      <c r="K177" s="32" t="str">
        <f t="shared" si="5"/>
        <v>0</v>
      </c>
      <c r="L177" s="32">
        <f>IF(J177=1,IF(COUNTIFS($A$3:A177,A177,J$3:J177,1)=1,A177&amp;"-included",0),0)</f>
        <v>0</v>
      </c>
      <c r="M177" s="32" cm="1">
        <f t="array" ref="M177">IF(ES_1[[#This Row],[Included Exp/Sus]]=1,IF(SUMPRODUCT((ES_1[STN]=ES_1[[#This Row],[STN]])*(ES_1[Included Exp/Sus]=1)*(ROW(ES_1[STN])&lt;=ROW()))=1,1,0),0)</f>
        <v>0</v>
      </c>
      <c r="N177" s="32" t="str">
        <f>_xlfn.XLOOKUP(ES_1[[#This Row],[STN]],SE_1[STN],SE_1[Ethnicity],"",0)</f>
        <v/>
      </c>
      <c r="Q177" t="str">
        <f>_xlfn.XLOOKUP(P177,ES_1[STN],ES_1[Count Exp/Sus],"",0)</f>
        <v/>
      </c>
      <c r="R177" t="str">
        <f>_xlfn.XLOOKUP(P177,ES_1[STN],ES_1[Unique Exp/Sus],"",0)</f>
        <v/>
      </c>
      <c r="S177" t="str">
        <f>_xlfn.XLOOKUP(P177,ES_1[STN],ES_1[SPECIAL_ED],"",0)</f>
        <v/>
      </c>
    </row>
    <row r="178" spans="1:19" ht="14.45">
      <c r="A178" s="32">
        <v>22917216</v>
      </c>
      <c r="B178" s="32">
        <v>5</v>
      </c>
      <c r="C178" s="33">
        <v>2</v>
      </c>
      <c r="D178" s="32" t="s">
        <v>31</v>
      </c>
      <c r="E178" s="33">
        <v>10</v>
      </c>
      <c r="F178" s="32" t="s">
        <v>25</v>
      </c>
      <c r="G178" s="34">
        <v>1</v>
      </c>
      <c r="H178" s="32" t="s">
        <v>26</v>
      </c>
      <c r="I178" s="35">
        <f>SUMIFS(ES_1[LENGTH_EX_SU],ES_1[STN],ES_1[[#This Row],[STN]],ES_1[DISCIPLINE_TYPE],"Out-of-School Suspension")+SUMIFS(ES_1[LENGTH_EX_SU],ES_1[STN],ES_1[[#This Row],[STN]],ES_1[DISCIPLINE_TYPE],"Expulsion")</f>
        <v>1</v>
      </c>
      <c r="J178" s="32">
        <f>IF(ES_1[[#This Row],[Count Exp/Sus]]&gt;10,1,0)</f>
        <v>0</v>
      </c>
      <c r="K178" s="32" t="str">
        <f t="shared" si="5"/>
        <v>0</v>
      </c>
      <c r="L178" s="32">
        <f>IF(J178=1,IF(COUNTIFS($A$3:A178,A178,J$3:J178,1)=1,A178&amp;"-included",0),0)</f>
        <v>0</v>
      </c>
      <c r="M178" s="32" cm="1">
        <f t="array" ref="M178">IF(ES_1[[#This Row],[Included Exp/Sus]]=1,IF(SUMPRODUCT((ES_1[STN]=ES_1[[#This Row],[STN]])*(ES_1[Included Exp/Sus]=1)*(ROW(ES_1[STN])&lt;=ROW()))=1,1,0),0)</f>
        <v>0</v>
      </c>
      <c r="N178" s="32" t="str">
        <f>_xlfn.XLOOKUP(ES_1[[#This Row],[STN]],SE_1[STN],SE_1[Ethnicity],"",0)</f>
        <v>White</v>
      </c>
      <c r="Q178" t="str">
        <f>_xlfn.XLOOKUP(P178,ES_1[STN],ES_1[Count Exp/Sus],"",0)</f>
        <v/>
      </c>
      <c r="R178" t="str">
        <f>_xlfn.XLOOKUP(P178,ES_1[STN],ES_1[Unique Exp/Sus],"",0)</f>
        <v/>
      </c>
      <c r="S178" t="str">
        <f>_xlfn.XLOOKUP(P178,ES_1[STN],ES_1[SPECIAL_ED],"",0)</f>
        <v/>
      </c>
    </row>
    <row r="179" spans="1:19" ht="14.45">
      <c r="A179" s="32">
        <v>23315060</v>
      </c>
      <c r="B179" s="32">
        <v>10</v>
      </c>
      <c r="C179" s="33">
        <v>1</v>
      </c>
      <c r="D179" s="32" t="s">
        <v>24</v>
      </c>
      <c r="E179" s="33">
        <v>16</v>
      </c>
      <c r="F179" s="32" t="s">
        <v>28</v>
      </c>
      <c r="G179" s="34">
        <v>1</v>
      </c>
      <c r="H179" s="32" t="s">
        <v>26</v>
      </c>
      <c r="I179" s="35">
        <f>SUMIFS(ES_1[LENGTH_EX_SU],ES_1[STN],ES_1[[#This Row],[STN]],ES_1[DISCIPLINE_TYPE],"Out-of-School Suspension")+SUMIFS(ES_1[LENGTH_EX_SU],ES_1[STN],ES_1[[#This Row],[STN]],ES_1[DISCIPLINE_TYPE],"Expulsion")</f>
        <v>0</v>
      </c>
      <c r="J179" s="32">
        <f>IF(ES_1[[#This Row],[Count Exp/Sus]]&gt;10,1,0)</f>
        <v>0</v>
      </c>
      <c r="K179" s="32" t="str">
        <f t="shared" si="5"/>
        <v>0</v>
      </c>
      <c r="L179" s="32">
        <f>IF(J179=1,IF(COUNTIFS($A$3:A179,A179,J$3:J179,1)=1,A179&amp;"-included",0),0)</f>
        <v>0</v>
      </c>
      <c r="M179" s="32" cm="1">
        <f t="array" ref="M179">IF(ES_1[[#This Row],[Included Exp/Sus]]=1,IF(SUMPRODUCT((ES_1[STN]=ES_1[[#This Row],[STN]])*(ES_1[Included Exp/Sus]=1)*(ROW(ES_1[STN])&lt;=ROW()))=1,1,0),0)</f>
        <v>0</v>
      </c>
      <c r="N179" s="32" t="str">
        <f>_xlfn.XLOOKUP(ES_1[[#This Row],[STN]],SE_1[STN],SE_1[Ethnicity],"",0)</f>
        <v>White</v>
      </c>
      <c r="Q179" t="str">
        <f>_xlfn.XLOOKUP(P179,ES_1[STN],ES_1[Count Exp/Sus],"",0)</f>
        <v/>
      </c>
      <c r="R179" t="str">
        <f>_xlfn.XLOOKUP(P179,ES_1[STN],ES_1[Unique Exp/Sus],"",0)</f>
        <v/>
      </c>
      <c r="S179" t="str">
        <f>_xlfn.XLOOKUP(P179,ES_1[STN],ES_1[SPECIAL_ED],"",0)</f>
        <v/>
      </c>
    </row>
    <row r="180" spans="1:19" ht="14.45">
      <c r="A180" s="32">
        <v>23315060</v>
      </c>
      <c r="B180" s="32">
        <v>10</v>
      </c>
      <c r="C180" s="33">
        <v>1</v>
      </c>
      <c r="D180" s="32" t="s">
        <v>24</v>
      </c>
      <c r="E180" s="33">
        <v>16</v>
      </c>
      <c r="F180" s="32" t="s">
        <v>28</v>
      </c>
      <c r="G180" s="34">
        <v>1</v>
      </c>
      <c r="H180" s="32" t="s">
        <v>26</v>
      </c>
      <c r="I180" s="35">
        <f>SUMIFS(ES_1[LENGTH_EX_SU],ES_1[STN],ES_1[[#This Row],[STN]],ES_1[DISCIPLINE_TYPE],"Out-of-School Suspension")+SUMIFS(ES_1[LENGTH_EX_SU],ES_1[STN],ES_1[[#This Row],[STN]],ES_1[DISCIPLINE_TYPE],"Expulsion")</f>
        <v>0</v>
      </c>
      <c r="J180" s="32">
        <f>IF(ES_1[[#This Row],[Count Exp/Sus]]&gt;10,1,0)</f>
        <v>0</v>
      </c>
      <c r="K180" s="32" t="str">
        <f t="shared" si="5"/>
        <v>0</v>
      </c>
      <c r="L180" s="32">
        <f>IF(J180=1,IF(COUNTIFS($A$3:A180,A180,J$3:J180,1)=1,A180&amp;"-included",0),0)</f>
        <v>0</v>
      </c>
      <c r="M180" s="32" cm="1">
        <f t="array" ref="M180">IF(ES_1[[#This Row],[Included Exp/Sus]]=1,IF(SUMPRODUCT((ES_1[STN]=ES_1[[#This Row],[STN]])*(ES_1[Included Exp/Sus]=1)*(ROW(ES_1[STN])&lt;=ROW()))=1,1,0),0)</f>
        <v>0</v>
      </c>
      <c r="N180" s="32" t="str">
        <f>_xlfn.XLOOKUP(ES_1[[#This Row],[STN]],SE_1[STN],SE_1[Ethnicity],"",0)</f>
        <v>White</v>
      </c>
      <c r="Q180" t="str">
        <f>_xlfn.XLOOKUP(P180,ES_1[STN],ES_1[Count Exp/Sus],"",0)</f>
        <v/>
      </c>
      <c r="R180" t="str">
        <f>_xlfn.XLOOKUP(P180,ES_1[STN],ES_1[Unique Exp/Sus],"",0)</f>
        <v/>
      </c>
      <c r="S180" t="str">
        <f>_xlfn.XLOOKUP(P180,ES_1[STN],ES_1[SPECIAL_ED],"",0)</f>
        <v/>
      </c>
    </row>
    <row r="181" spans="1:19" ht="15.75" customHeight="1">
      <c r="A181" s="32">
        <v>23315061</v>
      </c>
      <c r="B181" s="32"/>
      <c r="C181" s="33"/>
      <c r="D181" s="32" t="s">
        <v>31</v>
      </c>
      <c r="E181" s="33"/>
      <c r="F181" s="32"/>
      <c r="G181" s="34">
        <v>12</v>
      </c>
      <c r="H181" s="32" t="s">
        <v>26</v>
      </c>
      <c r="I181" s="35">
        <f>SUMIFS(ES_1[LENGTH_EX_SU],ES_1[STN],ES_1[[#This Row],[STN]],ES_1[DISCIPLINE_TYPE],"Out-of-School Suspension")+SUMIFS(ES_1[LENGTH_EX_SU],ES_1[STN],ES_1[[#This Row],[STN]],ES_1[DISCIPLINE_TYPE],"Expulsion")</f>
        <v>12</v>
      </c>
      <c r="J181" s="32">
        <f>IF(ES_1[[#This Row],[Count Exp/Sus]]&gt;10,1,0)</f>
        <v>1</v>
      </c>
      <c r="K181" s="32" t="str">
        <f t="shared" si="5"/>
        <v>23315061-included</v>
      </c>
      <c r="L181" s="37" t="str">
        <f>IF(J181=1,IF(COUNTIFS($A$3:A181,A181,J$3:J181,1)=1,A181&amp;"-included",0),0)</f>
        <v>23315061-included</v>
      </c>
      <c r="M181" s="37" cm="1">
        <f t="array" ref="M181">IF(ES_1[[#This Row],[Included Exp/Sus]]=1,IF(SUMPRODUCT((ES_1[STN]=ES_1[[#This Row],[STN]])*(ES_1[Included Exp/Sus]=1)*(ROW(ES_1[STN])&lt;=ROW()))=1,1,0),0)</f>
        <v>1</v>
      </c>
      <c r="N181" s="32" t="str">
        <f>_xlfn.XLOOKUP(ES_1[[#This Row],[STN]],SE_1[STN],SE_1[Ethnicity],"",0)</f>
        <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outlinePr summaryBelow="0" summaryRight="0"/>
  </sheetPr>
  <dimension ref="A1:Q184"/>
  <sheetViews>
    <sheetView workbookViewId="0">
      <selection activeCell="N2" sqref="N2"/>
    </sheetView>
  </sheetViews>
  <sheetFormatPr defaultColWidth="12.5703125" defaultRowHeight="15.75" customHeight="1"/>
  <cols>
    <col min="2" max="2" width="15.140625" customWidth="1"/>
    <col min="3" max="3" width="14" customWidth="1"/>
    <col min="4" max="4" width="18" customWidth="1"/>
    <col min="5" max="5" width="23.85546875" customWidth="1"/>
    <col min="6" max="6" width="21" customWidth="1"/>
    <col min="7" max="7" width="22.5703125" customWidth="1"/>
    <col min="8" max="8" width="13.42578125" customWidth="1"/>
    <col min="9" max="9" width="21.140625" customWidth="1"/>
    <col min="10" max="10" width="24.7109375" customWidth="1"/>
    <col min="11" max="11" width="22.42578125" customWidth="1"/>
    <col min="12" max="13" width="17.5703125" customWidth="1"/>
    <col min="14" max="14" width="19.85546875" customWidth="1"/>
    <col min="16" max="16" width="27.42578125" customWidth="1"/>
    <col min="17" max="17" width="21" customWidth="1"/>
    <col min="18" max="18" width="15.42578125" customWidth="1"/>
    <col min="19" max="19" width="7.140625" customWidth="1"/>
    <col min="20" max="20" width="11.7109375" bestFit="1" customWidth="1"/>
  </cols>
  <sheetData>
    <row r="1" spans="1:17" ht="15.75" customHeight="1">
      <c r="Q1" s="24"/>
    </row>
    <row r="2" spans="1:17" ht="15.75" customHeight="1">
      <c r="A2" s="1" t="s">
        <v>10</v>
      </c>
      <c r="B2" s="1" t="s">
        <v>11</v>
      </c>
      <c r="C2" s="1" t="s">
        <v>12</v>
      </c>
      <c r="D2" s="1" t="s">
        <v>13</v>
      </c>
      <c r="E2" s="1" t="s">
        <v>14</v>
      </c>
      <c r="F2" s="1" t="s">
        <v>15</v>
      </c>
      <c r="G2" s="1" t="s">
        <v>16</v>
      </c>
      <c r="H2" s="1" t="s">
        <v>17</v>
      </c>
      <c r="I2" s="17" t="s">
        <v>18</v>
      </c>
      <c r="J2" s="17" t="s">
        <v>19</v>
      </c>
      <c r="K2" s="17" t="s">
        <v>20</v>
      </c>
      <c r="L2" s="17" t="s">
        <v>21</v>
      </c>
      <c r="M2" s="17" t="s">
        <v>22</v>
      </c>
      <c r="N2" s="15" t="s">
        <v>23</v>
      </c>
    </row>
    <row r="3" spans="1:17" ht="15.75" customHeight="1">
      <c r="A3" s="1">
        <v>22907200</v>
      </c>
      <c r="B3" s="1" t="s">
        <v>41</v>
      </c>
      <c r="C3" s="2">
        <v>1</v>
      </c>
      <c r="D3" s="1" t="s">
        <v>24</v>
      </c>
      <c r="E3" s="2">
        <v>10</v>
      </c>
      <c r="F3" s="1" t="s">
        <v>25</v>
      </c>
      <c r="G3" s="2">
        <v>1</v>
      </c>
      <c r="H3" s="1" t="s">
        <v>26</v>
      </c>
      <c r="I3" s="1">
        <f>SUMIFS(ES_2[LENGTH_EX_SU],ES_2[STN],ES_2[[#This Row],[STN]],ES_2[DISCIPLINE_TYPE],"Out-of-School Suspension")+SUMIFS(ES_2[LENGTH_EX_SU],ES_2[STN],ES_2[[#This Row],[STN]],ES_2[DISCIPLINE_TYPE],"Expulsion")</f>
        <v>0</v>
      </c>
      <c r="J3" s="1">
        <f>IF(ES_2[[#This Row],[Count Exp/Sus]]&gt;10,1,0)</f>
        <v>0</v>
      </c>
      <c r="K3" s="1">
        <f t="shared" ref="K3:K34" si="0">IF(J3=1,A3 &amp;"-included",0)</f>
        <v>0</v>
      </c>
      <c r="L3" s="1">
        <f>IF(J3=1,IF(COUNTIFS($A$3:A3,A3,$J$3:J3,1)=1,A3&amp;"-included",0),0)</f>
        <v>0</v>
      </c>
      <c r="M3" s="1" cm="1">
        <f t="array" ref="M3">IF(ES_2[[#This Row],[Included Exp/Sus]]=1,IF(SUMPRODUCT((ES_2[STN]=ES_2[[#This Row],[STN]])*(ES_2[Included Exp/Sus]=1)*(ROW(ES_2[STN])&lt;=ROW()))=1,1,0),0)</f>
        <v>0</v>
      </c>
      <c r="N3" s="1" t="str">
        <f>_xlfn.XLOOKUP(ES_2[[#This Row],[STN]],SE_2[STN],SE_2[Ethnicity],"",0)</f>
        <v>Black - African American</v>
      </c>
    </row>
    <row r="4" spans="1:17" ht="15.75" customHeight="1">
      <c r="A4" s="1">
        <v>22907200</v>
      </c>
      <c r="B4" s="1">
        <v>7</v>
      </c>
      <c r="C4" s="2">
        <v>1</v>
      </c>
      <c r="D4" s="1" t="s">
        <v>24</v>
      </c>
      <c r="E4" s="2">
        <v>20</v>
      </c>
      <c r="F4" s="1" t="s">
        <v>42</v>
      </c>
      <c r="G4" s="2">
        <v>1</v>
      </c>
      <c r="H4" s="1" t="s">
        <v>29</v>
      </c>
      <c r="I4" s="1">
        <f>SUMIFS(ES_2[LENGTH_EX_SU],ES_2[STN],ES_2[[#This Row],[STN]],ES_2[DISCIPLINE_TYPE],"Out-of-School Suspension")+SUMIFS(ES_2[LENGTH_EX_SU],ES_2[STN],ES_2[[#This Row],[STN]],ES_2[DISCIPLINE_TYPE],"Expulsion")</f>
        <v>0</v>
      </c>
      <c r="J4" s="1">
        <f>IF(ES_2[[#This Row],[Count Exp/Sus]]&gt;10,1,0)</f>
        <v>0</v>
      </c>
      <c r="K4" s="1">
        <f t="shared" si="0"/>
        <v>0</v>
      </c>
      <c r="L4" s="1">
        <f>IF(J4=1,IF(COUNTIFS($A$3:A4,A4,$J$3:J4,1)=1,A4&amp;"-included",0),0)</f>
        <v>0</v>
      </c>
      <c r="M4" s="1" cm="1">
        <f t="array" ref="M4">IF(ES_2[[#This Row],[Included Exp/Sus]]=1,IF(SUMPRODUCT((ES_2[STN]=ES_2[[#This Row],[STN]])*(ES_2[Included Exp/Sus]=1)*(ROW(ES_2[STN])&lt;=ROW()))=1,1,0),0)</f>
        <v>0</v>
      </c>
      <c r="N4" s="1" t="str">
        <f>_xlfn.XLOOKUP(ES_2[[#This Row],[STN]],SE_2[STN],SE_2[Ethnicity],"",0)</f>
        <v>Black - African American</v>
      </c>
    </row>
    <row r="5" spans="1:17" ht="15.75" customHeight="1">
      <c r="A5" s="1">
        <v>22907202</v>
      </c>
      <c r="B5" s="1" t="s">
        <v>41</v>
      </c>
      <c r="C5" s="2">
        <v>1</v>
      </c>
      <c r="D5" s="1" t="s">
        <v>24</v>
      </c>
      <c r="E5" s="2">
        <v>10</v>
      </c>
      <c r="F5" s="1" t="s">
        <v>25</v>
      </c>
      <c r="G5" s="2">
        <v>1</v>
      </c>
      <c r="H5" s="1" t="s">
        <v>26</v>
      </c>
      <c r="I5" s="1">
        <f>SUMIFS(ES_2[LENGTH_EX_SU],ES_2[STN],ES_2[[#This Row],[STN]],ES_2[DISCIPLINE_TYPE],"Out-of-School Suspension")+SUMIFS(ES_2[LENGTH_EX_SU],ES_2[STN],ES_2[[#This Row],[STN]],ES_2[DISCIPLINE_TYPE],"Expulsion")</f>
        <v>0</v>
      </c>
      <c r="J5" s="1">
        <f>IF(ES_2[[#This Row],[Count Exp/Sus]]&gt;10,1,0)</f>
        <v>0</v>
      </c>
      <c r="K5" s="1">
        <f t="shared" si="0"/>
        <v>0</v>
      </c>
      <c r="L5" s="1">
        <f>IF(J5=1,IF(COUNTIFS($A$3:A5,A5,$J$3:J5,1)=1,A5&amp;"-included",0),0)</f>
        <v>0</v>
      </c>
      <c r="M5" s="1" cm="1">
        <f t="array" ref="M5">IF(ES_2[[#This Row],[Included Exp/Sus]]=1,IF(SUMPRODUCT((ES_2[STN]=ES_2[[#This Row],[STN]])*(ES_2[Included Exp/Sus]=1)*(ROW(ES_2[STN])&lt;=ROW()))=1,1,0),0)</f>
        <v>0</v>
      </c>
      <c r="N5" s="1" t="str">
        <f>_xlfn.XLOOKUP(ES_2[[#This Row],[STN]],SE_2[STN],SE_2[Ethnicity],"",0)</f>
        <v>White</v>
      </c>
    </row>
    <row r="6" spans="1:17" ht="15.75" customHeight="1">
      <c r="A6" s="1">
        <v>22907502</v>
      </c>
      <c r="B6" s="1" t="s">
        <v>41</v>
      </c>
      <c r="C6" s="2">
        <v>2</v>
      </c>
      <c r="D6" s="1" t="s">
        <v>31</v>
      </c>
      <c r="E6" s="2">
        <v>11</v>
      </c>
      <c r="F6" s="1" t="s">
        <v>36</v>
      </c>
      <c r="G6" s="2">
        <v>1</v>
      </c>
      <c r="H6" s="1" t="s">
        <v>26</v>
      </c>
      <c r="I6" s="1">
        <f>SUMIFS(ES_2[LENGTH_EX_SU],ES_2[STN],ES_2[[#This Row],[STN]],ES_2[DISCIPLINE_TYPE],"Out-of-School Suspension")+SUMIFS(ES_2[LENGTH_EX_SU],ES_2[STN],ES_2[[#This Row],[STN]],ES_2[DISCIPLINE_TYPE],"Expulsion")</f>
        <v>1</v>
      </c>
      <c r="J6" s="1">
        <f>IF(ES_2[[#This Row],[Count Exp/Sus]]&gt;10,1,0)</f>
        <v>0</v>
      </c>
      <c r="K6" s="1">
        <f t="shared" si="0"/>
        <v>0</v>
      </c>
      <c r="L6" s="1">
        <f>IF(J6=1,IF(COUNTIFS($A$3:A6,A6,$J$3:J6,1)=1,A6&amp;"-included",0),0)</f>
        <v>0</v>
      </c>
      <c r="M6" s="1" cm="1">
        <f t="array" ref="M6">IF(ES_2[[#This Row],[Included Exp/Sus]]=1,IF(SUMPRODUCT((ES_2[STN]=ES_2[[#This Row],[STN]])*(ES_2[Included Exp/Sus]=1)*(ROW(ES_2[STN])&lt;=ROW()))=1,1,0),0)</f>
        <v>0</v>
      </c>
      <c r="N6" s="1" t="str">
        <f>_xlfn.XLOOKUP(ES_2[[#This Row],[STN]],SE_2[STN],SE_2[Ethnicity],"",0)</f>
        <v>White</v>
      </c>
    </row>
    <row r="7" spans="1:17" ht="15.75" customHeight="1">
      <c r="A7" s="1">
        <v>22907599</v>
      </c>
      <c r="B7" s="1" t="s">
        <v>43</v>
      </c>
      <c r="C7" s="2">
        <v>2</v>
      </c>
      <c r="D7" s="1" t="s">
        <v>31</v>
      </c>
      <c r="E7" s="2">
        <v>10</v>
      </c>
      <c r="F7" s="1" t="s">
        <v>25</v>
      </c>
      <c r="G7" s="2">
        <v>1</v>
      </c>
      <c r="H7" s="1" t="s">
        <v>29</v>
      </c>
      <c r="I7" s="1">
        <f>SUMIFS(ES_2[LENGTH_EX_SU],ES_2[STN],ES_2[[#This Row],[STN]],ES_2[DISCIPLINE_TYPE],"Out-of-School Suspension")+SUMIFS(ES_2[LENGTH_EX_SU],ES_2[STN],ES_2[[#This Row],[STN]],ES_2[DISCIPLINE_TYPE],"Expulsion")</f>
        <v>1</v>
      </c>
      <c r="J7" s="1">
        <f>IF(ES_2[[#This Row],[Count Exp/Sus]]&gt;10,1,0)</f>
        <v>0</v>
      </c>
      <c r="K7" s="1">
        <f t="shared" si="0"/>
        <v>0</v>
      </c>
      <c r="L7" s="1">
        <f>IF(J7=1,IF(COUNTIFS($A$3:A7,A7,$J$3:J7,1)=1,A7&amp;"-included",0),0)</f>
        <v>0</v>
      </c>
      <c r="M7" s="1" cm="1">
        <f t="array" ref="M7">IF(ES_2[[#This Row],[Included Exp/Sus]]=1,IF(SUMPRODUCT((ES_2[STN]=ES_2[[#This Row],[STN]])*(ES_2[Included Exp/Sus]=1)*(ROW(ES_2[STN])&lt;=ROW()))=1,1,0),0)</f>
        <v>0</v>
      </c>
      <c r="N7" s="1" t="str">
        <f>_xlfn.XLOOKUP(ES_2[[#This Row],[STN]],SE_2[STN],SE_2[Ethnicity],"",0)</f>
        <v/>
      </c>
    </row>
    <row r="8" spans="1:17" ht="15.75" customHeight="1">
      <c r="A8" s="1">
        <v>22907674</v>
      </c>
      <c r="B8" s="1">
        <v>5</v>
      </c>
      <c r="C8" s="2">
        <v>2</v>
      </c>
      <c r="D8" s="1" t="s">
        <v>31</v>
      </c>
      <c r="E8" s="2">
        <v>10</v>
      </c>
      <c r="F8" s="1" t="s">
        <v>25</v>
      </c>
      <c r="G8" s="2">
        <v>1</v>
      </c>
      <c r="H8" s="1" t="s">
        <v>26</v>
      </c>
      <c r="I8" s="1">
        <f>SUMIFS(ES_2[LENGTH_EX_SU],ES_2[STN],ES_2[[#This Row],[STN]],ES_2[DISCIPLINE_TYPE],"Out-of-School Suspension")+SUMIFS(ES_2[LENGTH_EX_SU],ES_2[STN],ES_2[[#This Row],[STN]],ES_2[DISCIPLINE_TYPE],"Expulsion")</f>
        <v>4</v>
      </c>
      <c r="J8" s="1">
        <f>IF(ES_2[[#This Row],[Count Exp/Sus]]&gt;10,1,0)</f>
        <v>0</v>
      </c>
      <c r="K8" s="1">
        <f t="shared" si="0"/>
        <v>0</v>
      </c>
      <c r="L8" s="1">
        <f>IF(J8=1,IF(COUNTIFS($A$3:A8,A8,$J$3:J8,1)=1,A8&amp;"-included",0),0)</f>
        <v>0</v>
      </c>
      <c r="M8" s="1" cm="1">
        <f t="array" ref="M8">IF(ES_2[[#This Row],[Included Exp/Sus]]=1,IF(SUMPRODUCT((ES_2[STN]=ES_2[[#This Row],[STN]])*(ES_2[Included Exp/Sus]=1)*(ROW(ES_2[STN])&lt;=ROW()))=1,1,0),0)</f>
        <v>0</v>
      </c>
      <c r="N8" s="1" t="str">
        <f>_xlfn.XLOOKUP(ES_2[[#This Row],[STN]],SE_2[STN],SE_2[Ethnicity],"",0)</f>
        <v>Black - African American</v>
      </c>
    </row>
    <row r="9" spans="1:17" ht="15.75" customHeight="1">
      <c r="A9" s="1">
        <v>22907674</v>
      </c>
      <c r="B9" s="1">
        <v>5</v>
      </c>
      <c r="C9" s="2">
        <v>2</v>
      </c>
      <c r="D9" s="1" t="s">
        <v>31</v>
      </c>
      <c r="E9" s="2">
        <v>11</v>
      </c>
      <c r="F9" s="1" t="s">
        <v>36</v>
      </c>
      <c r="G9" s="2">
        <v>2</v>
      </c>
      <c r="H9" s="1" t="s">
        <v>26</v>
      </c>
      <c r="I9" s="1">
        <f>SUMIFS(ES_2[LENGTH_EX_SU],ES_2[STN],ES_2[[#This Row],[STN]],ES_2[DISCIPLINE_TYPE],"Out-of-School Suspension")+SUMIFS(ES_2[LENGTH_EX_SU],ES_2[STN],ES_2[[#This Row],[STN]],ES_2[DISCIPLINE_TYPE],"Expulsion")</f>
        <v>4</v>
      </c>
      <c r="J9" s="1">
        <f>IF(ES_2[[#This Row],[Count Exp/Sus]]&gt;10,1,0)</f>
        <v>0</v>
      </c>
      <c r="K9" s="1">
        <f t="shared" si="0"/>
        <v>0</v>
      </c>
      <c r="L9" s="1">
        <f>IF(J9=1,IF(COUNTIFS($A$3:A9,A9,$J$3:J9,1)=1,A9&amp;"-included",0),0)</f>
        <v>0</v>
      </c>
      <c r="M9" s="1" cm="1">
        <f t="array" ref="M9">IF(ES_2[[#This Row],[Included Exp/Sus]]=1,IF(SUMPRODUCT((ES_2[STN]=ES_2[[#This Row],[STN]])*(ES_2[Included Exp/Sus]=1)*(ROW(ES_2[STN])&lt;=ROW()))=1,1,0),0)</f>
        <v>0</v>
      </c>
      <c r="N9" s="1" t="str">
        <f>_xlfn.XLOOKUP(ES_2[[#This Row],[STN]],SE_2[STN],SE_2[Ethnicity],"",0)</f>
        <v>Black - African American</v>
      </c>
    </row>
    <row r="10" spans="1:17" ht="15.75" customHeight="1">
      <c r="A10" s="1">
        <v>22907674</v>
      </c>
      <c r="B10" s="1">
        <v>5</v>
      </c>
      <c r="C10" s="2">
        <v>2</v>
      </c>
      <c r="D10" s="1" t="s">
        <v>31</v>
      </c>
      <c r="E10" s="2">
        <v>11</v>
      </c>
      <c r="F10" s="1" t="s">
        <v>36</v>
      </c>
      <c r="G10" s="2">
        <v>1</v>
      </c>
      <c r="H10" s="1" t="s">
        <v>26</v>
      </c>
      <c r="I10" s="1">
        <f>SUMIFS(ES_2[LENGTH_EX_SU],ES_2[STN],ES_2[[#This Row],[STN]],ES_2[DISCIPLINE_TYPE],"Out-of-School Suspension")+SUMIFS(ES_2[LENGTH_EX_SU],ES_2[STN],ES_2[[#This Row],[STN]],ES_2[DISCIPLINE_TYPE],"Expulsion")</f>
        <v>4</v>
      </c>
      <c r="J10" s="1">
        <f>IF(ES_2[[#This Row],[Count Exp/Sus]]&gt;10,1,0)</f>
        <v>0</v>
      </c>
      <c r="K10" s="1">
        <f t="shared" si="0"/>
        <v>0</v>
      </c>
      <c r="L10" s="1">
        <f>IF(J10=1,IF(COUNTIFS($A$3:A10,A10,$J$3:J10,1)=1,A10&amp;"-included",0),0)</f>
        <v>0</v>
      </c>
      <c r="M10" s="1" cm="1">
        <f t="array" ref="M10">IF(ES_2[[#This Row],[Included Exp/Sus]]=1,IF(SUMPRODUCT((ES_2[STN]=ES_2[[#This Row],[STN]])*(ES_2[Included Exp/Sus]=1)*(ROW(ES_2[STN])&lt;=ROW()))=1,1,0),0)</f>
        <v>0</v>
      </c>
      <c r="N10" s="1" t="str">
        <f>_xlfn.XLOOKUP(ES_2[[#This Row],[STN]],SE_2[STN],SE_2[Ethnicity],"",0)</f>
        <v>Black - African American</v>
      </c>
    </row>
    <row r="11" spans="1:17" ht="15.75" customHeight="1">
      <c r="A11" s="1">
        <v>22907679</v>
      </c>
      <c r="B11" s="1" t="s">
        <v>41</v>
      </c>
      <c r="C11" s="2">
        <v>2</v>
      </c>
      <c r="D11" s="1" t="s">
        <v>31</v>
      </c>
      <c r="E11" s="2">
        <v>10</v>
      </c>
      <c r="F11" s="1" t="s">
        <v>25</v>
      </c>
      <c r="G11" s="2">
        <v>1</v>
      </c>
      <c r="H11" s="1" t="s">
        <v>26</v>
      </c>
      <c r="I11" s="1">
        <f>SUMIFS(ES_2[LENGTH_EX_SU],ES_2[STN],ES_2[[#This Row],[STN]],ES_2[DISCIPLINE_TYPE],"Out-of-School Suspension")+SUMIFS(ES_2[LENGTH_EX_SU],ES_2[STN],ES_2[[#This Row],[STN]],ES_2[DISCIPLINE_TYPE],"Expulsion")</f>
        <v>1</v>
      </c>
      <c r="J11" s="1">
        <f>IF(ES_2[[#This Row],[Count Exp/Sus]]&gt;10,1,0)</f>
        <v>0</v>
      </c>
      <c r="K11" s="1">
        <f t="shared" si="0"/>
        <v>0</v>
      </c>
      <c r="L11" s="1">
        <f>IF(J11=1,IF(COUNTIFS($A$3:A11,A11,$J$3:J11,1)=1,A11&amp;"-included",0),0)</f>
        <v>0</v>
      </c>
      <c r="M11" s="1" cm="1">
        <f t="array" ref="M11">IF(ES_2[[#This Row],[Included Exp/Sus]]=1,IF(SUMPRODUCT((ES_2[STN]=ES_2[[#This Row],[STN]])*(ES_2[Included Exp/Sus]=1)*(ROW(ES_2[STN])&lt;=ROW()))=1,1,0),0)</f>
        <v>0</v>
      </c>
      <c r="N11" s="1" t="str">
        <f>_xlfn.XLOOKUP(ES_2[[#This Row],[STN]],SE_2[STN],SE_2[Ethnicity],"",0)</f>
        <v>Hispanic Ethnicity and of any race</v>
      </c>
    </row>
    <row r="12" spans="1:17" ht="15.75" customHeight="1">
      <c r="A12" s="1">
        <v>22908518</v>
      </c>
      <c r="B12" s="1" t="s">
        <v>41</v>
      </c>
      <c r="C12" s="2">
        <v>2</v>
      </c>
      <c r="D12" s="1" t="s">
        <v>31</v>
      </c>
      <c r="E12" s="2">
        <v>11</v>
      </c>
      <c r="F12" s="1" t="s">
        <v>36</v>
      </c>
      <c r="G12" s="2">
        <v>1</v>
      </c>
      <c r="H12" s="1" t="s">
        <v>26</v>
      </c>
      <c r="I12" s="1">
        <f>SUMIFS(ES_2[LENGTH_EX_SU],ES_2[STN],ES_2[[#This Row],[STN]],ES_2[DISCIPLINE_TYPE],"Out-of-School Suspension")+SUMIFS(ES_2[LENGTH_EX_SU],ES_2[STN],ES_2[[#This Row],[STN]],ES_2[DISCIPLINE_TYPE],"Expulsion")</f>
        <v>3</v>
      </c>
      <c r="J12" s="1">
        <f>IF(ES_2[[#This Row],[Count Exp/Sus]]&gt;10,1,0)</f>
        <v>0</v>
      </c>
      <c r="K12" s="1">
        <f t="shared" si="0"/>
        <v>0</v>
      </c>
      <c r="L12" s="1">
        <f>IF(J12=1,IF(COUNTIFS($A$3:A12,A12,$J$3:J12,1)=1,A12&amp;"-included",0),0)</f>
        <v>0</v>
      </c>
      <c r="M12" s="1" cm="1">
        <f t="array" ref="M12">IF(ES_2[[#This Row],[Included Exp/Sus]]=1,IF(SUMPRODUCT((ES_2[STN]=ES_2[[#This Row],[STN]])*(ES_2[Included Exp/Sus]=1)*(ROW(ES_2[STN])&lt;=ROW()))=1,1,0),0)</f>
        <v>0</v>
      </c>
      <c r="N12" s="1" t="str">
        <f>_xlfn.XLOOKUP(ES_2[[#This Row],[STN]],SE_2[STN],SE_2[Ethnicity],"",0)</f>
        <v>Black - African American</v>
      </c>
    </row>
    <row r="13" spans="1:17" ht="15.75" customHeight="1">
      <c r="A13" s="1">
        <v>22908518</v>
      </c>
      <c r="B13" s="1" t="s">
        <v>41</v>
      </c>
      <c r="C13" s="2">
        <v>2</v>
      </c>
      <c r="D13" s="1" t="s">
        <v>31</v>
      </c>
      <c r="E13" s="2">
        <v>11</v>
      </c>
      <c r="F13" s="1" t="s">
        <v>36</v>
      </c>
      <c r="G13" s="2">
        <v>1</v>
      </c>
      <c r="H13" s="1" t="s">
        <v>26</v>
      </c>
      <c r="I13" s="1">
        <f>SUMIFS(ES_2[LENGTH_EX_SU],ES_2[STN],ES_2[[#This Row],[STN]],ES_2[DISCIPLINE_TYPE],"Out-of-School Suspension")+SUMIFS(ES_2[LENGTH_EX_SU],ES_2[STN],ES_2[[#This Row],[STN]],ES_2[DISCIPLINE_TYPE],"Expulsion")</f>
        <v>3</v>
      </c>
      <c r="J13" s="1">
        <f>IF(ES_2[[#This Row],[Count Exp/Sus]]&gt;10,1,0)</f>
        <v>0</v>
      </c>
      <c r="K13" s="1">
        <f t="shared" si="0"/>
        <v>0</v>
      </c>
      <c r="L13" s="1">
        <f>IF(J13=1,IF(COUNTIFS($A$3:A13,A13,$J$3:J13,1)=1,A13&amp;"-included",0),0)</f>
        <v>0</v>
      </c>
      <c r="M13" s="1" cm="1">
        <f t="array" ref="M13">IF(ES_2[[#This Row],[Included Exp/Sus]]=1,IF(SUMPRODUCT((ES_2[STN]=ES_2[[#This Row],[STN]])*(ES_2[Included Exp/Sus]=1)*(ROW(ES_2[STN])&lt;=ROW()))=1,1,0),0)</f>
        <v>0</v>
      </c>
      <c r="N13" s="1" t="str">
        <f>_xlfn.XLOOKUP(ES_2[[#This Row],[STN]],SE_2[STN],SE_2[Ethnicity],"",0)</f>
        <v>Black - African American</v>
      </c>
    </row>
    <row r="14" spans="1:17" ht="15.75" customHeight="1">
      <c r="A14" s="1">
        <v>22908518</v>
      </c>
      <c r="B14" s="1" t="s">
        <v>41</v>
      </c>
      <c r="C14" s="2">
        <v>2</v>
      </c>
      <c r="D14" s="1" t="s">
        <v>31</v>
      </c>
      <c r="E14" s="2">
        <v>10</v>
      </c>
      <c r="F14" s="1" t="s">
        <v>25</v>
      </c>
      <c r="G14" s="2">
        <v>1</v>
      </c>
      <c r="H14" s="1" t="s">
        <v>26</v>
      </c>
      <c r="I14" s="1">
        <f>SUMIFS(ES_2[LENGTH_EX_SU],ES_2[STN],ES_2[[#This Row],[STN]],ES_2[DISCIPLINE_TYPE],"Out-of-School Suspension")+SUMIFS(ES_2[LENGTH_EX_SU],ES_2[STN],ES_2[[#This Row],[STN]],ES_2[DISCIPLINE_TYPE],"Expulsion")</f>
        <v>3</v>
      </c>
      <c r="J14" s="1">
        <f>IF(ES_2[[#This Row],[Count Exp/Sus]]&gt;10,1,0)</f>
        <v>0</v>
      </c>
      <c r="K14" s="1">
        <f t="shared" si="0"/>
        <v>0</v>
      </c>
      <c r="L14" s="1">
        <f>IF(J14=1,IF(COUNTIFS($A$3:A14,A14,$J$3:J14,1)=1,A14&amp;"-included",0),0)</f>
        <v>0</v>
      </c>
      <c r="M14" s="1" cm="1">
        <f t="array" ref="M14">IF(ES_2[[#This Row],[Included Exp/Sus]]=1,IF(SUMPRODUCT((ES_2[STN]=ES_2[[#This Row],[STN]])*(ES_2[Included Exp/Sus]=1)*(ROW(ES_2[STN])&lt;=ROW()))=1,1,0),0)</f>
        <v>0</v>
      </c>
      <c r="N14" s="1" t="str">
        <f>_xlfn.XLOOKUP(ES_2[[#This Row],[STN]],SE_2[STN],SE_2[Ethnicity],"",0)</f>
        <v>Black - African American</v>
      </c>
    </row>
    <row r="15" spans="1:17" ht="15.75" customHeight="1">
      <c r="A15" s="1">
        <v>22908533</v>
      </c>
      <c r="B15" s="1">
        <v>2</v>
      </c>
      <c r="C15" s="2">
        <v>2</v>
      </c>
      <c r="D15" s="1" t="s">
        <v>31</v>
      </c>
      <c r="E15" s="2">
        <v>11</v>
      </c>
      <c r="F15" s="1" t="s">
        <v>36</v>
      </c>
      <c r="G15" s="2">
        <v>2</v>
      </c>
      <c r="H15" s="1" t="s">
        <v>29</v>
      </c>
      <c r="I15" s="1">
        <f>SUMIFS(ES_2[LENGTH_EX_SU],ES_2[STN],ES_2[[#This Row],[STN]],ES_2[DISCIPLINE_TYPE],"Out-of-School Suspension")+SUMIFS(ES_2[LENGTH_EX_SU],ES_2[STN],ES_2[[#This Row],[STN]],ES_2[DISCIPLINE_TYPE],"Expulsion")</f>
        <v>3</v>
      </c>
      <c r="J15" s="1">
        <f>IF(ES_2[[#This Row],[Count Exp/Sus]]&gt;10,1,0)</f>
        <v>0</v>
      </c>
      <c r="K15" s="1">
        <f t="shared" si="0"/>
        <v>0</v>
      </c>
      <c r="L15" s="1">
        <f>IF(J15=1,IF(COUNTIFS($A$3:A15,A15,$J$3:J15,1)=1,A15&amp;"-included",0),0)</f>
        <v>0</v>
      </c>
      <c r="M15" s="1" cm="1">
        <f t="array" ref="M15">IF(ES_2[[#This Row],[Included Exp/Sus]]=1,IF(SUMPRODUCT((ES_2[STN]=ES_2[[#This Row],[STN]])*(ES_2[Included Exp/Sus]=1)*(ROW(ES_2[STN])&lt;=ROW()))=1,1,0),0)</f>
        <v>0</v>
      </c>
      <c r="N15" s="1" t="str">
        <f>_xlfn.XLOOKUP(ES_2[[#This Row],[STN]],SE_2[STN],SE_2[Ethnicity],"",0)</f>
        <v/>
      </c>
    </row>
    <row r="16" spans="1:17" ht="15.75" customHeight="1">
      <c r="A16" s="1">
        <v>22908533</v>
      </c>
      <c r="B16" s="1">
        <v>2</v>
      </c>
      <c r="C16" s="2">
        <v>2</v>
      </c>
      <c r="D16" s="1" t="s">
        <v>31</v>
      </c>
      <c r="E16" s="2">
        <v>11</v>
      </c>
      <c r="F16" s="1" t="s">
        <v>36</v>
      </c>
      <c r="G16" s="2">
        <v>1</v>
      </c>
      <c r="H16" s="1" t="s">
        <v>29</v>
      </c>
      <c r="I16" s="1">
        <f>SUMIFS(ES_2[LENGTH_EX_SU],ES_2[STN],ES_2[[#This Row],[STN]],ES_2[DISCIPLINE_TYPE],"Out-of-School Suspension")+SUMIFS(ES_2[LENGTH_EX_SU],ES_2[STN],ES_2[[#This Row],[STN]],ES_2[DISCIPLINE_TYPE],"Expulsion")</f>
        <v>3</v>
      </c>
      <c r="J16" s="1">
        <f>IF(ES_2[[#This Row],[Count Exp/Sus]]&gt;10,1,0)</f>
        <v>0</v>
      </c>
      <c r="K16" s="1">
        <f t="shared" si="0"/>
        <v>0</v>
      </c>
      <c r="L16" s="1">
        <f>IF(J16=1,IF(COUNTIFS($A$3:A16,A16,$J$3:J16,1)=1,A16&amp;"-included",0),0)</f>
        <v>0</v>
      </c>
      <c r="M16" s="1" cm="1">
        <f t="array" ref="M16">IF(ES_2[[#This Row],[Included Exp/Sus]]=1,IF(SUMPRODUCT((ES_2[STN]=ES_2[[#This Row],[STN]])*(ES_2[Included Exp/Sus]=1)*(ROW(ES_2[STN])&lt;=ROW()))=1,1,0),0)</f>
        <v>0</v>
      </c>
      <c r="N16" s="1" t="str">
        <f>_xlfn.XLOOKUP(ES_2[[#This Row],[STN]],SE_2[STN],SE_2[Ethnicity],"",0)</f>
        <v/>
      </c>
    </row>
    <row r="17" spans="1:14" ht="15.75" customHeight="1">
      <c r="A17" s="1">
        <v>22908537</v>
      </c>
      <c r="B17" s="1" t="s">
        <v>41</v>
      </c>
      <c r="C17" s="2">
        <v>2</v>
      </c>
      <c r="D17" s="1" t="s">
        <v>31</v>
      </c>
      <c r="E17" s="2">
        <v>15</v>
      </c>
      <c r="F17" s="1" t="s">
        <v>27</v>
      </c>
      <c r="G17" s="2">
        <v>1</v>
      </c>
      <c r="H17" s="1" t="s">
        <v>26</v>
      </c>
      <c r="I17" s="1">
        <f>SUMIFS(ES_2[LENGTH_EX_SU],ES_2[STN],ES_2[[#This Row],[STN]],ES_2[DISCIPLINE_TYPE],"Out-of-School Suspension")+SUMIFS(ES_2[LENGTH_EX_SU],ES_2[STN],ES_2[[#This Row],[STN]],ES_2[DISCIPLINE_TYPE],"Expulsion")</f>
        <v>1</v>
      </c>
      <c r="J17" s="1">
        <f>IF(ES_2[[#This Row],[Count Exp/Sus]]&gt;10,1,0)</f>
        <v>0</v>
      </c>
      <c r="K17" s="1">
        <f t="shared" si="0"/>
        <v>0</v>
      </c>
      <c r="L17" s="1">
        <f>IF(J17=1,IF(COUNTIFS($A$3:A17,A17,$J$3:J17,1)=1,A17&amp;"-included",0),0)</f>
        <v>0</v>
      </c>
      <c r="M17" s="1" cm="1">
        <f t="array" ref="M17">IF(ES_2[[#This Row],[Included Exp/Sus]]=1,IF(SUMPRODUCT((ES_2[STN]=ES_2[[#This Row],[STN]])*(ES_2[Included Exp/Sus]=1)*(ROW(ES_2[STN])&lt;=ROW()))=1,1,0),0)</f>
        <v>0</v>
      </c>
      <c r="N17" s="1" t="str">
        <f>_xlfn.XLOOKUP(ES_2[[#This Row],[STN]],SE_2[STN],SE_2[Ethnicity],"",0)</f>
        <v>White</v>
      </c>
    </row>
    <row r="18" spans="1:14" ht="15.75" customHeight="1">
      <c r="A18" s="1">
        <v>22908548</v>
      </c>
      <c r="B18" s="1">
        <v>1</v>
      </c>
      <c r="C18" s="2">
        <v>2</v>
      </c>
      <c r="D18" s="1" t="s">
        <v>31</v>
      </c>
      <c r="E18" s="2">
        <v>15</v>
      </c>
      <c r="F18" s="1" t="s">
        <v>27</v>
      </c>
      <c r="G18" s="2">
        <v>1</v>
      </c>
      <c r="H18" s="1" t="s">
        <v>29</v>
      </c>
      <c r="I18" s="1">
        <f>SUMIFS(ES_2[LENGTH_EX_SU],ES_2[STN],ES_2[[#This Row],[STN]],ES_2[DISCIPLINE_TYPE],"Out-of-School Suspension")+SUMIFS(ES_2[LENGTH_EX_SU],ES_2[STN],ES_2[[#This Row],[STN]],ES_2[DISCIPLINE_TYPE],"Expulsion")</f>
        <v>2</v>
      </c>
      <c r="J18" s="1">
        <f>IF(ES_2[[#This Row],[Count Exp/Sus]]&gt;10,1,0)</f>
        <v>0</v>
      </c>
      <c r="K18" s="1">
        <f t="shared" si="0"/>
        <v>0</v>
      </c>
      <c r="L18" s="1">
        <f>IF(J18=1,IF(COUNTIFS($A$3:A18,A18,$J$3:J18,1)=1,A18&amp;"-included",0),0)</f>
        <v>0</v>
      </c>
      <c r="M18" s="1" cm="1">
        <f t="array" ref="M18">IF(ES_2[[#This Row],[Included Exp/Sus]]=1,IF(SUMPRODUCT((ES_2[STN]=ES_2[[#This Row],[STN]])*(ES_2[Included Exp/Sus]=1)*(ROW(ES_2[STN])&lt;=ROW()))=1,1,0),0)</f>
        <v>0</v>
      </c>
      <c r="N18" s="1" t="str">
        <f>_xlfn.XLOOKUP(ES_2[[#This Row],[STN]],SE_2[STN],SE_2[Ethnicity],"",0)</f>
        <v/>
      </c>
    </row>
    <row r="19" spans="1:14" ht="15.75" customHeight="1">
      <c r="A19" s="1">
        <v>22908548</v>
      </c>
      <c r="B19" s="1" t="s">
        <v>41</v>
      </c>
      <c r="C19" s="2">
        <v>2</v>
      </c>
      <c r="D19" s="1" t="s">
        <v>31</v>
      </c>
      <c r="E19" s="2">
        <v>10</v>
      </c>
      <c r="F19" s="1" t="s">
        <v>25</v>
      </c>
      <c r="G19" s="2">
        <v>1</v>
      </c>
      <c r="H19" s="1" t="s">
        <v>29</v>
      </c>
      <c r="I19" s="1">
        <f>SUMIFS(ES_2[LENGTH_EX_SU],ES_2[STN],ES_2[[#This Row],[STN]],ES_2[DISCIPLINE_TYPE],"Out-of-School Suspension")+SUMIFS(ES_2[LENGTH_EX_SU],ES_2[STN],ES_2[[#This Row],[STN]],ES_2[DISCIPLINE_TYPE],"Expulsion")</f>
        <v>2</v>
      </c>
      <c r="J19" s="1">
        <f>IF(ES_2[[#This Row],[Count Exp/Sus]]&gt;10,1,0)</f>
        <v>0</v>
      </c>
      <c r="K19" s="1">
        <f t="shared" si="0"/>
        <v>0</v>
      </c>
      <c r="L19" s="1">
        <f>IF(J19=1,IF(COUNTIFS($A$3:A19,A19,$J$3:J19,1)=1,A19&amp;"-included",0),0)</f>
        <v>0</v>
      </c>
      <c r="M19" s="1" cm="1">
        <f t="array" ref="M19">IF(ES_2[[#This Row],[Included Exp/Sus]]=1,IF(SUMPRODUCT((ES_2[STN]=ES_2[[#This Row],[STN]])*(ES_2[Included Exp/Sus]=1)*(ROW(ES_2[STN])&lt;=ROW()))=1,1,0),0)</f>
        <v>0</v>
      </c>
      <c r="N19" s="1" t="str">
        <f>_xlfn.XLOOKUP(ES_2[[#This Row],[STN]],SE_2[STN],SE_2[Ethnicity],"",0)</f>
        <v/>
      </c>
    </row>
    <row r="20" spans="1:14" ht="15.75" customHeight="1">
      <c r="A20" s="1">
        <v>22908559</v>
      </c>
      <c r="B20" s="1" t="s">
        <v>41</v>
      </c>
      <c r="C20" s="2">
        <v>1</v>
      </c>
      <c r="D20" s="1" t="s">
        <v>24</v>
      </c>
      <c r="E20" s="2">
        <v>15</v>
      </c>
      <c r="F20" s="1" t="s">
        <v>27</v>
      </c>
      <c r="G20" s="2">
        <v>1</v>
      </c>
      <c r="H20" s="1" t="s">
        <v>26</v>
      </c>
      <c r="I20" s="1">
        <f>SUMIFS(ES_2[LENGTH_EX_SU],ES_2[STN],ES_2[[#This Row],[STN]],ES_2[DISCIPLINE_TYPE],"Out-of-School Suspension")+SUMIFS(ES_2[LENGTH_EX_SU],ES_2[STN],ES_2[[#This Row],[STN]],ES_2[DISCIPLINE_TYPE],"Expulsion")</f>
        <v>0</v>
      </c>
      <c r="J20" s="1">
        <f>IF(ES_2[[#This Row],[Count Exp/Sus]]&gt;10,1,0)</f>
        <v>0</v>
      </c>
      <c r="K20" s="1">
        <f t="shared" si="0"/>
        <v>0</v>
      </c>
      <c r="L20" s="1">
        <f>IF(J20=1,IF(COUNTIFS($A$3:A20,A20,$J$3:J20,1)=1,A20&amp;"-included",0),0)</f>
        <v>0</v>
      </c>
      <c r="M20" s="1" cm="1">
        <f t="array" ref="M20">IF(ES_2[[#This Row],[Included Exp/Sus]]=1,IF(SUMPRODUCT((ES_2[STN]=ES_2[[#This Row],[STN]])*(ES_2[Included Exp/Sus]=1)*(ROW(ES_2[STN])&lt;=ROW()))=1,1,0),0)</f>
        <v>0</v>
      </c>
      <c r="N20" s="1" t="str">
        <f>_xlfn.XLOOKUP(ES_2[[#This Row],[STN]],SE_2[STN],SE_2[Ethnicity],"",0)</f>
        <v>White</v>
      </c>
    </row>
    <row r="21" spans="1:14" ht="15.75" customHeight="1">
      <c r="A21" s="1">
        <v>22908743</v>
      </c>
      <c r="B21" s="1" t="s">
        <v>41</v>
      </c>
      <c r="C21" s="2">
        <v>2</v>
      </c>
      <c r="D21" s="1" t="s">
        <v>31</v>
      </c>
      <c r="E21" s="2">
        <v>11</v>
      </c>
      <c r="F21" s="1" t="s">
        <v>36</v>
      </c>
      <c r="G21" s="2">
        <v>2</v>
      </c>
      <c r="H21" s="1" t="s">
        <v>26</v>
      </c>
      <c r="I21" s="1">
        <f>SUMIFS(ES_2[LENGTH_EX_SU],ES_2[STN],ES_2[[#This Row],[STN]],ES_2[DISCIPLINE_TYPE],"Out-of-School Suspension")+SUMIFS(ES_2[LENGTH_EX_SU],ES_2[STN],ES_2[[#This Row],[STN]],ES_2[DISCIPLINE_TYPE],"Expulsion")</f>
        <v>2</v>
      </c>
      <c r="J21" s="1">
        <f>IF(ES_2[[#This Row],[Count Exp/Sus]]&gt;10,1,0)</f>
        <v>0</v>
      </c>
      <c r="K21" s="1">
        <f t="shared" si="0"/>
        <v>0</v>
      </c>
      <c r="L21" s="1">
        <f>IF(J21=1,IF(COUNTIFS($A$3:A21,A21,$J$3:J21,1)=1,A21&amp;"-included",0),0)</f>
        <v>0</v>
      </c>
      <c r="M21" s="1" cm="1">
        <f t="array" ref="M21">IF(ES_2[[#This Row],[Included Exp/Sus]]=1,IF(SUMPRODUCT((ES_2[STN]=ES_2[[#This Row],[STN]])*(ES_2[Included Exp/Sus]=1)*(ROW(ES_2[STN])&lt;=ROW()))=1,1,0),0)</f>
        <v>0</v>
      </c>
      <c r="N21" s="1" t="str">
        <f>_xlfn.XLOOKUP(ES_2[[#This Row],[STN]],SE_2[STN],SE_2[Ethnicity],"",0)</f>
        <v>White</v>
      </c>
    </row>
    <row r="22" spans="1:14" ht="15.75" customHeight="1">
      <c r="A22" s="1">
        <v>22908746</v>
      </c>
      <c r="B22" s="1" t="s">
        <v>41</v>
      </c>
      <c r="C22" s="2">
        <v>2</v>
      </c>
      <c r="D22" s="1" t="s">
        <v>31</v>
      </c>
      <c r="E22" s="2">
        <v>15</v>
      </c>
      <c r="F22" s="1" t="s">
        <v>27</v>
      </c>
      <c r="G22" s="2">
        <v>1</v>
      </c>
      <c r="H22" s="1" t="s">
        <v>26</v>
      </c>
      <c r="I22" s="1">
        <f>SUMIFS(ES_2[LENGTH_EX_SU],ES_2[STN],ES_2[[#This Row],[STN]],ES_2[DISCIPLINE_TYPE],"Out-of-School Suspension")+SUMIFS(ES_2[LENGTH_EX_SU],ES_2[STN],ES_2[[#This Row],[STN]],ES_2[DISCIPLINE_TYPE],"Expulsion")</f>
        <v>1</v>
      </c>
      <c r="J22" s="1">
        <f>IF(ES_2[[#This Row],[Count Exp/Sus]]&gt;10,1,0)</f>
        <v>0</v>
      </c>
      <c r="K22" s="1">
        <f t="shared" si="0"/>
        <v>0</v>
      </c>
      <c r="L22" s="1">
        <f>IF(J22=1,IF(COUNTIFS($A$3:A22,A22,$J$3:J22,1)=1,A22&amp;"-included",0),0)</f>
        <v>0</v>
      </c>
      <c r="M22" s="1" cm="1">
        <f t="array" ref="M22">IF(ES_2[[#This Row],[Included Exp/Sus]]=1,IF(SUMPRODUCT((ES_2[STN]=ES_2[[#This Row],[STN]])*(ES_2[Included Exp/Sus]=1)*(ROW(ES_2[STN])&lt;=ROW()))=1,1,0),0)</f>
        <v>0</v>
      </c>
      <c r="N22" s="1" t="str">
        <f>_xlfn.XLOOKUP(ES_2[[#This Row],[STN]],SE_2[STN],SE_2[Ethnicity],"",0)</f>
        <v>White</v>
      </c>
    </row>
    <row r="23" spans="1:14" ht="15.75" customHeight="1">
      <c r="A23" s="1">
        <v>22909528</v>
      </c>
      <c r="B23" s="1" t="s">
        <v>41</v>
      </c>
      <c r="C23" s="2">
        <v>2</v>
      </c>
      <c r="D23" s="1" t="s">
        <v>31</v>
      </c>
      <c r="E23" s="2">
        <v>10</v>
      </c>
      <c r="F23" s="1" t="s">
        <v>25</v>
      </c>
      <c r="G23" s="2">
        <v>1</v>
      </c>
      <c r="H23" s="1" t="s">
        <v>26</v>
      </c>
      <c r="I23" s="1">
        <f>SUMIFS(ES_2[LENGTH_EX_SU],ES_2[STN],ES_2[[#This Row],[STN]],ES_2[DISCIPLINE_TYPE],"Out-of-School Suspension")+SUMIFS(ES_2[LENGTH_EX_SU],ES_2[STN],ES_2[[#This Row],[STN]],ES_2[DISCIPLINE_TYPE],"Expulsion")</f>
        <v>1</v>
      </c>
      <c r="J23" s="1">
        <f>IF(ES_2[[#This Row],[Count Exp/Sus]]&gt;10,1,0)</f>
        <v>0</v>
      </c>
      <c r="K23" s="1">
        <f t="shared" si="0"/>
        <v>0</v>
      </c>
      <c r="L23" s="1">
        <f>IF(J23=1,IF(COUNTIFS($A$3:A23,A23,$J$3:J23,1)=1,A23&amp;"-included",0),0)</f>
        <v>0</v>
      </c>
      <c r="M23" s="1" cm="1">
        <f t="array" ref="M23">IF(ES_2[[#This Row],[Included Exp/Sus]]=1,IF(SUMPRODUCT((ES_2[STN]=ES_2[[#This Row],[STN]])*(ES_2[Included Exp/Sus]=1)*(ROW(ES_2[STN])&lt;=ROW()))=1,1,0),0)</f>
        <v>0</v>
      </c>
      <c r="N23" s="1" t="str">
        <f>_xlfn.XLOOKUP(ES_2[[#This Row],[STN]],SE_2[STN],SE_2[Ethnicity],"",0)</f>
        <v>White</v>
      </c>
    </row>
    <row r="24" spans="1:14" ht="14.45">
      <c r="A24" s="1">
        <v>22909529</v>
      </c>
      <c r="B24" s="1">
        <v>5</v>
      </c>
      <c r="C24" s="2">
        <v>2</v>
      </c>
      <c r="D24" s="1" t="s">
        <v>31</v>
      </c>
      <c r="E24" s="2">
        <v>13</v>
      </c>
      <c r="F24" s="1" t="s">
        <v>34</v>
      </c>
      <c r="G24" s="2">
        <v>1</v>
      </c>
      <c r="H24" s="1" t="s">
        <v>26</v>
      </c>
      <c r="I24" s="1">
        <f>SUMIFS(ES_2[LENGTH_EX_SU],ES_2[STN],ES_2[[#This Row],[STN]],ES_2[DISCIPLINE_TYPE],"Out-of-School Suspension")+SUMIFS(ES_2[LENGTH_EX_SU],ES_2[STN],ES_2[[#This Row],[STN]],ES_2[DISCIPLINE_TYPE],"Expulsion")</f>
        <v>1</v>
      </c>
      <c r="J24" s="1">
        <f>IF(ES_2[[#This Row],[Count Exp/Sus]]&gt;10,1,0)</f>
        <v>0</v>
      </c>
      <c r="K24" s="1">
        <f t="shared" si="0"/>
        <v>0</v>
      </c>
      <c r="L24" s="1">
        <f>IF(J24=1,IF(COUNTIFS($A$3:A24,A24,$J$3:J24,1)=1,A24&amp;"-included",0),0)</f>
        <v>0</v>
      </c>
      <c r="M24" s="1" cm="1">
        <f t="array" ref="M24">IF(ES_2[[#This Row],[Included Exp/Sus]]=1,IF(SUMPRODUCT((ES_2[STN]=ES_2[[#This Row],[STN]])*(ES_2[Included Exp/Sus]=1)*(ROW(ES_2[STN])&lt;=ROW()))=1,1,0),0)</f>
        <v>0</v>
      </c>
      <c r="N24" s="1" t="str">
        <f>_xlfn.XLOOKUP(ES_2[[#This Row],[STN]],SE_2[STN],SE_2[Ethnicity],"",0)</f>
        <v>White</v>
      </c>
    </row>
    <row r="25" spans="1:14" ht="14.45">
      <c r="A25" s="1">
        <v>22909541</v>
      </c>
      <c r="B25" s="1">
        <v>3</v>
      </c>
      <c r="C25" s="2">
        <v>2</v>
      </c>
      <c r="D25" s="1" t="s">
        <v>31</v>
      </c>
      <c r="E25" s="2">
        <v>30</v>
      </c>
      <c r="F25" s="1" t="s">
        <v>44</v>
      </c>
      <c r="G25" s="2">
        <v>1</v>
      </c>
      <c r="H25" s="1" t="s">
        <v>26</v>
      </c>
      <c r="I25" s="1">
        <f>SUMIFS(ES_2[LENGTH_EX_SU],ES_2[STN],ES_2[[#This Row],[STN]],ES_2[DISCIPLINE_TYPE],"Out-of-School Suspension")+SUMIFS(ES_2[LENGTH_EX_SU],ES_2[STN],ES_2[[#This Row],[STN]],ES_2[DISCIPLINE_TYPE],"Expulsion")</f>
        <v>1</v>
      </c>
      <c r="J25" s="1">
        <f>IF(ES_2[[#This Row],[Count Exp/Sus]]&gt;10,1,0)</f>
        <v>0</v>
      </c>
      <c r="K25" s="1">
        <f t="shared" si="0"/>
        <v>0</v>
      </c>
      <c r="L25" s="1">
        <f>IF(J25=1,IF(COUNTIFS($A$3:A25,A25,$J$3:J25,1)=1,A25&amp;"-included",0),0)</f>
        <v>0</v>
      </c>
      <c r="M25" s="1" cm="1">
        <f t="array" ref="M25">IF(ES_2[[#This Row],[Included Exp/Sus]]=1,IF(SUMPRODUCT((ES_2[STN]=ES_2[[#This Row],[STN]])*(ES_2[Included Exp/Sus]=1)*(ROW(ES_2[STN])&lt;=ROW()))=1,1,0),0)</f>
        <v>0</v>
      </c>
      <c r="N25" s="1" t="str">
        <f>_xlfn.XLOOKUP(ES_2[[#This Row],[STN]],SE_2[STN],SE_2[Ethnicity],"",0)</f>
        <v>White</v>
      </c>
    </row>
    <row r="26" spans="1:14" ht="14.45">
      <c r="A26" s="1">
        <v>22909544</v>
      </c>
      <c r="B26" s="1" t="s">
        <v>41</v>
      </c>
      <c r="C26" s="2">
        <v>1</v>
      </c>
      <c r="D26" s="1" t="s">
        <v>24</v>
      </c>
      <c r="E26" s="2">
        <v>10</v>
      </c>
      <c r="F26" s="1" t="s">
        <v>25</v>
      </c>
      <c r="G26" s="2">
        <v>1</v>
      </c>
      <c r="H26" s="1" t="s">
        <v>26</v>
      </c>
      <c r="I26" s="1">
        <f>SUMIFS(ES_2[LENGTH_EX_SU],ES_2[STN],ES_2[[#This Row],[STN]],ES_2[DISCIPLINE_TYPE],"Out-of-School Suspension")+SUMIFS(ES_2[LENGTH_EX_SU],ES_2[STN],ES_2[[#This Row],[STN]],ES_2[DISCIPLINE_TYPE],"Expulsion")</f>
        <v>0</v>
      </c>
      <c r="J26" s="1">
        <f>IF(ES_2[[#This Row],[Count Exp/Sus]]&gt;10,1,0)</f>
        <v>0</v>
      </c>
      <c r="K26" s="1">
        <f t="shared" si="0"/>
        <v>0</v>
      </c>
      <c r="L26" s="1">
        <f>IF(J26=1,IF(COUNTIFS($A$3:A26,A26,$J$3:J26,1)=1,A26&amp;"-included",0),0)</f>
        <v>0</v>
      </c>
      <c r="M26" s="1" cm="1">
        <f t="array" ref="M26">IF(ES_2[[#This Row],[Included Exp/Sus]]=1,IF(SUMPRODUCT((ES_2[STN]=ES_2[[#This Row],[STN]])*(ES_2[Included Exp/Sus]=1)*(ROW(ES_2[STN])&lt;=ROW()))=1,1,0),0)</f>
        <v>0</v>
      </c>
      <c r="N26" s="1" t="str">
        <f>_xlfn.XLOOKUP(ES_2[[#This Row],[STN]],SE_2[STN],SE_2[Ethnicity],"",0)</f>
        <v>White</v>
      </c>
    </row>
    <row r="27" spans="1:14" ht="14.45">
      <c r="A27" s="1">
        <v>22909568</v>
      </c>
      <c r="B27" s="1">
        <v>6</v>
      </c>
      <c r="C27" s="2">
        <v>2</v>
      </c>
      <c r="D27" s="1" t="s">
        <v>31</v>
      </c>
      <c r="E27" s="2">
        <v>14</v>
      </c>
      <c r="F27" s="1" t="s">
        <v>32</v>
      </c>
      <c r="G27" s="2">
        <v>1</v>
      </c>
      <c r="H27" s="1" t="s">
        <v>29</v>
      </c>
      <c r="I27" s="1">
        <f>SUMIFS(ES_2[LENGTH_EX_SU],ES_2[STN],ES_2[[#This Row],[STN]],ES_2[DISCIPLINE_TYPE],"Out-of-School Suspension")+SUMIFS(ES_2[LENGTH_EX_SU],ES_2[STN],ES_2[[#This Row],[STN]],ES_2[DISCIPLINE_TYPE],"Expulsion")</f>
        <v>6</v>
      </c>
      <c r="J27" s="1">
        <f>IF(ES_2[[#This Row],[Count Exp/Sus]]&gt;10,1,0)</f>
        <v>0</v>
      </c>
      <c r="K27" s="1">
        <f t="shared" si="0"/>
        <v>0</v>
      </c>
      <c r="L27" s="1">
        <f>IF(J27=1,IF(COUNTIFS($A$3:A27,A27,$J$3:J27,1)=1,A27&amp;"-included",0),0)</f>
        <v>0</v>
      </c>
      <c r="M27" s="1" cm="1">
        <f t="array" ref="M27">IF(ES_2[[#This Row],[Included Exp/Sus]]=1,IF(SUMPRODUCT((ES_2[STN]=ES_2[[#This Row],[STN]])*(ES_2[Included Exp/Sus]=1)*(ROW(ES_2[STN])&lt;=ROW()))=1,1,0),0)</f>
        <v>0</v>
      </c>
      <c r="N27" s="1" t="str">
        <f>_xlfn.XLOOKUP(ES_2[[#This Row],[STN]],SE_2[STN],SE_2[Ethnicity],"",0)</f>
        <v>White</v>
      </c>
    </row>
    <row r="28" spans="1:14" ht="14.45">
      <c r="A28" s="1">
        <v>22909568</v>
      </c>
      <c r="B28" s="1">
        <v>7</v>
      </c>
      <c r="C28" s="2">
        <v>2</v>
      </c>
      <c r="D28" s="1" t="s">
        <v>31</v>
      </c>
      <c r="E28" s="2">
        <v>2</v>
      </c>
      <c r="F28" s="1" t="s">
        <v>33</v>
      </c>
      <c r="G28" s="2">
        <v>5</v>
      </c>
      <c r="H28" s="1" t="s">
        <v>29</v>
      </c>
      <c r="I28" s="1">
        <f>SUMIFS(ES_2[LENGTH_EX_SU],ES_2[STN],ES_2[[#This Row],[STN]],ES_2[DISCIPLINE_TYPE],"Out-of-School Suspension")+SUMIFS(ES_2[LENGTH_EX_SU],ES_2[STN],ES_2[[#This Row],[STN]],ES_2[DISCIPLINE_TYPE],"Expulsion")</f>
        <v>6</v>
      </c>
      <c r="J28" s="1">
        <f>IF(ES_2[[#This Row],[Count Exp/Sus]]&gt;10,1,0)</f>
        <v>0</v>
      </c>
      <c r="K28" s="1">
        <f t="shared" si="0"/>
        <v>0</v>
      </c>
      <c r="L28" s="1">
        <f>IF(J28=1,IF(COUNTIFS($A$3:A28,A28,$J$3:J28,1)=1,A28&amp;"-included",0),0)</f>
        <v>0</v>
      </c>
      <c r="M28" s="1" cm="1">
        <f t="array" ref="M28">IF(ES_2[[#This Row],[Included Exp/Sus]]=1,IF(SUMPRODUCT((ES_2[STN]=ES_2[[#This Row],[STN]])*(ES_2[Included Exp/Sus]=1)*(ROW(ES_2[STN])&lt;=ROW()))=1,1,0),0)</f>
        <v>0</v>
      </c>
      <c r="N28" s="1" t="str">
        <f>_xlfn.XLOOKUP(ES_2[[#This Row],[STN]],SE_2[STN],SE_2[Ethnicity],"",0)</f>
        <v>White</v>
      </c>
    </row>
    <row r="29" spans="1:14" ht="14.45">
      <c r="A29" s="1">
        <v>22909568</v>
      </c>
      <c r="B29" s="1">
        <v>8</v>
      </c>
      <c r="C29" s="2">
        <v>1</v>
      </c>
      <c r="D29" s="1" t="s">
        <v>24</v>
      </c>
      <c r="E29" s="2">
        <v>14</v>
      </c>
      <c r="F29" s="1" t="s">
        <v>32</v>
      </c>
      <c r="G29" s="2">
        <v>1</v>
      </c>
      <c r="H29" s="1" t="s">
        <v>26</v>
      </c>
      <c r="I29" s="1">
        <f>SUMIFS(ES_2[LENGTH_EX_SU],ES_2[STN],ES_2[[#This Row],[STN]],ES_2[DISCIPLINE_TYPE],"Out-of-School Suspension")+SUMIFS(ES_2[LENGTH_EX_SU],ES_2[STN],ES_2[[#This Row],[STN]],ES_2[DISCIPLINE_TYPE],"Expulsion")</f>
        <v>6</v>
      </c>
      <c r="J29" s="1">
        <f>IF(ES_2[[#This Row],[Count Exp/Sus]]&gt;10,1,0)</f>
        <v>0</v>
      </c>
      <c r="K29" s="1">
        <f t="shared" si="0"/>
        <v>0</v>
      </c>
      <c r="L29" s="1">
        <f>IF(J29=1,IF(COUNTIFS($A$3:A29,A29,$J$3:J29,1)=1,A29&amp;"-included",0),0)</f>
        <v>0</v>
      </c>
      <c r="M29" s="1" cm="1">
        <f t="array" ref="M29">IF(ES_2[[#This Row],[Included Exp/Sus]]=1,IF(SUMPRODUCT((ES_2[STN]=ES_2[[#This Row],[STN]])*(ES_2[Included Exp/Sus]=1)*(ROW(ES_2[STN])&lt;=ROW()))=1,1,0),0)</f>
        <v>0</v>
      </c>
      <c r="N29" s="1" t="str">
        <f>_xlfn.XLOOKUP(ES_2[[#This Row],[STN]],SE_2[STN],SE_2[Ethnicity],"",0)</f>
        <v>White</v>
      </c>
    </row>
    <row r="30" spans="1:14" ht="14.45">
      <c r="A30" s="1">
        <v>22909622</v>
      </c>
      <c r="B30" s="1" t="s">
        <v>41</v>
      </c>
      <c r="C30" s="2">
        <v>2</v>
      </c>
      <c r="D30" s="1" t="s">
        <v>31</v>
      </c>
      <c r="E30" s="2">
        <v>10</v>
      </c>
      <c r="F30" s="1" t="s">
        <v>25</v>
      </c>
      <c r="G30" s="2">
        <v>2</v>
      </c>
      <c r="H30" s="1" t="s">
        <v>26</v>
      </c>
      <c r="I30" s="1">
        <f>SUMIFS(ES_2[LENGTH_EX_SU],ES_2[STN],ES_2[[#This Row],[STN]],ES_2[DISCIPLINE_TYPE],"Out-of-School Suspension")+SUMIFS(ES_2[LENGTH_EX_SU],ES_2[STN],ES_2[[#This Row],[STN]],ES_2[DISCIPLINE_TYPE],"Expulsion")</f>
        <v>2</v>
      </c>
      <c r="J30" s="1">
        <f>IF(ES_2[[#This Row],[Count Exp/Sus]]&gt;10,1,0)</f>
        <v>0</v>
      </c>
      <c r="K30" s="1">
        <f t="shared" si="0"/>
        <v>0</v>
      </c>
      <c r="L30" s="1">
        <f>IF(J30=1,IF(COUNTIFS($A$3:A30,A30,$J$3:J30,1)=1,A30&amp;"-included",0),0)</f>
        <v>0</v>
      </c>
      <c r="M30" s="1" cm="1">
        <f t="array" ref="M30">IF(ES_2[[#This Row],[Included Exp/Sus]]=1,IF(SUMPRODUCT((ES_2[STN]=ES_2[[#This Row],[STN]])*(ES_2[Included Exp/Sus]=1)*(ROW(ES_2[STN])&lt;=ROW()))=1,1,0),0)</f>
        <v>0</v>
      </c>
      <c r="N30" s="1" t="str">
        <f>_xlfn.XLOOKUP(ES_2[[#This Row],[STN]],SE_2[STN],SE_2[Ethnicity],"",0)</f>
        <v>White</v>
      </c>
    </row>
    <row r="31" spans="1:14" ht="14.45">
      <c r="A31" s="1">
        <v>22909622</v>
      </c>
      <c r="B31" s="1" t="s">
        <v>41</v>
      </c>
      <c r="C31" s="2">
        <v>1</v>
      </c>
      <c r="D31" s="1" t="s">
        <v>24</v>
      </c>
      <c r="E31" s="2">
        <v>10</v>
      </c>
      <c r="F31" s="1" t="s">
        <v>25</v>
      </c>
      <c r="G31" s="2">
        <v>1</v>
      </c>
      <c r="H31" s="1" t="s">
        <v>26</v>
      </c>
      <c r="I31" s="1">
        <f>SUMIFS(ES_2[LENGTH_EX_SU],ES_2[STN],ES_2[[#This Row],[STN]],ES_2[DISCIPLINE_TYPE],"Out-of-School Suspension")+SUMIFS(ES_2[LENGTH_EX_SU],ES_2[STN],ES_2[[#This Row],[STN]],ES_2[DISCIPLINE_TYPE],"Expulsion")</f>
        <v>2</v>
      </c>
      <c r="J31" s="1">
        <f>IF(ES_2[[#This Row],[Count Exp/Sus]]&gt;10,1,0)</f>
        <v>0</v>
      </c>
      <c r="K31" s="1">
        <f t="shared" si="0"/>
        <v>0</v>
      </c>
      <c r="L31" s="1">
        <f>IF(J31=1,IF(COUNTIFS($A$3:A31,A31,$J$3:J31,1)=1,A31&amp;"-included",0),0)</f>
        <v>0</v>
      </c>
      <c r="M31" s="1" cm="1">
        <f t="array" ref="M31">IF(ES_2[[#This Row],[Included Exp/Sus]]=1,IF(SUMPRODUCT((ES_2[STN]=ES_2[[#This Row],[STN]])*(ES_2[Included Exp/Sus]=1)*(ROW(ES_2[STN])&lt;=ROW()))=1,1,0),0)</f>
        <v>0</v>
      </c>
      <c r="N31" s="1" t="str">
        <f>_xlfn.XLOOKUP(ES_2[[#This Row],[STN]],SE_2[STN],SE_2[Ethnicity],"",0)</f>
        <v>White</v>
      </c>
    </row>
    <row r="32" spans="1:14" ht="14.45">
      <c r="A32" s="1">
        <v>22909622</v>
      </c>
      <c r="B32" s="1" t="s">
        <v>41</v>
      </c>
      <c r="C32" s="2">
        <v>1</v>
      </c>
      <c r="D32" s="1" t="s">
        <v>24</v>
      </c>
      <c r="E32" s="2">
        <v>10</v>
      </c>
      <c r="F32" s="1" t="s">
        <v>25</v>
      </c>
      <c r="G32" s="2">
        <v>1</v>
      </c>
      <c r="H32" s="1" t="s">
        <v>26</v>
      </c>
      <c r="I32" s="1">
        <f>SUMIFS(ES_2[LENGTH_EX_SU],ES_2[STN],ES_2[[#This Row],[STN]],ES_2[DISCIPLINE_TYPE],"Out-of-School Suspension")+SUMIFS(ES_2[LENGTH_EX_SU],ES_2[STN],ES_2[[#This Row],[STN]],ES_2[DISCIPLINE_TYPE],"Expulsion")</f>
        <v>2</v>
      </c>
      <c r="J32" s="1">
        <f>IF(ES_2[[#This Row],[Count Exp/Sus]]&gt;10,1,0)</f>
        <v>0</v>
      </c>
      <c r="K32" s="1">
        <f t="shared" si="0"/>
        <v>0</v>
      </c>
      <c r="L32" s="1">
        <f>IF(J32=1,IF(COUNTIFS($A$3:A32,A32,$J$3:J32,1)=1,A32&amp;"-included",0),0)</f>
        <v>0</v>
      </c>
      <c r="M32" s="1" cm="1">
        <f t="array" ref="M32">IF(ES_2[[#This Row],[Included Exp/Sus]]=1,IF(SUMPRODUCT((ES_2[STN]=ES_2[[#This Row],[STN]])*(ES_2[Included Exp/Sus]=1)*(ROW(ES_2[STN])&lt;=ROW()))=1,1,0),0)</f>
        <v>0</v>
      </c>
      <c r="N32" s="1" t="str">
        <f>_xlfn.XLOOKUP(ES_2[[#This Row],[STN]],SE_2[STN],SE_2[Ethnicity],"",0)</f>
        <v>White</v>
      </c>
    </row>
    <row r="33" spans="1:14" ht="14.45">
      <c r="A33" s="1">
        <v>22909628</v>
      </c>
      <c r="B33" s="1" t="s">
        <v>41</v>
      </c>
      <c r="C33" s="2">
        <v>2</v>
      </c>
      <c r="D33" s="1" t="s">
        <v>31</v>
      </c>
      <c r="E33" s="2">
        <v>11</v>
      </c>
      <c r="F33" s="1" t="s">
        <v>36</v>
      </c>
      <c r="G33" s="2">
        <v>2</v>
      </c>
      <c r="H33" s="1" t="s">
        <v>26</v>
      </c>
      <c r="I33" s="1">
        <f>SUMIFS(ES_2[LENGTH_EX_SU],ES_2[STN],ES_2[[#This Row],[STN]],ES_2[DISCIPLINE_TYPE],"Out-of-School Suspension")+SUMIFS(ES_2[LENGTH_EX_SU],ES_2[STN],ES_2[[#This Row],[STN]],ES_2[DISCIPLINE_TYPE],"Expulsion")</f>
        <v>2</v>
      </c>
      <c r="J33" s="1">
        <f>IF(ES_2[[#This Row],[Count Exp/Sus]]&gt;10,1,0)</f>
        <v>0</v>
      </c>
      <c r="K33" s="1">
        <f t="shared" si="0"/>
        <v>0</v>
      </c>
      <c r="L33" s="1">
        <f>IF(J33=1,IF(COUNTIFS($A$3:A33,A33,$J$3:J33,1)=1,A33&amp;"-included",0),0)</f>
        <v>0</v>
      </c>
      <c r="M33" s="1" cm="1">
        <f t="array" ref="M33">IF(ES_2[[#This Row],[Included Exp/Sus]]=1,IF(SUMPRODUCT((ES_2[STN]=ES_2[[#This Row],[STN]])*(ES_2[Included Exp/Sus]=1)*(ROW(ES_2[STN])&lt;=ROW()))=1,1,0),0)</f>
        <v>0</v>
      </c>
      <c r="N33" s="1" t="str">
        <f>_xlfn.XLOOKUP(ES_2[[#This Row],[STN]],SE_2[STN],SE_2[Ethnicity],"",0)</f>
        <v>White</v>
      </c>
    </row>
    <row r="34" spans="1:14" ht="14.45">
      <c r="A34" s="1">
        <v>22910073</v>
      </c>
      <c r="B34" s="1">
        <v>6</v>
      </c>
      <c r="C34" s="2">
        <v>2</v>
      </c>
      <c r="D34" s="1" t="s">
        <v>31</v>
      </c>
      <c r="E34" s="2">
        <v>11</v>
      </c>
      <c r="F34" s="1" t="s">
        <v>36</v>
      </c>
      <c r="G34" s="2">
        <v>2</v>
      </c>
      <c r="H34" s="1" t="s">
        <v>29</v>
      </c>
      <c r="I34" s="1">
        <f>SUMIFS(ES_2[LENGTH_EX_SU],ES_2[STN],ES_2[[#This Row],[STN]],ES_2[DISCIPLINE_TYPE],"Out-of-School Suspension")+SUMIFS(ES_2[LENGTH_EX_SU],ES_2[STN],ES_2[[#This Row],[STN]],ES_2[DISCIPLINE_TYPE],"Expulsion")</f>
        <v>2</v>
      </c>
      <c r="J34" s="1">
        <f>IF(ES_2[[#This Row],[Count Exp/Sus]]&gt;10,1,0)</f>
        <v>0</v>
      </c>
      <c r="K34" s="1">
        <f t="shared" si="0"/>
        <v>0</v>
      </c>
      <c r="L34" s="1">
        <f>IF(J34=1,IF(COUNTIFS($A$3:A34,A34,$J$3:J34,1)=1,A34&amp;"-included",0),0)</f>
        <v>0</v>
      </c>
      <c r="M34" s="1" cm="1">
        <f t="array" ref="M34">IF(ES_2[[#This Row],[Included Exp/Sus]]=1,IF(SUMPRODUCT((ES_2[STN]=ES_2[[#This Row],[STN]])*(ES_2[Included Exp/Sus]=1)*(ROW(ES_2[STN])&lt;=ROW()))=1,1,0),0)</f>
        <v>0</v>
      </c>
      <c r="N34" s="1" t="str">
        <f>_xlfn.XLOOKUP(ES_2[[#This Row],[STN]],SE_2[STN],SE_2[Ethnicity],"",0)</f>
        <v/>
      </c>
    </row>
    <row r="35" spans="1:14" ht="14.45">
      <c r="A35" s="1">
        <v>22910105</v>
      </c>
      <c r="B35" s="1" t="s">
        <v>41</v>
      </c>
      <c r="C35" s="2">
        <v>2</v>
      </c>
      <c r="D35" s="1" t="s">
        <v>31</v>
      </c>
      <c r="E35" s="2">
        <v>10</v>
      </c>
      <c r="F35" s="1" t="s">
        <v>25</v>
      </c>
      <c r="G35" s="2">
        <v>1</v>
      </c>
      <c r="H35" s="1" t="s">
        <v>26</v>
      </c>
      <c r="I35" s="1">
        <f>SUMIFS(ES_2[LENGTH_EX_SU],ES_2[STN],ES_2[[#This Row],[STN]],ES_2[DISCIPLINE_TYPE],"Out-of-School Suspension")+SUMIFS(ES_2[LENGTH_EX_SU],ES_2[STN],ES_2[[#This Row],[STN]],ES_2[DISCIPLINE_TYPE],"Expulsion")</f>
        <v>1</v>
      </c>
      <c r="J35" s="1">
        <f>IF(ES_2[[#This Row],[Count Exp/Sus]]&gt;10,1,0)</f>
        <v>0</v>
      </c>
      <c r="K35" s="1">
        <f t="shared" ref="K35:K66" si="1">IF(J35=1,A35 &amp;"-included",0)</f>
        <v>0</v>
      </c>
      <c r="L35" s="1">
        <f>IF(J35=1,IF(COUNTIFS($A$3:A35,A35,$J$3:J35,1)=1,A35&amp;"-included",0),0)</f>
        <v>0</v>
      </c>
      <c r="M35" s="1" cm="1">
        <f t="array" ref="M35">IF(ES_2[[#This Row],[Included Exp/Sus]]=1,IF(SUMPRODUCT((ES_2[STN]=ES_2[[#This Row],[STN]])*(ES_2[Included Exp/Sus]=1)*(ROW(ES_2[STN])&lt;=ROW()))=1,1,0),0)</f>
        <v>0</v>
      </c>
      <c r="N35" s="1" t="str">
        <f>_xlfn.XLOOKUP(ES_2[[#This Row],[STN]],SE_2[STN],SE_2[Ethnicity],"",0)</f>
        <v>Hispanic Ethnicity and of any race</v>
      </c>
    </row>
    <row r="36" spans="1:14" ht="14.45">
      <c r="A36" s="1">
        <v>22910110</v>
      </c>
      <c r="B36" s="1">
        <v>5</v>
      </c>
      <c r="C36" s="2">
        <v>1</v>
      </c>
      <c r="D36" s="1" t="s">
        <v>24</v>
      </c>
      <c r="E36" s="2">
        <v>11</v>
      </c>
      <c r="F36" s="1" t="s">
        <v>36</v>
      </c>
      <c r="G36" s="2">
        <v>2</v>
      </c>
      <c r="H36" s="1" t="s">
        <v>29</v>
      </c>
      <c r="I36" s="1">
        <f>SUMIFS(ES_2[LENGTH_EX_SU],ES_2[STN],ES_2[[#This Row],[STN]],ES_2[DISCIPLINE_TYPE],"Out-of-School Suspension")+SUMIFS(ES_2[LENGTH_EX_SU],ES_2[STN],ES_2[[#This Row],[STN]],ES_2[DISCIPLINE_TYPE],"Expulsion")</f>
        <v>1</v>
      </c>
      <c r="J36" s="1">
        <f>IF(ES_2[[#This Row],[Count Exp/Sus]]&gt;10,1,0)</f>
        <v>0</v>
      </c>
      <c r="K36" s="1">
        <f t="shared" si="1"/>
        <v>0</v>
      </c>
      <c r="L36" s="1">
        <f>IF(J36=1,IF(COUNTIFS($A$3:A36,A36,$J$3:J36,1)=1,A36&amp;"-included",0),0)</f>
        <v>0</v>
      </c>
      <c r="M36" s="1" cm="1">
        <f t="array" ref="M36">IF(ES_2[[#This Row],[Included Exp/Sus]]=1,IF(SUMPRODUCT((ES_2[STN]=ES_2[[#This Row],[STN]])*(ES_2[Included Exp/Sus]=1)*(ROW(ES_2[STN])&lt;=ROW()))=1,1,0),0)</f>
        <v>0</v>
      </c>
      <c r="N36" s="1" t="str">
        <f>_xlfn.XLOOKUP(ES_2[[#This Row],[STN]],SE_2[STN],SE_2[Ethnicity],"",0)</f>
        <v>White</v>
      </c>
    </row>
    <row r="37" spans="1:14" ht="14.45">
      <c r="A37" s="1">
        <v>22910110</v>
      </c>
      <c r="B37" s="1">
        <v>4</v>
      </c>
      <c r="C37" s="2">
        <v>2</v>
      </c>
      <c r="D37" s="1" t="s">
        <v>31</v>
      </c>
      <c r="E37" s="2">
        <v>11</v>
      </c>
      <c r="F37" s="1" t="s">
        <v>36</v>
      </c>
      <c r="G37" s="2">
        <v>1</v>
      </c>
      <c r="H37" s="1" t="s">
        <v>26</v>
      </c>
      <c r="I37" s="1">
        <f>SUMIFS(ES_2[LENGTH_EX_SU],ES_2[STN],ES_2[[#This Row],[STN]],ES_2[DISCIPLINE_TYPE],"Out-of-School Suspension")+SUMIFS(ES_2[LENGTH_EX_SU],ES_2[STN],ES_2[[#This Row],[STN]],ES_2[DISCIPLINE_TYPE],"Expulsion")</f>
        <v>1</v>
      </c>
      <c r="J37" s="1">
        <f>IF(ES_2[[#This Row],[Count Exp/Sus]]&gt;10,1,0)</f>
        <v>0</v>
      </c>
      <c r="K37" s="1">
        <f t="shared" si="1"/>
        <v>0</v>
      </c>
      <c r="L37" s="1">
        <f>IF(J37=1,IF(COUNTIFS($A$3:A37,A37,$J$3:J37,1)=1,A37&amp;"-included",0),0)</f>
        <v>0</v>
      </c>
      <c r="M37" s="1" cm="1">
        <f t="array" ref="M37">IF(ES_2[[#This Row],[Included Exp/Sus]]=1,IF(SUMPRODUCT((ES_2[STN]=ES_2[[#This Row],[STN]])*(ES_2[Included Exp/Sus]=1)*(ROW(ES_2[STN])&lt;=ROW()))=1,1,0),0)</f>
        <v>0</v>
      </c>
      <c r="N37" s="1" t="str">
        <f>_xlfn.XLOOKUP(ES_2[[#This Row],[STN]],SE_2[STN],SE_2[Ethnicity],"",0)</f>
        <v>White</v>
      </c>
    </row>
    <row r="38" spans="1:14" ht="14.45">
      <c r="A38" s="1">
        <v>22910110</v>
      </c>
      <c r="B38" s="1">
        <v>4</v>
      </c>
      <c r="C38" s="2">
        <v>1</v>
      </c>
      <c r="D38" s="1" t="s">
        <v>24</v>
      </c>
      <c r="E38" s="2">
        <v>15</v>
      </c>
      <c r="F38" s="1" t="s">
        <v>27</v>
      </c>
      <c r="G38" s="2">
        <v>1</v>
      </c>
      <c r="H38" s="1" t="s">
        <v>29</v>
      </c>
      <c r="I38" s="1">
        <f>SUMIFS(ES_2[LENGTH_EX_SU],ES_2[STN],ES_2[[#This Row],[STN]],ES_2[DISCIPLINE_TYPE],"Out-of-School Suspension")+SUMIFS(ES_2[LENGTH_EX_SU],ES_2[STN],ES_2[[#This Row],[STN]],ES_2[DISCIPLINE_TYPE],"Expulsion")</f>
        <v>1</v>
      </c>
      <c r="J38" s="1">
        <f>IF(ES_2[[#This Row],[Count Exp/Sus]]&gt;10,1,0)</f>
        <v>0</v>
      </c>
      <c r="K38" s="1">
        <f t="shared" si="1"/>
        <v>0</v>
      </c>
      <c r="L38" s="1">
        <f>IF(J38=1,IF(COUNTIFS($A$3:A38,A38,$J$3:J38,1)=1,A38&amp;"-included",0),0)</f>
        <v>0</v>
      </c>
      <c r="M38" s="1" cm="1">
        <f t="array" ref="M38">IF(ES_2[[#This Row],[Included Exp/Sus]]=1,IF(SUMPRODUCT((ES_2[STN]=ES_2[[#This Row],[STN]])*(ES_2[Included Exp/Sus]=1)*(ROW(ES_2[STN])&lt;=ROW()))=1,1,0),0)</f>
        <v>0</v>
      </c>
      <c r="N38" s="1" t="str">
        <f>_xlfn.XLOOKUP(ES_2[[#This Row],[STN]],SE_2[STN],SE_2[Ethnicity],"",0)</f>
        <v>White</v>
      </c>
    </row>
    <row r="39" spans="1:14" ht="14.45">
      <c r="A39" s="1">
        <v>22910110</v>
      </c>
      <c r="B39" s="1">
        <v>2</v>
      </c>
      <c r="C39" s="2">
        <v>1</v>
      </c>
      <c r="D39" s="1" t="s">
        <v>24</v>
      </c>
      <c r="E39" s="2">
        <v>10</v>
      </c>
      <c r="F39" s="1" t="s">
        <v>25</v>
      </c>
      <c r="G39" s="2">
        <v>1</v>
      </c>
      <c r="H39" s="1" t="s">
        <v>26</v>
      </c>
      <c r="I39" s="1">
        <f>SUMIFS(ES_2[LENGTH_EX_SU],ES_2[STN],ES_2[[#This Row],[STN]],ES_2[DISCIPLINE_TYPE],"Out-of-School Suspension")+SUMIFS(ES_2[LENGTH_EX_SU],ES_2[STN],ES_2[[#This Row],[STN]],ES_2[DISCIPLINE_TYPE],"Expulsion")</f>
        <v>1</v>
      </c>
      <c r="J39" s="1">
        <f>IF(ES_2[[#This Row],[Count Exp/Sus]]&gt;10,1,0)</f>
        <v>0</v>
      </c>
      <c r="K39" s="1">
        <f t="shared" si="1"/>
        <v>0</v>
      </c>
      <c r="L39" s="1">
        <f>IF(J39=1,IF(COUNTIFS($A$3:A39,A39,$J$3:J39,1)=1,A39&amp;"-included",0),0)</f>
        <v>0</v>
      </c>
      <c r="M39" s="1" cm="1">
        <f t="array" ref="M39">IF(ES_2[[#This Row],[Included Exp/Sus]]=1,IF(SUMPRODUCT((ES_2[STN]=ES_2[[#This Row],[STN]])*(ES_2[Included Exp/Sus]=1)*(ROW(ES_2[STN])&lt;=ROW()))=1,1,0),0)</f>
        <v>0</v>
      </c>
      <c r="N39" s="1" t="str">
        <f>_xlfn.XLOOKUP(ES_2[[#This Row],[STN]],SE_2[STN],SE_2[Ethnicity],"",0)</f>
        <v>White</v>
      </c>
    </row>
    <row r="40" spans="1:14" ht="14.45">
      <c r="A40" s="1">
        <v>22910110</v>
      </c>
      <c r="B40" s="1">
        <v>2</v>
      </c>
      <c r="C40" s="2">
        <v>1</v>
      </c>
      <c r="D40" s="1" t="s">
        <v>24</v>
      </c>
      <c r="E40" s="2">
        <v>10</v>
      </c>
      <c r="F40" s="1" t="s">
        <v>25</v>
      </c>
      <c r="G40" s="2">
        <v>1</v>
      </c>
      <c r="H40" s="1" t="s">
        <v>26</v>
      </c>
      <c r="I40" s="1">
        <f>SUMIFS(ES_2[LENGTH_EX_SU],ES_2[STN],ES_2[[#This Row],[STN]],ES_2[DISCIPLINE_TYPE],"Out-of-School Suspension")+SUMIFS(ES_2[LENGTH_EX_SU],ES_2[STN],ES_2[[#This Row],[STN]],ES_2[DISCIPLINE_TYPE],"Expulsion")</f>
        <v>1</v>
      </c>
      <c r="J40" s="1">
        <f>IF(ES_2[[#This Row],[Count Exp/Sus]]&gt;10,1,0)</f>
        <v>0</v>
      </c>
      <c r="K40" s="1">
        <f t="shared" si="1"/>
        <v>0</v>
      </c>
      <c r="L40" s="1">
        <f>IF(J40=1,IF(COUNTIFS($A$3:A40,A40,$J$3:J40,1)=1,A40&amp;"-included",0),0)</f>
        <v>0</v>
      </c>
      <c r="M40" s="1" cm="1">
        <f t="array" ref="M40">IF(ES_2[[#This Row],[Included Exp/Sus]]=1,IF(SUMPRODUCT((ES_2[STN]=ES_2[[#This Row],[STN]])*(ES_2[Included Exp/Sus]=1)*(ROW(ES_2[STN])&lt;=ROW()))=1,1,0),0)</f>
        <v>0</v>
      </c>
      <c r="N40" s="1" t="str">
        <f>_xlfn.XLOOKUP(ES_2[[#This Row],[STN]],SE_2[STN],SE_2[Ethnicity],"",0)</f>
        <v>White</v>
      </c>
    </row>
    <row r="41" spans="1:14" ht="14.45">
      <c r="A41" s="1">
        <v>22910117</v>
      </c>
      <c r="B41" s="1">
        <v>5</v>
      </c>
      <c r="C41" s="2">
        <v>2</v>
      </c>
      <c r="D41" s="1" t="s">
        <v>31</v>
      </c>
      <c r="E41" s="2">
        <v>10</v>
      </c>
      <c r="F41" s="1" t="s">
        <v>25</v>
      </c>
      <c r="G41" s="2">
        <v>2</v>
      </c>
      <c r="H41" s="1" t="s">
        <v>26</v>
      </c>
      <c r="I41" s="1">
        <f>SUMIFS(ES_2[LENGTH_EX_SU],ES_2[STN],ES_2[[#This Row],[STN]],ES_2[DISCIPLINE_TYPE],"Out-of-School Suspension")+SUMIFS(ES_2[LENGTH_EX_SU],ES_2[STN],ES_2[[#This Row],[STN]],ES_2[DISCIPLINE_TYPE],"Expulsion")</f>
        <v>2</v>
      </c>
      <c r="J41" s="1">
        <f>IF(ES_2[[#This Row],[Count Exp/Sus]]&gt;10,1,0)</f>
        <v>0</v>
      </c>
      <c r="K41" s="1">
        <f t="shared" si="1"/>
        <v>0</v>
      </c>
      <c r="L41" s="1">
        <f>IF(J41=1,IF(COUNTIFS($A$3:A41,A41,$J$3:J41,1)=1,A41&amp;"-included",0),0)</f>
        <v>0</v>
      </c>
      <c r="M41" s="1" cm="1">
        <f t="array" ref="M41">IF(ES_2[[#This Row],[Included Exp/Sus]]=1,IF(SUMPRODUCT((ES_2[STN]=ES_2[[#This Row],[STN]])*(ES_2[Included Exp/Sus]=1)*(ROW(ES_2[STN])&lt;=ROW()))=1,1,0),0)</f>
        <v>0</v>
      </c>
      <c r="N41" s="1" t="str">
        <f>_xlfn.XLOOKUP(ES_2[[#This Row],[STN]],SE_2[STN],SE_2[Ethnicity],"",0)</f>
        <v>White</v>
      </c>
    </row>
    <row r="42" spans="1:14" ht="14.45">
      <c r="A42" s="1">
        <v>22910125</v>
      </c>
      <c r="B42" s="1">
        <v>4</v>
      </c>
      <c r="C42" s="2">
        <v>2</v>
      </c>
      <c r="D42" s="1" t="s">
        <v>31</v>
      </c>
      <c r="E42" s="2">
        <v>11</v>
      </c>
      <c r="F42" s="1" t="s">
        <v>36</v>
      </c>
      <c r="G42" s="2">
        <v>1</v>
      </c>
      <c r="H42" s="1" t="s">
        <v>26</v>
      </c>
      <c r="I42" s="1">
        <f>SUMIFS(ES_2[LENGTH_EX_SU],ES_2[STN],ES_2[[#This Row],[STN]],ES_2[DISCIPLINE_TYPE],"Out-of-School Suspension")+SUMIFS(ES_2[LENGTH_EX_SU],ES_2[STN],ES_2[[#This Row],[STN]],ES_2[DISCIPLINE_TYPE],"Expulsion")</f>
        <v>1</v>
      </c>
      <c r="J42" s="1">
        <f>IF(ES_2[[#This Row],[Count Exp/Sus]]&gt;10,1,0)</f>
        <v>0</v>
      </c>
      <c r="K42" s="1">
        <f t="shared" si="1"/>
        <v>0</v>
      </c>
      <c r="L42" s="1">
        <f>IF(J42=1,IF(COUNTIFS($A$3:A42,A42,$J$3:J42,1)=1,A42&amp;"-included",0),0)</f>
        <v>0</v>
      </c>
      <c r="M42" s="1" cm="1">
        <f t="array" ref="M42">IF(ES_2[[#This Row],[Included Exp/Sus]]=1,IF(SUMPRODUCT((ES_2[STN]=ES_2[[#This Row],[STN]])*(ES_2[Included Exp/Sus]=1)*(ROW(ES_2[STN])&lt;=ROW()))=1,1,0),0)</f>
        <v>0</v>
      </c>
      <c r="N42" s="1" t="str">
        <f>_xlfn.XLOOKUP(ES_2[[#This Row],[STN]],SE_2[STN],SE_2[Ethnicity],"",0)</f>
        <v>White</v>
      </c>
    </row>
    <row r="43" spans="1:14" ht="14.45">
      <c r="A43" s="1">
        <v>22910135</v>
      </c>
      <c r="B43" s="1">
        <v>7</v>
      </c>
      <c r="C43" s="2">
        <v>2</v>
      </c>
      <c r="D43" s="1" t="s">
        <v>31</v>
      </c>
      <c r="E43" s="2">
        <v>11</v>
      </c>
      <c r="F43" s="1" t="s">
        <v>36</v>
      </c>
      <c r="G43" s="2">
        <v>2</v>
      </c>
      <c r="H43" s="1" t="s">
        <v>26</v>
      </c>
      <c r="I43" s="1">
        <f>SUMIFS(ES_2[LENGTH_EX_SU],ES_2[STN],ES_2[[#This Row],[STN]],ES_2[DISCIPLINE_TYPE],"Out-of-School Suspension")+SUMIFS(ES_2[LENGTH_EX_SU],ES_2[STN],ES_2[[#This Row],[STN]],ES_2[DISCIPLINE_TYPE],"Expulsion")</f>
        <v>2</v>
      </c>
      <c r="J43" s="1">
        <f>IF(ES_2[[#This Row],[Count Exp/Sus]]&gt;10,1,0)</f>
        <v>0</v>
      </c>
      <c r="K43" s="1">
        <f t="shared" si="1"/>
        <v>0</v>
      </c>
      <c r="L43" s="1">
        <f>IF(J43=1,IF(COUNTIFS($A$3:A43,A43,$J$3:J43,1)=1,A43&amp;"-included",0),0)</f>
        <v>0</v>
      </c>
      <c r="M43" s="1" cm="1">
        <f t="array" ref="M43">IF(ES_2[[#This Row],[Included Exp/Sus]]=1,IF(SUMPRODUCT((ES_2[STN]=ES_2[[#This Row],[STN]])*(ES_2[Included Exp/Sus]=1)*(ROW(ES_2[STN])&lt;=ROW()))=1,1,0),0)</f>
        <v>0</v>
      </c>
      <c r="N43" s="1" t="str">
        <f>_xlfn.XLOOKUP(ES_2[[#This Row],[STN]],SE_2[STN],SE_2[Ethnicity],"",0)</f>
        <v>White</v>
      </c>
    </row>
    <row r="44" spans="1:14" ht="14.45">
      <c r="A44" s="1">
        <v>22910192</v>
      </c>
      <c r="B44" s="1">
        <v>1</v>
      </c>
      <c r="C44" s="2">
        <v>1</v>
      </c>
      <c r="D44" s="1" t="s">
        <v>24</v>
      </c>
      <c r="E44" s="2">
        <v>11</v>
      </c>
      <c r="F44" s="1" t="s">
        <v>36</v>
      </c>
      <c r="G44" s="2">
        <v>1</v>
      </c>
      <c r="H44" s="1" t="s">
        <v>26</v>
      </c>
      <c r="I44" s="1">
        <f>SUMIFS(ES_2[LENGTH_EX_SU],ES_2[STN],ES_2[[#This Row],[STN]],ES_2[DISCIPLINE_TYPE],"Out-of-School Suspension")+SUMIFS(ES_2[LENGTH_EX_SU],ES_2[STN],ES_2[[#This Row],[STN]],ES_2[DISCIPLINE_TYPE],"Expulsion")</f>
        <v>0</v>
      </c>
      <c r="J44" s="1">
        <f>IF(ES_2[[#This Row],[Count Exp/Sus]]&gt;10,1,0)</f>
        <v>0</v>
      </c>
      <c r="K44" s="1">
        <f t="shared" si="1"/>
        <v>0</v>
      </c>
      <c r="L44" s="1">
        <f>IF(J44=1,IF(COUNTIFS($A$3:A44,A44,$J$3:J44,1)=1,A44&amp;"-included",0),0)</f>
        <v>0</v>
      </c>
      <c r="M44" s="1" cm="1">
        <f t="array" ref="M44">IF(ES_2[[#This Row],[Included Exp/Sus]]=1,IF(SUMPRODUCT((ES_2[STN]=ES_2[[#This Row],[STN]])*(ES_2[Included Exp/Sus]=1)*(ROW(ES_2[STN])&lt;=ROW()))=1,1,0),0)</f>
        <v>0</v>
      </c>
      <c r="N44" s="1" t="str">
        <f>_xlfn.XLOOKUP(ES_2[[#This Row],[STN]],SE_2[STN],SE_2[Ethnicity],"",0)</f>
        <v>Black - African American</v>
      </c>
    </row>
    <row r="45" spans="1:14" ht="14.45">
      <c r="A45" s="1">
        <v>22910212</v>
      </c>
      <c r="B45" s="1" t="s">
        <v>41</v>
      </c>
      <c r="C45" s="2">
        <v>2</v>
      </c>
      <c r="D45" s="1" t="s">
        <v>31</v>
      </c>
      <c r="E45" s="2">
        <v>11</v>
      </c>
      <c r="F45" s="1" t="s">
        <v>36</v>
      </c>
      <c r="G45" s="2">
        <v>3</v>
      </c>
      <c r="H45" s="1" t="s">
        <v>26</v>
      </c>
      <c r="I45" s="1">
        <f>SUMIFS(ES_2[LENGTH_EX_SU],ES_2[STN],ES_2[[#This Row],[STN]],ES_2[DISCIPLINE_TYPE],"Out-of-School Suspension")+SUMIFS(ES_2[LENGTH_EX_SU],ES_2[STN],ES_2[[#This Row],[STN]],ES_2[DISCIPLINE_TYPE],"Expulsion")</f>
        <v>5</v>
      </c>
      <c r="J45" s="1">
        <f>IF(ES_2[[#This Row],[Count Exp/Sus]]&gt;10,1,0)</f>
        <v>0</v>
      </c>
      <c r="K45" s="1">
        <f t="shared" si="1"/>
        <v>0</v>
      </c>
      <c r="L45" s="1">
        <f>IF(J45=1,IF(COUNTIFS($A$3:A45,A45,$J$3:J45,1)=1,A45&amp;"-included",0),0)</f>
        <v>0</v>
      </c>
      <c r="M45" s="1" cm="1">
        <f t="array" ref="M45">IF(ES_2[[#This Row],[Included Exp/Sus]]=1,IF(SUMPRODUCT((ES_2[STN]=ES_2[[#This Row],[STN]])*(ES_2[Included Exp/Sus]=1)*(ROW(ES_2[STN])&lt;=ROW()))=1,1,0),0)</f>
        <v>0</v>
      </c>
      <c r="N45" s="1" t="str">
        <f>_xlfn.XLOOKUP(ES_2[[#This Row],[STN]],SE_2[STN],SE_2[Ethnicity],"",0)</f>
        <v>Black - African American</v>
      </c>
    </row>
    <row r="46" spans="1:14" ht="14.45">
      <c r="A46" s="1">
        <v>22910212</v>
      </c>
      <c r="B46" s="1" t="s">
        <v>41</v>
      </c>
      <c r="C46" s="2">
        <v>2</v>
      </c>
      <c r="D46" s="1" t="s">
        <v>31</v>
      </c>
      <c r="E46" s="2">
        <v>11</v>
      </c>
      <c r="F46" s="1" t="s">
        <v>36</v>
      </c>
      <c r="G46" s="2">
        <v>2</v>
      </c>
      <c r="H46" s="1" t="s">
        <v>26</v>
      </c>
      <c r="I46" s="1">
        <f>SUMIFS(ES_2[LENGTH_EX_SU],ES_2[STN],ES_2[[#This Row],[STN]],ES_2[DISCIPLINE_TYPE],"Out-of-School Suspension")+SUMIFS(ES_2[LENGTH_EX_SU],ES_2[STN],ES_2[[#This Row],[STN]],ES_2[DISCIPLINE_TYPE],"Expulsion")</f>
        <v>5</v>
      </c>
      <c r="J46" s="1">
        <f>IF(ES_2[[#This Row],[Count Exp/Sus]]&gt;10,1,0)</f>
        <v>0</v>
      </c>
      <c r="K46" s="1">
        <f t="shared" si="1"/>
        <v>0</v>
      </c>
      <c r="L46" s="1">
        <f>IF(J46=1,IF(COUNTIFS($A$3:A46,A46,$J$3:J46,1)=1,A46&amp;"-included",0),0)</f>
        <v>0</v>
      </c>
      <c r="M46" s="1" cm="1">
        <f t="array" ref="M46">IF(ES_2[[#This Row],[Included Exp/Sus]]=1,IF(SUMPRODUCT((ES_2[STN]=ES_2[[#This Row],[STN]])*(ES_2[Included Exp/Sus]=1)*(ROW(ES_2[STN])&lt;=ROW()))=1,1,0),0)</f>
        <v>0</v>
      </c>
      <c r="N46" s="1" t="str">
        <f>_xlfn.XLOOKUP(ES_2[[#This Row],[STN]],SE_2[STN],SE_2[Ethnicity],"",0)</f>
        <v>Black - African American</v>
      </c>
    </row>
    <row r="47" spans="1:14" ht="14.45">
      <c r="A47" s="1">
        <v>22910242</v>
      </c>
      <c r="B47" s="1" t="s">
        <v>41</v>
      </c>
      <c r="C47" s="2">
        <v>2</v>
      </c>
      <c r="D47" s="1" t="s">
        <v>31</v>
      </c>
      <c r="E47" s="2">
        <v>10</v>
      </c>
      <c r="F47" s="1" t="s">
        <v>25</v>
      </c>
      <c r="G47" s="2">
        <v>1</v>
      </c>
      <c r="H47" s="1" t="s">
        <v>26</v>
      </c>
      <c r="I47" s="1">
        <f>SUMIFS(ES_2[LENGTH_EX_SU],ES_2[STN],ES_2[[#This Row],[STN]],ES_2[DISCIPLINE_TYPE],"Out-of-School Suspension")+SUMIFS(ES_2[LENGTH_EX_SU],ES_2[STN],ES_2[[#This Row],[STN]],ES_2[DISCIPLINE_TYPE],"Expulsion")</f>
        <v>2</v>
      </c>
      <c r="J47" s="1">
        <f>IF(ES_2[[#This Row],[Count Exp/Sus]]&gt;10,1,0)</f>
        <v>0</v>
      </c>
      <c r="K47" s="1">
        <f t="shared" si="1"/>
        <v>0</v>
      </c>
      <c r="L47" s="1">
        <f>IF(J47=1,IF(COUNTIFS($A$3:A47,A47,$J$3:J47,1)=1,A47&amp;"-included",0),0)</f>
        <v>0</v>
      </c>
      <c r="M47" s="1" cm="1">
        <f t="array" ref="M47">IF(ES_2[[#This Row],[Included Exp/Sus]]=1,IF(SUMPRODUCT((ES_2[STN]=ES_2[[#This Row],[STN]])*(ES_2[Included Exp/Sus]=1)*(ROW(ES_2[STN])&lt;=ROW()))=1,1,0),0)</f>
        <v>0</v>
      </c>
      <c r="N47" s="1" t="str">
        <f>_xlfn.XLOOKUP(ES_2[[#This Row],[STN]],SE_2[STN],SE_2[Ethnicity],"",0)</f>
        <v>White</v>
      </c>
    </row>
    <row r="48" spans="1:14" ht="14.45">
      <c r="A48" s="1">
        <v>22910242</v>
      </c>
      <c r="B48" s="1" t="s">
        <v>41</v>
      </c>
      <c r="C48" s="2">
        <v>2</v>
      </c>
      <c r="D48" s="1" t="s">
        <v>31</v>
      </c>
      <c r="E48" s="2">
        <v>11</v>
      </c>
      <c r="F48" s="1" t="s">
        <v>36</v>
      </c>
      <c r="G48" s="2">
        <v>1</v>
      </c>
      <c r="H48" s="1" t="s">
        <v>26</v>
      </c>
      <c r="I48" s="1">
        <f>SUMIFS(ES_2[LENGTH_EX_SU],ES_2[STN],ES_2[[#This Row],[STN]],ES_2[DISCIPLINE_TYPE],"Out-of-School Suspension")+SUMIFS(ES_2[LENGTH_EX_SU],ES_2[STN],ES_2[[#This Row],[STN]],ES_2[DISCIPLINE_TYPE],"Expulsion")</f>
        <v>2</v>
      </c>
      <c r="J48" s="1">
        <f>IF(ES_2[[#This Row],[Count Exp/Sus]]&gt;10,1,0)</f>
        <v>0</v>
      </c>
      <c r="K48" s="1">
        <f t="shared" si="1"/>
        <v>0</v>
      </c>
      <c r="L48" s="1">
        <f>IF(J48=1,IF(COUNTIFS($A$3:A48,A48,$J$3:J48,1)=1,A48&amp;"-included",0),0)</f>
        <v>0</v>
      </c>
      <c r="M48" s="1" cm="1">
        <f t="array" ref="M48">IF(ES_2[[#This Row],[Included Exp/Sus]]=1,IF(SUMPRODUCT((ES_2[STN]=ES_2[[#This Row],[STN]])*(ES_2[Included Exp/Sus]=1)*(ROW(ES_2[STN])&lt;=ROW()))=1,1,0),0)</f>
        <v>0</v>
      </c>
      <c r="N48" s="1" t="str">
        <f>_xlfn.XLOOKUP(ES_2[[#This Row],[STN]],SE_2[STN],SE_2[Ethnicity],"",0)</f>
        <v>White</v>
      </c>
    </row>
    <row r="49" spans="1:14" ht="14.45">
      <c r="A49" s="1">
        <v>22910249</v>
      </c>
      <c r="B49" s="1">
        <v>5</v>
      </c>
      <c r="C49" s="2">
        <v>2</v>
      </c>
      <c r="D49" s="1" t="s">
        <v>31</v>
      </c>
      <c r="E49" s="2">
        <v>14</v>
      </c>
      <c r="F49" s="1" t="s">
        <v>32</v>
      </c>
      <c r="G49" s="2">
        <v>1</v>
      </c>
      <c r="H49" s="1" t="s">
        <v>29</v>
      </c>
      <c r="I49" s="1">
        <f>SUMIFS(ES_2[LENGTH_EX_SU],ES_2[STN],ES_2[[#This Row],[STN]],ES_2[DISCIPLINE_TYPE],"Out-of-School Suspension")+SUMIFS(ES_2[LENGTH_EX_SU],ES_2[STN],ES_2[[#This Row],[STN]],ES_2[DISCIPLINE_TYPE],"Expulsion")</f>
        <v>5</v>
      </c>
      <c r="J49" s="1">
        <f>IF(ES_2[[#This Row],[Count Exp/Sus]]&gt;10,1,0)</f>
        <v>0</v>
      </c>
      <c r="K49" s="1">
        <f t="shared" si="1"/>
        <v>0</v>
      </c>
      <c r="L49" s="1">
        <f>IF(J49=1,IF(COUNTIFS($A$3:A49,A49,$J$3:J49,1)=1,A49&amp;"-included",0),0)</f>
        <v>0</v>
      </c>
      <c r="M49" s="1" cm="1">
        <f t="array" ref="M49">IF(ES_2[[#This Row],[Included Exp/Sus]]=1,IF(SUMPRODUCT((ES_2[STN]=ES_2[[#This Row],[STN]])*(ES_2[Included Exp/Sus]=1)*(ROW(ES_2[STN])&lt;=ROW()))=1,1,0),0)</f>
        <v>0</v>
      </c>
      <c r="N49" s="1" t="str">
        <f>_xlfn.XLOOKUP(ES_2[[#This Row],[STN]],SE_2[STN],SE_2[Ethnicity],"",0)</f>
        <v/>
      </c>
    </row>
    <row r="50" spans="1:14" ht="14.45">
      <c r="A50" s="1">
        <v>22910249</v>
      </c>
      <c r="B50" s="1">
        <v>5</v>
      </c>
      <c r="C50" s="2">
        <v>2</v>
      </c>
      <c r="D50" s="1" t="s">
        <v>31</v>
      </c>
      <c r="E50" s="2">
        <v>10</v>
      </c>
      <c r="F50" s="1" t="s">
        <v>25</v>
      </c>
      <c r="G50" s="2">
        <v>2</v>
      </c>
      <c r="H50" s="1" t="s">
        <v>29</v>
      </c>
      <c r="I50" s="1">
        <f>SUMIFS(ES_2[LENGTH_EX_SU],ES_2[STN],ES_2[[#This Row],[STN]],ES_2[DISCIPLINE_TYPE],"Out-of-School Suspension")+SUMIFS(ES_2[LENGTH_EX_SU],ES_2[STN],ES_2[[#This Row],[STN]],ES_2[DISCIPLINE_TYPE],"Expulsion")</f>
        <v>5</v>
      </c>
      <c r="J50" s="1">
        <f>IF(ES_2[[#This Row],[Count Exp/Sus]]&gt;10,1,0)</f>
        <v>0</v>
      </c>
      <c r="K50" s="1">
        <f t="shared" si="1"/>
        <v>0</v>
      </c>
      <c r="L50" s="1">
        <f>IF(J50=1,IF(COUNTIFS($A$3:A50,A50,$J$3:J50,1)=1,A50&amp;"-included",0),0)</f>
        <v>0</v>
      </c>
      <c r="M50" s="1" cm="1">
        <f t="array" ref="M50">IF(ES_2[[#This Row],[Included Exp/Sus]]=1,IF(SUMPRODUCT((ES_2[STN]=ES_2[[#This Row],[STN]])*(ES_2[Included Exp/Sus]=1)*(ROW(ES_2[STN])&lt;=ROW()))=1,1,0),0)</f>
        <v>0</v>
      </c>
      <c r="N50" s="1" t="str">
        <f>_xlfn.XLOOKUP(ES_2[[#This Row],[STN]],SE_2[STN],SE_2[Ethnicity],"",0)</f>
        <v/>
      </c>
    </row>
    <row r="51" spans="1:14" ht="14.45">
      <c r="A51" s="1">
        <v>22910249</v>
      </c>
      <c r="B51" s="1">
        <v>5</v>
      </c>
      <c r="C51" s="2">
        <v>2</v>
      </c>
      <c r="D51" s="1" t="s">
        <v>31</v>
      </c>
      <c r="E51" s="2">
        <v>10</v>
      </c>
      <c r="F51" s="1" t="s">
        <v>25</v>
      </c>
      <c r="G51" s="2">
        <v>2</v>
      </c>
      <c r="H51" s="1" t="s">
        <v>29</v>
      </c>
      <c r="I51" s="1">
        <f>SUMIFS(ES_2[LENGTH_EX_SU],ES_2[STN],ES_2[[#This Row],[STN]],ES_2[DISCIPLINE_TYPE],"Out-of-School Suspension")+SUMIFS(ES_2[LENGTH_EX_SU],ES_2[STN],ES_2[[#This Row],[STN]],ES_2[DISCIPLINE_TYPE],"Expulsion")</f>
        <v>5</v>
      </c>
      <c r="J51" s="1">
        <f>IF(ES_2[[#This Row],[Count Exp/Sus]]&gt;10,1,0)</f>
        <v>0</v>
      </c>
      <c r="K51" s="1">
        <f t="shared" si="1"/>
        <v>0</v>
      </c>
      <c r="L51" s="1">
        <f>IF(J51=1,IF(COUNTIFS($A$3:A51,A51,$J$3:J51,1)=1,A51&amp;"-included",0),0)</f>
        <v>0</v>
      </c>
      <c r="M51" s="1" cm="1">
        <f t="array" ref="M51">IF(ES_2[[#This Row],[Included Exp/Sus]]=1,IF(SUMPRODUCT((ES_2[STN]=ES_2[[#This Row],[STN]])*(ES_2[Included Exp/Sus]=1)*(ROW(ES_2[STN])&lt;=ROW()))=1,1,0),0)</f>
        <v>0</v>
      </c>
      <c r="N51" s="1" t="str">
        <f>_xlfn.XLOOKUP(ES_2[[#This Row],[STN]],SE_2[STN],SE_2[Ethnicity],"",0)</f>
        <v/>
      </c>
    </row>
    <row r="52" spans="1:14" ht="14.45">
      <c r="A52" s="1">
        <v>22910276</v>
      </c>
      <c r="B52" s="1" t="s">
        <v>41</v>
      </c>
      <c r="C52" s="2">
        <v>1</v>
      </c>
      <c r="D52" s="1" t="s">
        <v>24</v>
      </c>
      <c r="E52" s="2">
        <v>11</v>
      </c>
      <c r="F52" s="1" t="s">
        <v>36</v>
      </c>
      <c r="G52" s="2">
        <v>1</v>
      </c>
      <c r="H52" s="1" t="s">
        <v>26</v>
      </c>
      <c r="I52" s="1">
        <f>SUMIFS(ES_2[LENGTH_EX_SU],ES_2[STN],ES_2[[#This Row],[STN]],ES_2[DISCIPLINE_TYPE],"Out-of-School Suspension")+SUMIFS(ES_2[LENGTH_EX_SU],ES_2[STN],ES_2[[#This Row],[STN]],ES_2[DISCIPLINE_TYPE],"Expulsion")</f>
        <v>0</v>
      </c>
      <c r="J52" s="1">
        <f>IF(ES_2[[#This Row],[Count Exp/Sus]]&gt;10,1,0)</f>
        <v>0</v>
      </c>
      <c r="K52" s="1">
        <f t="shared" si="1"/>
        <v>0</v>
      </c>
      <c r="L52" s="1">
        <f>IF(J52=1,IF(COUNTIFS($A$3:A52,A52,$J$3:J52,1)=1,A52&amp;"-included",0),0)</f>
        <v>0</v>
      </c>
      <c r="M52" s="1" cm="1">
        <f t="array" ref="M52">IF(ES_2[[#This Row],[Included Exp/Sus]]=1,IF(SUMPRODUCT((ES_2[STN]=ES_2[[#This Row],[STN]])*(ES_2[Included Exp/Sus]=1)*(ROW(ES_2[STN])&lt;=ROW()))=1,1,0),0)</f>
        <v>0</v>
      </c>
      <c r="N52" s="1" t="str">
        <f>_xlfn.XLOOKUP(ES_2[[#This Row],[STN]],SE_2[STN],SE_2[Ethnicity],"",0)</f>
        <v>White</v>
      </c>
    </row>
    <row r="53" spans="1:14" ht="14.45">
      <c r="A53" s="1">
        <v>22910281</v>
      </c>
      <c r="B53" s="1">
        <v>4</v>
      </c>
      <c r="C53" s="2">
        <v>2</v>
      </c>
      <c r="D53" s="1" t="s">
        <v>31</v>
      </c>
      <c r="E53" s="2">
        <v>10</v>
      </c>
      <c r="F53" s="1" t="s">
        <v>25</v>
      </c>
      <c r="G53" s="2">
        <v>2</v>
      </c>
      <c r="H53" s="1" t="s">
        <v>29</v>
      </c>
      <c r="I53" s="1">
        <f>SUMIFS(ES_2[LENGTH_EX_SU],ES_2[STN],ES_2[[#This Row],[STN]],ES_2[DISCIPLINE_TYPE],"Out-of-School Suspension")+SUMIFS(ES_2[LENGTH_EX_SU],ES_2[STN],ES_2[[#This Row],[STN]],ES_2[DISCIPLINE_TYPE],"Expulsion")</f>
        <v>2</v>
      </c>
      <c r="J53" s="1">
        <f>IF(ES_2[[#This Row],[Count Exp/Sus]]&gt;10,1,0)</f>
        <v>0</v>
      </c>
      <c r="K53" s="1">
        <f t="shared" si="1"/>
        <v>0</v>
      </c>
      <c r="L53" s="1">
        <f>IF(J53=1,IF(COUNTIFS($A$3:A53,A53,$J$3:J53,1)=1,A53&amp;"-included",0),0)</f>
        <v>0</v>
      </c>
      <c r="M53" s="1" cm="1">
        <f t="array" ref="M53">IF(ES_2[[#This Row],[Included Exp/Sus]]=1,IF(SUMPRODUCT((ES_2[STN]=ES_2[[#This Row],[STN]])*(ES_2[Included Exp/Sus]=1)*(ROW(ES_2[STN])&lt;=ROW()))=1,1,0),0)</f>
        <v>0</v>
      </c>
      <c r="N53" s="1" t="str">
        <f>_xlfn.XLOOKUP(ES_2[[#This Row],[STN]],SE_2[STN],SE_2[Ethnicity],"",0)</f>
        <v/>
      </c>
    </row>
    <row r="54" spans="1:14" ht="14.45">
      <c r="A54" s="1">
        <v>22910297</v>
      </c>
      <c r="B54" s="1">
        <v>10</v>
      </c>
      <c r="C54" s="2">
        <v>2</v>
      </c>
      <c r="D54" s="1" t="s">
        <v>31</v>
      </c>
      <c r="E54" s="2">
        <v>14</v>
      </c>
      <c r="F54" s="1" t="s">
        <v>32</v>
      </c>
      <c r="G54" s="2">
        <v>2</v>
      </c>
      <c r="H54" s="1" t="s">
        <v>26</v>
      </c>
      <c r="I54" s="1">
        <f>SUMIFS(ES_2[LENGTH_EX_SU],ES_2[STN],ES_2[[#This Row],[STN]],ES_2[DISCIPLINE_TYPE],"Out-of-School Suspension")+SUMIFS(ES_2[LENGTH_EX_SU],ES_2[STN],ES_2[[#This Row],[STN]],ES_2[DISCIPLINE_TYPE],"Expulsion")</f>
        <v>5</v>
      </c>
      <c r="J54" s="1">
        <f>IF(ES_2[[#This Row],[Count Exp/Sus]]&gt;10,1,0)</f>
        <v>0</v>
      </c>
      <c r="K54" s="1">
        <f t="shared" si="1"/>
        <v>0</v>
      </c>
      <c r="L54" s="1">
        <f>IF(J54=1,IF(COUNTIFS($A$3:A54,A54,$J$3:J54,1)=1,A54&amp;"-included",0),0)</f>
        <v>0</v>
      </c>
      <c r="M54" s="1" cm="1">
        <f t="array" ref="M54">IF(ES_2[[#This Row],[Included Exp/Sus]]=1,IF(SUMPRODUCT((ES_2[STN]=ES_2[[#This Row],[STN]])*(ES_2[Included Exp/Sus]=1)*(ROW(ES_2[STN])&lt;=ROW()))=1,1,0),0)</f>
        <v>0</v>
      </c>
      <c r="N54" s="1" t="str">
        <f>_xlfn.XLOOKUP(ES_2[[#This Row],[STN]],SE_2[STN],SE_2[Ethnicity],"",0)</f>
        <v>White</v>
      </c>
    </row>
    <row r="55" spans="1:14" ht="14.45">
      <c r="A55" s="1">
        <v>22910297</v>
      </c>
      <c r="B55" s="1">
        <v>10</v>
      </c>
      <c r="C55" s="2">
        <v>2</v>
      </c>
      <c r="D55" s="1" t="s">
        <v>31</v>
      </c>
      <c r="E55" s="2">
        <v>15</v>
      </c>
      <c r="F55" s="1" t="s">
        <v>27</v>
      </c>
      <c r="G55" s="2">
        <v>1</v>
      </c>
      <c r="H55" s="1" t="s">
        <v>29</v>
      </c>
      <c r="I55" s="1">
        <f>SUMIFS(ES_2[LENGTH_EX_SU],ES_2[STN],ES_2[[#This Row],[STN]],ES_2[DISCIPLINE_TYPE],"Out-of-School Suspension")+SUMIFS(ES_2[LENGTH_EX_SU],ES_2[STN],ES_2[[#This Row],[STN]],ES_2[DISCIPLINE_TYPE],"Expulsion")</f>
        <v>5</v>
      </c>
      <c r="J55" s="1">
        <f>IF(ES_2[[#This Row],[Count Exp/Sus]]&gt;10,1,0)</f>
        <v>0</v>
      </c>
      <c r="K55" s="1">
        <f t="shared" si="1"/>
        <v>0</v>
      </c>
      <c r="L55" s="1">
        <f>IF(J55=1,IF(COUNTIFS($A$3:A55,A55,$J$3:J55,1)=1,A55&amp;"-included",0),0)</f>
        <v>0</v>
      </c>
      <c r="M55" s="1" cm="1">
        <f t="array" ref="M55">IF(ES_2[[#This Row],[Included Exp/Sus]]=1,IF(SUMPRODUCT((ES_2[STN]=ES_2[[#This Row],[STN]])*(ES_2[Included Exp/Sus]=1)*(ROW(ES_2[STN])&lt;=ROW()))=1,1,0),0)</f>
        <v>0</v>
      </c>
      <c r="N55" s="1" t="str">
        <f>_xlfn.XLOOKUP(ES_2[[#This Row],[STN]],SE_2[STN],SE_2[Ethnicity],"",0)</f>
        <v>White</v>
      </c>
    </row>
    <row r="56" spans="1:14" ht="14.45">
      <c r="A56" s="1">
        <v>22910297</v>
      </c>
      <c r="B56" s="1">
        <v>4</v>
      </c>
      <c r="C56" s="2">
        <v>2</v>
      </c>
      <c r="D56" s="1" t="s">
        <v>31</v>
      </c>
      <c r="E56" s="2">
        <v>10</v>
      </c>
      <c r="F56" s="1" t="s">
        <v>25</v>
      </c>
      <c r="G56" s="2">
        <v>1</v>
      </c>
      <c r="H56" s="1" t="s">
        <v>29</v>
      </c>
      <c r="I56" s="1">
        <f>SUMIFS(ES_2[LENGTH_EX_SU],ES_2[STN],ES_2[[#This Row],[STN]],ES_2[DISCIPLINE_TYPE],"Out-of-School Suspension")+SUMIFS(ES_2[LENGTH_EX_SU],ES_2[STN],ES_2[[#This Row],[STN]],ES_2[DISCIPLINE_TYPE],"Expulsion")</f>
        <v>5</v>
      </c>
      <c r="J56" s="1">
        <f>IF(ES_2[[#This Row],[Count Exp/Sus]]&gt;10,1,0)</f>
        <v>0</v>
      </c>
      <c r="K56" s="1">
        <f t="shared" si="1"/>
        <v>0</v>
      </c>
      <c r="L56" s="1">
        <f>IF(J56=1,IF(COUNTIFS($A$3:A56,A56,$J$3:J56,1)=1,A56&amp;"-included",0),0)</f>
        <v>0</v>
      </c>
      <c r="M56" s="1" cm="1">
        <f t="array" ref="M56">IF(ES_2[[#This Row],[Included Exp/Sus]]=1,IF(SUMPRODUCT((ES_2[STN]=ES_2[[#This Row],[STN]])*(ES_2[Included Exp/Sus]=1)*(ROW(ES_2[STN])&lt;=ROW()))=1,1,0),0)</f>
        <v>0</v>
      </c>
      <c r="N56" s="1" t="str">
        <f>_xlfn.XLOOKUP(ES_2[[#This Row],[STN]],SE_2[STN],SE_2[Ethnicity],"",0)</f>
        <v>White</v>
      </c>
    </row>
    <row r="57" spans="1:14" ht="14.45">
      <c r="A57" s="1">
        <v>22910297</v>
      </c>
      <c r="B57" s="1">
        <v>10</v>
      </c>
      <c r="C57" s="2">
        <v>1</v>
      </c>
      <c r="D57" s="1" t="s">
        <v>24</v>
      </c>
      <c r="E57" s="2">
        <v>10</v>
      </c>
      <c r="F57" s="1" t="s">
        <v>25</v>
      </c>
      <c r="G57" s="2">
        <v>2</v>
      </c>
      <c r="H57" s="1" t="s">
        <v>29</v>
      </c>
      <c r="I57" s="1">
        <f>SUMIFS(ES_2[LENGTH_EX_SU],ES_2[STN],ES_2[[#This Row],[STN]],ES_2[DISCIPLINE_TYPE],"Out-of-School Suspension")+SUMIFS(ES_2[LENGTH_EX_SU],ES_2[STN],ES_2[[#This Row],[STN]],ES_2[DISCIPLINE_TYPE],"Expulsion")</f>
        <v>5</v>
      </c>
      <c r="J57" s="1">
        <f>IF(ES_2[[#This Row],[Count Exp/Sus]]&gt;10,1,0)</f>
        <v>0</v>
      </c>
      <c r="K57" s="1">
        <f t="shared" si="1"/>
        <v>0</v>
      </c>
      <c r="L57" s="1">
        <f>IF(J57=1,IF(COUNTIFS($A$3:A57,A57,$J$3:J57,1)=1,A57&amp;"-included",0),0)</f>
        <v>0</v>
      </c>
      <c r="M57" s="1" cm="1">
        <f t="array" ref="M57">IF(ES_2[[#This Row],[Included Exp/Sus]]=1,IF(SUMPRODUCT((ES_2[STN]=ES_2[[#This Row],[STN]])*(ES_2[Included Exp/Sus]=1)*(ROW(ES_2[STN])&lt;=ROW()))=1,1,0),0)</f>
        <v>0</v>
      </c>
      <c r="N57" s="1" t="str">
        <f>_xlfn.XLOOKUP(ES_2[[#This Row],[STN]],SE_2[STN],SE_2[Ethnicity],"",0)</f>
        <v>White</v>
      </c>
    </row>
    <row r="58" spans="1:14" ht="14.45">
      <c r="A58" s="1">
        <v>22910297</v>
      </c>
      <c r="B58" s="1">
        <v>12</v>
      </c>
      <c r="C58" s="2">
        <v>1</v>
      </c>
      <c r="D58" s="1" t="s">
        <v>24</v>
      </c>
      <c r="E58" s="2">
        <v>7</v>
      </c>
      <c r="F58" s="1" t="s">
        <v>30</v>
      </c>
      <c r="G58" s="2">
        <v>2</v>
      </c>
      <c r="H58" s="1" t="s">
        <v>29</v>
      </c>
      <c r="I58" s="1">
        <f>SUMIFS(ES_2[LENGTH_EX_SU],ES_2[STN],ES_2[[#This Row],[STN]],ES_2[DISCIPLINE_TYPE],"Out-of-School Suspension")+SUMIFS(ES_2[LENGTH_EX_SU],ES_2[STN],ES_2[[#This Row],[STN]],ES_2[DISCIPLINE_TYPE],"Expulsion")</f>
        <v>5</v>
      </c>
      <c r="J58" s="1">
        <f>IF(ES_2[[#This Row],[Count Exp/Sus]]&gt;10,1,0)</f>
        <v>0</v>
      </c>
      <c r="K58" s="1">
        <f t="shared" si="1"/>
        <v>0</v>
      </c>
      <c r="L58" s="1">
        <f>IF(J58=1,IF(COUNTIFS($A$3:A58,A58,$J$3:J58,1)=1,A58&amp;"-included",0),0)</f>
        <v>0</v>
      </c>
      <c r="M58" s="1" cm="1">
        <f t="array" ref="M58">IF(ES_2[[#This Row],[Included Exp/Sus]]=1,IF(SUMPRODUCT((ES_2[STN]=ES_2[[#This Row],[STN]])*(ES_2[Included Exp/Sus]=1)*(ROW(ES_2[STN])&lt;=ROW()))=1,1,0),0)</f>
        <v>0</v>
      </c>
      <c r="N58" s="1" t="str">
        <f>_xlfn.XLOOKUP(ES_2[[#This Row],[STN]],SE_2[STN],SE_2[Ethnicity],"",0)</f>
        <v>White</v>
      </c>
    </row>
    <row r="59" spans="1:14" ht="14.45">
      <c r="A59" s="1">
        <v>22910297</v>
      </c>
      <c r="B59" s="1">
        <v>12</v>
      </c>
      <c r="C59" s="2">
        <v>2</v>
      </c>
      <c r="D59" s="1" t="s">
        <v>31</v>
      </c>
      <c r="E59" s="2">
        <v>2</v>
      </c>
      <c r="F59" s="1" t="s">
        <v>33</v>
      </c>
      <c r="G59" s="2">
        <v>1</v>
      </c>
      <c r="H59" s="1" t="s">
        <v>29</v>
      </c>
      <c r="I59" s="1">
        <f>SUMIFS(ES_2[LENGTH_EX_SU],ES_2[STN],ES_2[[#This Row],[STN]],ES_2[DISCIPLINE_TYPE],"Out-of-School Suspension")+SUMIFS(ES_2[LENGTH_EX_SU],ES_2[STN],ES_2[[#This Row],[STN]],ES_2[DISCIPLINE_TYPE],"Expulsion")</f>
        <v>5</v>
      </c>
      <c r="J59" s="1">
        <f>IF(ES_2[[#This Row],[Count Exp/Sus]]&gt;10,1,0)</f>
        <v>0</v>
      </c>
      <c r="K59" s="1">
        <f t="shared" si="1"/>
        <v>0</v>
      </c>
      <c r="L59" s="1">
        <f>IF(J59=1,IF(COUNTIFS($A$3:A59,A59,$J$3:J59,1)=1,A59&amp;"-included",0),0)</f>
        <v>0</v>
      </c>
      <c r="M59" s="1" cm="1">
        <f t="array" ref="M59">IF(ES_2[[#This Row],[Included Exp/Sus]]=1,IF(SUMPRODUCT((ES_2[STN]=ES_2[[#This Row],[STN]])*(ES_2[Included Exp/Sus]=1)*(ROW(ES_2[STN])&lt;=ROW()))=1,1,0),0)</f>
        <v>0</v>
      </c>
      <c r="N59" s="1" t="str">
        <f>_xlfn.XLOOKUP(ES_2[[#This Row],[STN]],SE_2[STN],SE_2[Ethnicity],"",0)</f>
        <v>White</v>
      </c>
    </row>
    <row r="60" spans="1:14" ht="14.45">
      <c r="A60" s="1">
        <v>22910308</v>
      </c>
      <c r="B60" s="1">
        <v>2</v>
      </c>
      <c r="C60" s="2">
        <v>1</v>
      </c>
      <c r="D60" s="1" t="s">
        <v>24</v>
      </c>
      <c r="E60" s="2">
        <v>11</v>
      </c>
      <c r="F60" s="1" t="s">
        <v>36</v>
      </c>
      <c r="G60" s="2">
        <v>1</v>
      </c>
      <c r="H60" s="1" t="s">
        <v>29</v>
      </c>
      <c r="I60" s="1">
        <f>SUMIFS(ES_2[LENGTH_EX_SU],ES_2[STN],ES_2[[#This Row],[STN]],ES_2[DISCIPLINE_TYPE],"Out-of-School Suspension")+SUMIFS(ES_2[LENGTH_EX_SU],ES_2[STN],ES_2[[#This Row],[STN]],ES_2[DISCIPLINE_TYPE],"Expulsion")</f>
        <v>0</v>
      </c>
      <c r="J60" s="1">
        <f>IF(ES_2[[#This Row],[Count Exp/Sus]]&gt;10,1,0)</f>
        <v>0</v>
      </c>
      <c r="K60" s="1">
        <f t="shared" si="1"/>
        <v>0</v>
      </c>
      <c r="L60" s="1">
        <f>IF(J60=1,IF(COUNTIFS($A$3:A60,A60,$J$3:J60,1)=1,A60&amp;"-included",0),0)</f>
        <v>0</v>
      </c>
      <c r="M60" s="1" cm="1">
        <f t="array" ref="M60">IF(ES_2[[#This Row],[Included Exp/Sus]]=1,IF(SUMPRODUCT((ES_2[STN]=ES_2[[#This Row],[STN]])*(ES_2[Included Exp/Sus]=1)*(ROW(ES_2[STN])&lt;=ROW()))=1,1,0),0)</f>
        <v>0</v>
      </c>
      <c r="N60" s="1" t="str">
        <f>_xlfn.XLOOKUP(ES_2[[#This Row],[STN]],SE_2[STN],SE_2[Ethnicity],"",0)</f>
        <v/>
      </c>
    </row>
    <row r="61" spans="1:14" ht="14.45">
      <c r="A61" s="1">
        <v>22910536</v>
      </c>
      <c r="B61" s="1" t="s">
        <v>41</v>
      </c>
      <c r="C61" s="2">
        <v>2</v>
      </c>
      <c r="D61" s="1" t="s">
        <v>31</v>
      </c>
      <c r="E61" s="2">
        <v>10</v>
      </c>
      <c r="F61" s="1" t="s">
        <v>25</v>
      </c>
      <c r="G61" s="2">
        <v>1</v>
      </c>
      <c r="H61" s="1" t="s">
        <v>26</v>
      </c>
      <c r="I61" s="1">
        <f>SUMIFS(ES_2[LENGTH_EX_SU],ES_2[STN],ES_2[[#This Row],[STN]],ES_2[DISCIPLINE_TYPE],"Out-of-School Suspension")+SUMIFS(ES_2[LENGTH_EX_SU],ES_2[STN],ES_2[[#This Row],[STN]],ES_2[DISCIPLINE_TYPE],"Expulsion")</f>
        <v>1</v>
      </c>
      <c r="J61" s="1">
        <f>IF(ES_2[[#This Row],[Count Exp/Sus]]&gt;10,1,0)</f>
        <v>0</v>
      </c>
      <c r="K61" s="1">
        <f t="shared" si="1"/>
        <v>0</v>
      </c>
      <c r="L61" s="1">
        <f>IF(J61=1,IF(COUNTIFS($A$3:A61,A61,$J$3:J61,1)=1,A61&amp;"-included",0),0)</f>
        <v>0</v>
      </c>
      <c r="M61" s="1" cm="1">
        <f t="array" ref="M61">IF(ES_2[[#This Row],[Included Exp/Sus]]=1,IF(SUMPRODUCT((ES_2[STN]=ES_2[[#This Row],[STN]])*(ES_2[Included Exp/Sus]=1)*(ROW(ES_2[STN])&lt;=ROW()))=1,1,0),0)</f>
        <v>0</v>
      </c>
      <c r="N61" s="1" t="str">
        <f>_xlfn.XLOOKUP(ES_2[[#This Row],[STN]],SE_2[STN],SE_2[Ethnicity],"",0)</f>
        <v>White</v>
      </c>
    </row>
    <row r="62" spans="1:14" ht="14.45">
      <c r="A62" s="1">
        <v>22910543</v>
      </c>
      <c r="B62" s="1" t="s">
        <v>41</v>
      </c>
      <c r="C62" s="2">
        <v>1</v>
      </c>
      <c r="D62" s="1" t="s">
        <v>24</v>
      </c>
      <c r="E62" s="2">
        <v>11</v>
      </c>
      <c r="F62" s="1" t="s">
        <v>36</v>
      </c>
      <c r="G62" s="2">
        <v>1</v>
      </c>
      <c r="H62" s="1" t="s">
        <v>26</v>
      </c>
      <c r="I62" s="1">
        <f>SUMIFS(ES_2[LENGTH_EX_SU],ES_2[STN],ES_2[[#This Row],[STN]],ES_2[DISCIPLINE_TYPE],"Out-of-School Suspension")+SUMIFS(ES_2[LENGTH_EX_SU],ES_2[STN],ES_2[[#This Row],[STN]],ES_2[DISCIPLINE_TYPE],"Expulsion")</f>
        <v>0</v>
      </c>
      <c r="J62" s="1">
        <f>IF(ES_2[[#This Row],[Count Exp/Sus]]&gt;10,1,0)</f>
        <v>0</v>
      </c>
      <c r="K62" s="1">
        <f t="shared" si="1"/>
        <v>0</v>
      </c>
      <c r="L62" s="1">
        <f>IF(J62=1,IF(COUNTIFS($A$3:A62,A62,$J$3:J62,1)=1,A62&amp;"-included",0),0)</f>
        <v>0</v>
      </c>
      <c r="M62" s="1" cm="1">
        <f t="array" ref="M62">IF(ES_2[[#This Row],[Included Exp/Sus]]=1,IF(SUMPRODUCT((ES_2[STN]=ES_2[[#This Row],[STN]])*(ES_2[Included Exp/Sus]=1)*(ROW(ES_2[STN])&lt;=ROW()))=1,1,0),0)</f>
        <v>0</v>
      </c>
      <c r="N62" s="1" t="str">
        <f>_xlfn.XLOOKUP(ES_2[[#This Row],[STN]],SE_2[STN],SE_2[Ethnicity],"",0)</f>
        <v>White</v>
      </c>
    </row>
    <row r="63" spans="1:14" ht="14.45">
      <c r="A63" s="1">
        <v>22910548</v>
      </c>
      <c r="B63" s="1">
        <v>10</v>
      </c>
      <c r="C63" s="2">
        <v>2</v>
      </c>
      <c r="D63" s="1" t="s">
        <v>31</v>
      </c>
      <c r="E63" s="2">
        <v>11</v>
      </c>
      <c r="F63" s="1" t="s">
        <v>36</v>
      </c>
      <c r="G63" s="2">
        <v>1</v>
      </c>
      <c r="H63" s="1" t="s">
        <v>29</v>
      </c>
      <c r="I63" s="1">
        <f>SUMIFS(ES_2[LENGTH_EX_SU],ES_2[STN],ES_2[[#This Row],[STN]],ES_2[DISCIPLINE_TYPE],"Out-of-School Suspension")+SUMIFS(ES_2[LENGTH_EX_SU],ES_2[STN],ES_2[[#This Row],[STN]],ES_2[DISCIPLINE_TYPE],"Expulsion")</f>
        <v>1</v>
      </c>
      <c r="J63" s="1">
        <f>IF(ES_2[[#This Row],[Count Exp/Sus]]&gt;10,1,0)</f>
        <v>0</v>
      </c>
      <c r="K63" s="1">
        <f t="shared" si="1"/>
        <v>0</v>
      </c>
      <c r="L63" s="1">
        <f>IF(J63=1,IF(COUNTIFS($A$3:A63,A63,$J$3:J63,1)=1,A63&amp;"-included",0),0)</f>
        <v>0</v>
      </c>
      <c r="M63" s="1" cm="1">
        <f t="array" ref="M63">IF(ES_2[[#This Row],[Included Exp/Sus]]=1,IF(SUMPRODUCT((ES_2[STN]=ES_2[[#This Row],[STN]])*(ES_2[Included Exp/Sus]=1)*(ROW(ES_2[STN])&lt;=ROW()))=1,1,0),0)</f>
        <v>0</v>
      </c>
      <c r="N63" s="1" t="str">
        <f>_xlfn.XLOOKUP(ES_2[[#This Row],[STN]],SE_2[STN],SE_2[Ethnicity],"",0)</f>
        <v/>
      </c>
    </row>
    <row r="64" spans="1:14" ht="14.45">
      <c r="A64" s="1">
        <v>22910715</v>
      </c>
      <c r="B64" s="1" t="s">
        <v>41</v>
      </c>
      <c r="C64" s="2">
        <v>2</v>
      </c>
      <c r="D64" s="1" t="s">
        <v>31</v>
      </c>
      <c r="E64" s="2">
        <v>10</v>
      </c>
      <c r="F64" s="1" t="s">
        <v>25</v>
      </c>
      <c r="G64" s="2">
        <v>1</v>
      </c>
      <c r="H64" s="1" t="s">
        <v>26</v>
      </c>
      <c r="I64" s="1">
        <f>SUMIFS(ES_2[LENGTH_EX_SU],ES_2[STN],ES_2[[#This Row],[STN]],ES_2[DISCIPLINE_TYPE],"Out-of-School Suspension")+SUMIFS(ES_2[LENGTH_EX_SU],ES_2[STN],ES_2[[#This Row],[STN]],ES_2[DISCIPLINE_TYPE],"Expulsion")</f>
        <v>1</v>
      </c>
      <c r="J64" s="1">
        <f>IF(ES_2[[#This Row],[Count Exp/Sus]]&gt;10,1,0)</f>
        <v>0</v>
      </c>
      <c r="K64" s="1">
        <f t="shared" si="1"/>
        <v>0</v>
      </c>
      <c r="L64" s="1">
        <f>IF(J64=1,IF(COUNTIFS($A$3:A64,A64,$J$3:J64,1)=1,A64&amp;"-included",0),0)</f>
        <v>0</v>
      </c>
      <c r="M64" s="1" cm="1">
        <f t="array" ref="M64">IF(ES_2[[#This Row],[Included Exp/Sus]]=1,IF(SUMPRODUCT((ES_2[STN]=ES_2[[#This Row],[STN]])*(ES_2[Included Exp/Sus]=1)*(ROW(ES_2[STN])&lt;=ROW()))=1,1,0),0)</f>
        <v>0</v>
      </c>
      <c r="N64" s="1" t="str">
        <f>_xlfn.XLOOKUP(ES_2[[#This Row],[STN]],SE_2[STN],SE_2[Ethnicity],"",0)</f>
        <v>White</v>
      </c>
    </row>
    <row r="65" spans="1:14" ht="14.45">
      <c r="A65" s="1">
        <v>22910742</v>
      </c>
      <c r="B65" s="1" t="s">
        <v>41</v>
      </c>
      <c r="C65" s="2">
        <v>1</v>
      </c>
      <c r="D65" s="1" t="s">
        <v>24</v>
      </c>
      <c r="E65" s="2">
        <v>11</v>
      </c>
      <c r="F65" s="1" t="s">
        <v>36</v>
      </c>
      <c r="G65" s="2">
        <v>1</v>
      </c>
      <c r="H65" s="1" t="s">
        <v>26</v>
      </c>
      <c r="I65" s="1">
        <f>SUMIFS(ES_2[LENGTH_EX_SU],ES_2[STN],ES_2[[#This Row],[STN]],ES_2[DISCIPLINE_TYPE],"Out-of-School Suspension")+SUMIFS(ES_2[LENGTH_EX_SU],ES_2[STN],ES_2[[#This Row],[STN]],ES_2[DISCIPLINE_TYPE],"Expulsion")</f>
        <v>4</v>
      </c>
      <c r="J65" s="1">
        <f>IF(ES_2[[#This Row],[Count Exp/Sus]]&gt;10,1,0)</f>
        <v>0</v>
      </c>
      <c r="K65" s="1">
        <f t="shared" si="1"/>
        <v>0</v>
      </c>
      <c r="L65" s="1">
        <f>IF(J65=1,IF(COUNTIFS($A$3:A65,A65,$J$3:J65,1)=1,A65&amp;"-included",0),0)</f>
        <v>0</v>
      </c>
      <c r="M65" s="1" cm="1">
        <f t="array" ref="M65">IF(ES_2[[#This Row],[Included Exp/Sus]]=1,IF(SUMPRODUCT((ES_2[STN]=ES_2[[#This Row],[STN]])*(ES_2[Included Exp/Sus]=1)*(ROW(ES_2[STN])&lt;=ROW()))=1,1,0),0)</f>
        <v>0</v>
      </c>
      <c r="N65" s="1" t="str">
        <f>_xlfn.XLOOKUP(ES_2[[#This Row],[STN]],SE_2[STN],SE_2[Ethnicity],"",0)</f>
        <v>Hispanic Ethnicity and of any race</v>
      </c>
    </row>
    <row r="66" spans="1:14" ht="14.45">
      <c r="A66" s="1">
        <v>22910742</v>
      </c>
      <c r="B66" s="1" t="s">
        <v>41</v>
      </c>
      <c r="C66" s="2">
        <v>2</v>
      </c>
      <c r="D66" s="1" t="s">
        <v>31</v>
      </c>
      <c r="E66" s="2">
        <v>10</v>
      </c>
      <c r="F66" s="1" t="s">
        <v>25</v>
      </c>
      <c r="G66" s="2">
        <v>1</v>
      </c>
      <c r="H66" s="1" t="s">
        <v>29</v>
      </c>
      <c r="I66" s="1">
        <f>SUMIFS(ES_2[LENGTH_EX_SU],ES_2[STN],ES_2[[#This Row],[STN]],ES_2[DISCIPLINE_TYPE],"Out-of-School Suspension")+SUMIFS(ES_2[LENGTH_EX_SU],ES_2[STN],ES_2[[#This Row],[STN]],ES_2[DISCIPLINE_TYPE],"Expulsion")</f>
        <v>4</v>
      </c>
      <c r="J66" s="1">
        <f>IF(ES_2[[#This Row],[Count Exp/Sus]]&gt;10,1,0)</f>
        <v>0</v>
      </c>
      <c r="K66" s="1">
        <f t="shared" si="1"/>
        <v>0</v>
      </c>
      <c r="L66" s="1">
        <f>IF(J66=1,IF(COUNTIFS($A$3:A66,A66,$J$3:J66,1)=1,A66&amp;"-included",0),0)</f>
        <v>0</v>
      </c>
      <c r="M66" s="1" cm="1">
        <f t="array" ref="M66">IF(ES_2[[#This Row],[Included Exp/Sus]]=1,IF(SUMPRODUCT((ES_2[STN]=ES_2[[#This Row],[STN]])*(ES_2[Included Exp/Sus]=1)*(ROW(ES_2[STN])&lt;=ROW()))=1,1,0),0)</f>
        <v>0</v>
      </c>
      <c r="N66" s="1" t="str">
        <f>_xlfn.XLOOKUP(ES_2[[#This Row],[STN]],SE_2[STN],SE_2[Ethnicity],"",0)</f>
        <v>Hispanic Ethnicity and of any race</v>
      </c>
    </row>
    <row r="67" spans="1:14" ht="14.45">
      <c r="A67" s="1">
        <v>22910742</v>
      </c>
      <c r="B67" s="1" t="s">
        <v>41</v>
      </c>
      <c r="C67" s="2">
        <v>2</v>
      </c>
      <c r="D67" s="1" t="s">
        <v>31</v>
      </c>
      <c r="E67" s="2">
        <v>11</v>
      </c>
      <c r="F67" s="1" t="s">
        <v>36</v>
      </c>
      <c r="G67" s="2">
        <v>2</v>
      </c>
      <c r="H67" s="1" t="s">
        <v>29</v>
      </c>
      <c r="I67" s="1">
        <f>SUMIFS(ES_2[LENGTH_EX_SU],ES_2[STN],ES_2[[#This Row],[STN]],ES_2[DISCIPLINE_TYPE],"Out-of-School Suspension")+SUMIFS(ES_2[LENGTH_EX_SU],ES_2[STN],ES_2[[#This Row],[STN]],ES_2[DISCIPLINE_TYPE],"Expulsion")</f>
        <v>4</v>
      </c>
      <c r="J67" s="1">
        <f>IF(ES_2[[#This Row],[Count Exp/Sus]]&gt;10,1,0)</f>
        <v>0</v>
      </c>
      <c r="K67" s="1">
        <f t="shared" ref="K67:K98" si="2">IF(J67=1,A67 &amp;"-included",0)</f>
        <v>0</v>
      </c>
      <c r="L67" s="1">
        <f>IF(J67=1,IF(COUNTIFS($A$3:A67,A67,$J$3:J67,1)=1,A67&amp;"-included",0),0)</f>
        <v>0</v>
      </c>
      <c r="M67" s="1" cm="1">
        <f t="array" ref="M67">IF(ES_2[[#This Row],[Included Exp/Sus]]=1,IF(SUMPRODUCT((ES_2[STN]=ES_2[[#This Row],[STN]])*(ES_2[Included Exp/Sus]=1)*(ROW(ES_2[STN])&lt;=ROW()))=1,1,0),0)</f>
        <v>0</v>
      </c>
      <c r="N67" s="1" t="str">
        <f>_xlfn.XLOOKUP(ES_2[[#This Row],[STN]],SE_2[STN],SE_2[Ethnicity],"",0)</f>
        <v>Hispanic Ethnicity and of any race</v>
      </c>
    </row>
    <row r="68" spans="1:14" ht="14.45">
      <c r="A68" s="1">
        <v>22910742</v>
      </c>
      <c r="B68" s="1">
        <v>8</v>
      </c>
      <c r="C68" s="2">
        <v>2</v>
      </c>
      <c r="D68" s="1" t="s">
        <v>31</v>
      </c>
      <c r="E68" s="2">
        <v>10</v>
      </c>
      <c r="F68" s="1" t="s">
        <v>25</v>
      </c>
      <c r="G68" s="2">
        <v>1</v>
      </c>
      <c r="H68" s="1" t="s">
        <v>26</v>
      </c>
      <c r="I68" s="1">
        <f>SUMIFS(ES_2[LENGTH_EX_SU],ES_2[STN],ES_2[[#This Row],[STN]],ES_2[DISCIPLINE_TYPE],"Out-of-School Suspension")+SUMIFS(ES_2[LENGTH_EX_SU],ES_2[STN],ES_2[[#This Row],[STN]],ES_2[DISCIPLINE_TYPE],"Expulsion")</f>
        <v>4</v>
      </c>
      <c r="J68" s="1">
        <f>IF(ES_2[[#This Row],[Count Exp/Sus]]&gt;10,1,0)</f>
        <v>0</v>
      </c>
      <c r="K68" s="1">
        <f t="shared" si="2"/>
        <v>0</v>
      </c>
      <c r="L68" s="1">
        <f>IF(J68=1,IF(COUNTIFS($A$3:A68,A68,$J$3:J68,1)=1,A68&amp;"-included",0),0)</f>
        <v>0</v>
      </c>
      <c r="M68" s="1" cm="1">
        <f t="array" ref="M68">IF(ES_2[[#This Row],[Included Exp/Sus]]=1,IF(SUMPRODUCT((ES_2[STN]=ES_2[[#This Row],[STN]])*(ES_2[Included Exp/Sus]=1)*(ROW(ES_2[STN])&lt;=ROW()))=1,1,0),0)</f>
        <v>0</v>
      </c>
      <c r="N68" s="1" t="str">
        <f>_xlfn.XLOOKUP(ES_2[[#This Row],[STN]],SE_2[STN],SE_2[Ethnicity],"",0)</f>
        <v>Hispanic Ethnicity and of any race</v>
      </c>
    </row>
    <row r="69" spans="1:14" ht="14.45">
      <c r="A69" s="1">
        <v>22910756</v>
      </c>
      <c r="B69" s="1">
        <v>2</v>
      </c>
      <c r="C69" s="2">
        <v>1</v>
      </c>
      <c r="D69" s="1" t="s">
        <v>24</v>
      </c>
      <c r="E69" s="2">
        <v>10</v>
      </c>
      <c r="F69" s="1" t="s">
        <v>25</v>
      </c>
      <c r="G69" s="2">
        <v>1</v>
      </c>
      <c r="H69" s="1" t="s">
        <v>26</v>
      </c>
      <c r="I69" s="1">
        <f>SUMIFS(ES_2[LENGTH_EX_SU],ES_2[STN],ES_2[[#This Row],[STN]],ES_2[DISCIPLINE_TYPE],"Out-of-School Suspension")+SUMIFS(ES_2[LENGTH_EX_SU],ES_2[STN],ES_2[[#This Row],[STN]],ES_2[DISCIPLINE_TYPE],"Expulsion")</f>
        <v>0</v>
      </c>
      <c r="J69" s="1">
        <f>IF(ES_2[[#This Row],[Count Exp/Sus]]&gt;10,1,0)</f>
        <v>0</v>
      </c>
      <c r="K69" s="1">
        <f t="shared" si="2"/>
        <v>0</v>
      </c>
      <c r="L69" s="1">
        <f>IF(J69=1,IF(COUNTIFS($A$3:A69,A69,$J$3:J69,1)=1,A69&amp;"-included",0),0)</f>
        <v>0</v>
      </c>
      <c r="M69" s="1" cm="1">
        <f t="array" ref="M69">IF(ES_2[[#This Row],[Included Exp/Sus]]=1,IF(SUMPRODUCT((ES_2[STN]=ES_2[[#This Row],[STN]])*(ES_2[Included Exp/Sus]=1)*(ROW(ES_2[STN])&lt;=ROW()))=1,1,0),0)</f>
        <v>0</v>
      </c>
      <c r="N69" s="1" t="str">
        <f>_xlfn.XLOOKUP(ES_2[[#This Row],[STN]],SE_2[STN],SE_2[Ethnicity],"",0)</f>
        <v>White</v>
      </c>
    </row>
    <row r="70" spans="1:14" ht="14.45">
      <c r="A70" s="1">
        <v>22910760</v>
      </c>
      <c r="B70" s="1" t="s">
        <v>41</v>
      </c>
      <c r="C70" s="2">
        <v>2</v>
      </c>
      <c r="D70" s="1" t="s">
        <v>31</v>
      </c>
      <c r="E70" s="2">
        <v>10</v>
      </c>
      <c r="F70" s="1" t="s">
        <v>25</v>
      </c>
      <c r="G70" s="2">
        <v>1</v>
      </c>
      <c r="H70" s="1" t="s">
        <v>26</v>
      </c>
      <c r="I70" s="1">
        <f>SUMIFS(ES_2[LENGTH_EX_SU],ES_2[STN],ES_2[[#This Row],[STN]],ES_2[DISCIPLINE_TYPE],"Out-of-School Suspension")+SUMIFS(ES_2[LENGTH_EX_SU],ES_2[STN],ES_2[[#This Row],[STN]],ES_2[DISCIPLINE_TYPE],"Expulsion")</f>
        <v>1</v>
      </c>
      <c r="J70" s="1">
        <f>IF(ES_2[[#This Row],[Count Exp/Sus]]&gt;10,1,0)</f>
        <v>0</v>
      </c>
      <c r="K70" s="1">
        <f t="shared" si="2"/>
        <v>0</v>
      </c>
      <c r="L70" s="1">
        <f>IF(J70=1,IF(COUNTIFS($A$3:A70,A70,$J$3:J70,1)=1,A70&amp;"-included",0),0)</f>
        <v>0</v>
      </c>
      <c r="M70" s="1" cm="1">
        <f t="array" ref="M70">IF(ES_2[[#This Row],[Included Exp/Sus]]=1,IF(SUMPRODUCT((ES_2[STN]=ES_2[[#This Row],[STN]])*(ES_2[Included Exp/Sus]=1)*(ROW(ES_2[STN])&lt;=ROW()))=1,1,0),0)</f>
        <v>0</v>
      </c>
      <c r="N70" s="1" t="str">
        <f>_xlfn.XLOOKUP(ES_2[[#This Row],[STN]],SE_2[STN],SE_2[Ethnicity],"",0)</f>
        <v>White</v>
      </c>
    </row>
    <row r="71" spans="1:14" ht="14.45">
      <c r="A71" s="1">
        <v>22910761</v>
      </c>
      <c r="B71" s="1" t="s">
        <v>41</v>
      </c>
      <c r="C71" s="2">
        <v>2</v>
      </c>
      <c r="D71" s="1" t="s">
        <v>31</v>
      </c>
      <c r="E71" s="2">
        <v>11</v>
      </c>
      <c r="F71" s="1" t="s">
        <v>36</v>
      </c>
      <c r="G71" s="2">
        <v>1</v>
      </c>
      <c r="H71" s="1" t="s">
        <v>26</v>
      </c>
      <c r="I71" s="1">
        <f>SUMIFS(ES_2[LENGTH_EX_SU],ES_2[STN],ES_2[[#This Row],[STN]],ES_2[DISCIPLINE_TYPE],"Out-of-School Suspension")+SUMIFS(ES_2[LENGTH_EX_SU],ES_2[STN],ES_2[[#This Row],[STN]],ES_2[DISCIPLINE_TYPE],"Expulsion")</f>
        <v>1</v>
      </c>
      <c r="J71" s="1">
        <f>IF(ES_2[[#This Row],[Count Exp/Sus]]&gt;10,1,0)</f>
        <v>0</v>
      </c>
      <c r="K71" s="1">
        <f t="shared" si="2"/>
        <v>0</v>
      </c>
      <c r="L71" s="1">
        <f>IF(J71=1,IF(COUNTIFS($A$3:A71,A71,$J$3:J71,1)=1,A71&amp;"-included",0),0)</f>
        <v>0</v>
      </c>
      <c r="M71" s="1" cm="1">
        <f t="array" ref="M71">IF(ES_2[[#This Row],[Included Exp/Sus]]=1,IF(SUMPRODUCT((ES_2[STN]=ES_2[[#This Row],[STN]])*(ES_2[Included Exp/Sus]=1)*(ROW(ES_2[STN])&lt;=ROW()))=1,1,0),0)</f>
        <v>0</v>
      </c>
      <c r="N71" s="1" t="str">
        <f>_xlfn.XLOOKUP(ES_2[[#This Row],[STN]],SE_2[STN],SE_2[Ethnicity],"",0)</f>
        <v>White</v>
      </c>
    </row>
    <row r="72" spans="1:14" ht="14.45">
      <c r="A72" s="1">
        <v>22910778</v>
      </c>
      <c r="B72" s="1">
        <v>10</v>
      </c>
      <c r="C72" s="2">
        <v>2</v>
      </c>
      <c r="D72" s="1" t="s">
        <v>31</v>
      </c>
      <c r="E72" s="2">
        <v>2</v>
      </c>
      <c r="F72" s="1" t="s">
        <v>33</v>
      </c>
      <c r="G72" s="2">
        <v>5</v>
      </c>
      <c r="H72" s="1" t="s">
        <v>29</v>
      </c>
      <c r="I72" s="1">
        <f>SUMIFS(ES_2[LENGTH_EX_SU],ES_2[STN],ES_2[[#This Row],[STN]],ES_2[DISCIPLINE_TYPE],"Out-of-School Suspension")+SUMIFS(ES_2[LENGTH_EX_SU],ES_2[STN],ES_2[[#This Row],[STN]],ES_2[DISCIPLINE_TYPE],"Expulsion")</f>
        <v>5</v>
      </c>
      <c r="J72" s="1">
        <f>IF(ES_2[[#This Row],[Count Exp/Sus]]&gt;10,1,0)</f>
        <v>0</v>
      </c>
      <c r="K72" s="1">
        <f t="shared" si="2"/>
        <v>0</v>
      </c>
      <c r="L72" s="1">
        <f>IF(J72=1,IF(COUNTIFS($A$3:A72,A72,$J$3:J72,1)=1,A72&amp;"-included",0),0)</f>
        <v>0</v>
      </c>
      <c r="M72" s="1" cm="1">
        <f t="array" ref="M72">IF(ES_2[[#This Row],[Included Exp/Sus]]=1,IF(SUMPRODUCT((ES_2[STN]=ES_2[[#This Row],[STN]])*(ES_2[Included Exp/Sus]=1)*(ROW(ES_2[STN])&lt;=ROW()))=1,1,0),0)</f>
        <v>0</v>
      </c>
      <c r="N72" s="1" t="str">
        <f>_xlfn.XLOOKUP(ES_2[[#This Row],[STN]],SE_2[STN],SE_2[Ethnicity],"",0)</f>
        <v/>
      </c>
    </row>
    <row r="73" spans="1:14" ht="14.45">
      <c r="A73" s="1">
        <v>22910790</v>
      </c>
      <c r="B73" s="1" t="s">
        <v>41</v>
      </c>
      <c r="C73" s="2">
        <v>2</v>
      </c>
      <c r="D73" s="1" t="s">
        <v>31</v>
      </c>
      <c r="E73" s="2">
        <v>10</v>
      </c>
      <c r="F73" s="1" t="s">
        <v>25</v>
      </c>
      <c r="G73" s="2">
        <v>1</v>
      </c>
      <c r="H73" s="1" t="s">
        <v>26</v>
      </c>
      <c r="I73" s="1">
        <f>SUMIFS(ES_2[LENGTH_EX_SU],ES_2[STN],ES_2[[#This Row],[STN]],ES_2[DISCIPLINE_TYPE],"Out-of-School Suspension")+SUMIFS(ES_2[LENGTH_EX_SU],ES_2[STN],ES_2[[#This Row],[STN]],ES_2[DISCIPLINE_TYPE],"Expulsion")</f>
        <v>1</v>
      </c>
      <c r="J73" s="1">
        <f>IF(ES_2[[#This Row],[Count Exp/Sus]]&gt;10,1,0)</f>
        <v>0</v>
      </c>
      <c r="K73" s="1">
        <f t="shared" si="2"/>
        <v>0</v>
      </c>
      <c r="L73" s="1">
        <f>IF(J73=1,IF(COUNTIFS($A$3:A73,A73,$J$3:J73,1)=1,A73&amp;"-included",0),0)</f>
        <v>0</v>
      </c>
      <c r="M73" s="1" cm="1">
        <f t="array" ref="M73">IF(ES_2[[#This Row],[Included Exp/Sus]]=1,IF(SUMPRODUCT((ES_2[STN]=ES_2[[#This Row],[STN]])*(ES_2[Included Exp/Sus]=1)*(ROW(ES_2[STN])&lt;=ROW()))=1,1,0),0)</f>
        <v>0</v>
      </c>
      <c r="N73" s="1" t="str">
        <f>_xlfn.XLOOKUP(ES_2[[#This Row],[STN]],SE_2[STN],SE_2[Ethnicity],"",0)</f>
        <v>White</v>
      </c>
    </row>
    <row r="74" spans="1:14" ht="14.45">
      <c r="A74" s="1">
        <v>22911003</v>
      </c>
      <c r="B74" s="1">
        <v>2</v>
      </c>
      <c r="C74" s="2">
        <v>2</v>
      </c>
      <c r="D74" s="1" t="s">
        <v>31</v>
      </c>
      <c r="E74" s="2">
        <v>11</v>
      </c>
      <c r="F74" s="1" t="s">
        <v>36</v>
      </c>
      <c r="G74" s="2">
        <v>1</v>
      </c>
      <c r="H74" s="1" t="s">
        <v>26</v>
      </c>
      <c r="I74" s="1">
        <f>SUMIFS(ES_2[LENGTH_EX_SU],ES_2[STN],ES_2[[#This Row],[STN]],ES_2[DISCIPLINE_TYPE],"Out-of-School Suspension")+SUMIFS(ES_2[LENGTH_EX_SU],ES_2[STN],ES_2[[#This Row],[STN]],ES_2[DISCIPLINE_TYPE],"Expulsion")</f>
        <v>3</v>
      </c>
      <c r="J74" s="1">
        <f>IF(ES_2[[#This Row],[Count Exp/Sus]]&gt;10,1,0)</f>
        <v>0</v>
      </c>
      <c r="K74" s="1">
        <f t="shared" si="2"/>
        <v>0</v>
      </c>
      <c r="L74" s="1">
        <f>IF(J74=1,IF(COUNTIFS($A$3:A74,A74,$J$3:J74,1)=1,A74&amp;"-included",0),0)</f>
        <v>0</v>
      </c>
      <c r="M74" s="1" cm="1">
        <f t="array" ref="M74">IF(ES_2[[#This Row],[Included Exp/Sus]]=1,IF(SUMPRODUCT((ES_2[STN]=ES_2[[#This Row],[STN]])*(ES_2[Included Exp/Sus]=1)*(ROW(ES_2[STN])&lt;=ROW()))=1,1,0),0)</f>
        <v>0</v>
      </c>
      <c r="N74" s="1" t="str">
        <f>_xlfn.XLOOKUP(ES_2[[#This Row],[STN]],SE_2[STN],SE_2[Ethnicity],"",0)</f>
        <v>White</v>
      </c>
    </row>
    <row r="75" spans="1:14" ht="14.45">
      <c r="A75" s="1">
        <v>22911003</v>
      </c>
      <c r="B75" s="1">
        <v>1</v>
      </c>
      <c r="C75" s="2">
        <v>2</v>
      </c>
      <c r="D75" s="1" t="s">
        <v>31</v>
      </c>
      <c r="E75" s="2">
        <v>10</v>
      </c>
      <c r="F75" s="1" t="s">
        <v>25</v>
      </c>
      <c r="G75" s="2">
        <v>1</v>
      </c>
      <c r="H75" s="1" t="s">
        <v>26</v>
      </c>
      <c r="I75" s="1">
        <f>SUMIFS(ES_2[LENGTH_EX_SU],ES_2[STN],ES_2[[#This Row],[STN]],ES_2[DISCIPLINE_TYPE],"Out-of-School Suspension")+SUMIFS(ES_2[LENGTH_EX_SU],ES_2[STN],ES_2[[#This Row],[STN]],ES_2[DISCIPLINE_TYPE],"Expulsion")</f>
        <v>3</v>
      </c>
      <c r="J75" s="1">
        <f>IF(ES_2[[#This Row],[Count Exp/Sus]]&gt;10,1,0)</f>
        <v>0</v>
      </c>
      <c r="K75" s="1">
        <f t="shared" si="2"/>
        <v>0</v>
      </c>
      <c r="L75" s="1">
        <f>IF(J75=1,IF(COUNTIFS($A$3:A75,A75,$J$3:J75,1)=1,A75&amp;"-included",0),0)</f>
        <v>0</v>
      </c>
      <c r="M75" s="1" cm="1">
        <f t="array" ref="M75">IF(ES_2[[#This Row],[Included Exp/Sus]]=1,IF(SUMPRODUCT((ES_2[STN]=ES_2[[#This Row],[STN]])*(ES_2[Included Exp/Sus]=1)*(ROW(ES_2[STN])&lt;=ROW()))=1,1,0),0)</f>
        <v>0</v>
      </c>
      <c r="N75" s="1" t="str">
        <f>_xlfn.XLOOKUP(ES_2[[#This Row],[STN]],SE_2[STN],SE_2[Ethnicity],"",0)</f>
        <v>White</v>
      </c>
    </row>
    <row r="76" spans="1:14" ht="14.45">
      <c r="A76" s="1">
        <v>22911003</v>
      </c>
      <c r="B76" s="1" t="s">
        <v>41</v>
      </c>
      <c r="C76" s="2">
        <v>1</v>
      </c>
      <c r="D76" s="1" t="s">
        <v>24</v>
      </c>
      <c r="E76" s="2">
        <v>10</v>
      </c>
      <c r="F76" s="1" t="s">
        <v>25</v>
      </c>
      <c r="G76" s="2">
        <v>1</v>
      </c>
      <c r="H76" s="1" t="s">
        <v>26</v>
      </c>
      <c r="I76" s="1">
        <f>SUMIFS(ES_2[LENGTH_EX_SU],ES_2[STN],ES_2[[#This Row],[STN]],ES_2[DISCIPLINE_TYPE],"Out-of-School Suspension")+SUMIFS(ES_2[LENGTH_EX_SU],ES_2[STN],ES_2[[#This Row],[STN]],ES_2[DISCIPLINE_TYPE],"Expulsion")</f>
        <v>3</v>
      </c>
      <c r="J76" s="1">
        <f>IF(ES_2[[#This Row],[Count Exp/Sus]]&gt;10,1,0)</f>
        <v>0</v>
      </c>
      <c r="K76" s="1">
        <f t="shared" si="2"/>
        <v>0</v>
      </c>
      <c r="L76" s="1">
        <f>IF(J76=1,IF(COUNTIFS($A$3:A76,A76,$J$3:J76,1)=1,A76&amp;"-included",0),0)</f>
        <v>0</v>
      </c>
      <c r="M76" s="1" cm="1">
        <f t="array" ref="M76">IF(ES_2[[#This Row],[Included Exp/Sus]]=1,IF(SUMPRODUCT((ES_2[STN]=ES_2[[#This Row],[STN]])*(ES_2[Included Exp/Sus]=1)*(ROW(ES_2[STN])&lt;=ROW()))=1,1,0),0)</f>
        <v>0</v>
      </c>
      <c r="N76" s="1" t="str">
        <f>_xlfn.XLOOKUP(ES_2[[#This Row],[STN]],SE_2[STN],SE_2[Ethnicity],"",0)</f>
        <v>White</v>
      </c>
    </row>
    <row r="77" spans="1:14" ht="14.45">
      <c r="A77" s="1">
        <v>22911003</v>
      </c>
      <c r="B77" s="1">
        <v>8</v>
      </c>
      <c r="C77" s="2">
        <v>1</v>
      </c>
      <c r="D77" s="1" t="s">
        <v>24</v>
      </c>
      <c r="E77" s="2">
        <v>15</v>
      </c>
      <c r="F77" s="1" t="s">
        <v>27</v>
      </c>
      <c r="G77" s="2">
        <v>1</v>
      </c>
      <c r="H77" s="1" t="s">
        <v>29</v>
      </c>
      <c r="I77" s="1">
        <f>SUMIFS(ES_2[LENGTH_EX_SU],ES_2[STN],ES_2[[#This Row],[STN]],ES_2[DISCIPLINE_TYPE],"Out-of-School Suspension")+SUMIFS(ES_2[LENGTH_EX_SU],ES_2[STN],ES_2[[#This Row],[STN]],ES_2[DISCIPLINE_TYPE],"Expulsion")</f>
        <v>3</v>
      </c>
      <c r="J77" s="1">
        <f>IF(ES_2[[#This Row],[Count Exp/Sus]]&gt;10,1,0)</f>
        <v>0</v>
      </c>
      <c r="K77" s="1">
        <f t="shared" si="2"/>
        <v>0</v>
      </c>
      <c r="L77" s="1">
        <f>IF(J77=1,IF(COUNTIFS($A$3:A77,A77,$J$3:J77,1)=1,A77&amp;"-included",0),0)</f>
        <v>0</v>
      </c>
      <c r="M77" s="1" cm="1">
        <f t="array" ref="M77">IF(ES_2[[#This Row],[Included Exp/Sus]]=1,IF(SUMPRODUCT((ES_2[STN]=ES_2[[#This Row],[STN]])*(ES_2[Included Exp/Sus]=1)*(ROW(ES_2[STN])&lt;=ROW()))=1,1,0),0)</f>
        <v>0</v>
      </c>
      <c r="N77" s="1" t="str">
        <f>_xlfn.XLOOKUP(ES_2[[#This Row],[STN]],SE_2[STN],SE_2[Ethnicity],"",0)</f>
        <v>White</v>
      </c>
    </row>
    <row r="78" spans="1:14" ht="14.45">
      <c r="A78" s="1">
        <v>22911003</v>
      </c>
      <c r="B78" s="1">
        <v>3</v>
      </c>
      <c r="C78" s="2">
        <v>2</v>
      </c>
      <c r="D78" s="1" t="s">
        <v>31</v>
      </c>
      <c r="E78" s="2">
        <v>10</v>
      </c>
      <c r="F78" s="1" t="s">
        <v>25</v>
      </c>
      <c r="G78" s="2">
        <v>1</v>
      </c>
      <c r="H78" s="1" t="s">
        <v>29</v>
      </c>
      <c r="I78" s="1">
        <f>SUMIFS(ES_2[LENGTH_EX_SU],ES_2[STN],ES_2[[#This Row],[STN]],ES_2[DISCIPLINE_TYPE],"Out-of-School Suspension")+SUMIFS(ES_2[LENGTH_EX_SU],ES_2[STN],ES_2[[#This Row],[STN]],ES_2[DISCIPLINE_TYPE],"Expulsion")</f>
        <v>3</v>
      </c>
      <c r="J78" s="1">
        <f>IF(ES_2[[#This Row],[Count Exp/Sus]]&gt;10,1,0)</f>
        <v>0</v>
      </c>
      <c r="K78" s="1">
        <f t="shared" si="2"/>
        <v>0</v>
      </c>
      <c r="L78" s="1">
        <f>IF(J78=1,IF(COUNTIFS($A$3:A78,A78,$J$3:J78,1)=1,A78&amp;"-included",0),0)</f>
        <v>0</v>
      </c>
      <c r="M78" s="1" cm="1">
        <f t="array" ref="M78">IF(ES_2[[#This Row],[Included Exp/Sus]]=1,IF(SUMPRODUCT((ES_2[STN]=ES_2[[#This Row],[STN]])*(ES_2[Included Exp/Sus]=1)*(ROW(ES_2[STN])&lt;=ROW()))=1,1,0),0)</f>
        <v>0</v>
      </c>
      <c r="N78" s="1" t="str">
        <f>_xlfn.XLOOKUP(ES_2[[#This Row],[STN]],SE_2[STN],SE_2[Ethnicity],"",0)</f>
        <v>White</v>
      </c>
    </row>
    <row r="79" spans="1:14" ht="14.45">
      <c r="A79" s="1">
        <v>22911025</v>
      </c>
      <c r="B79" s="1">
        <v>9</v>
      </c>
      <c r="C79" s="2">
        <v>1</v>
      </c>
      <c r="D79" s="1" t="s">
        <v>24</v>
      </c>
      <c r="E79" s="2">
        <v>16</v>
      </c>
      <c r="F79" s="1" t="s">
        <v>28</v>
      </c>
      <c r="G79" s="2">
        <v>1</v>
      </c>
      <c r="H79" s="1" t="s">
        <v>29</v>
      </c>
      <c r="I79" s="1">
        <f>SUMIFS(ES_2[LENGTH_EX_SU],ES_2[STN],ES_2[[#This Row],[STN]],ES_2[DISCIPLINE_TYPE],"Out-of-School Suspension")+SUMIFS(ES_2[LENGTH_EX_SU],ES_2[STN],ES_2[[#This Row],[STN]],ES_2[DISCIPLINE_TYPE],"Expulsion")</f>
        <v>0</v>
      </c>
      <c r="J79" s="1">
        <f>IF(ES_2[[#This Row],[Count Exp/Sus]]&gt;10,1,0)</f>
        <v>0</v>
      </c>
      <c r="K79" s="1">
        <f t="shared" si="2"/>
        <v>0</v>
      </c>
      <c r="L79" s="1">
        <f>IF(J79=1,IF(COUNTIFS($A$3:A79,A79,$J$3:J79,1)=1,A79&amp;"-included",0),0)</f>
        <v>0</v>
      </c>
      <c r="M79" s="1" cm="1">
        <f t="array" ref="M79">IF(ES_2[[#This Row],[Included Exp/Sus]]=1,IF(SUMPRODUCT((ES_2[STN]=ES_2[[#This Row],[STN]])*(ES_2[Included Exp/Sus]=1)*(ROW(ES_2[STN])&lt;=ROW()))=1,1,0),0)</f>
        <v>0</v>
      </c>
      <c r="N79" s="1" t="str">
        <f>_xlfn.XLOOKUP(ES_2[[#This Row],[STN]],SE_2[STN],SE_2[Ethnicity],"",0)</f>
        <v/>
      </c>
    </row>
    <row r="80" spans="1:14" ht="14.45">
      <c r="A80" s="1">
        <v>22911025</v>
      </c>
      <c r="B80" s="1">
        <v>9</v>
      </c>
      <c r="C80" s="2">
        <v>1</v>
      </c>
      <c r="D80" s="1" t="s">
        <v>24</v>
      </c>
      <c r="E80" s="2">
        <v>15</v>
      </c>
      <c r="F80" s="1" t="s">
        <v>27</v>
      </c>
      <c r="G80" s="2">
        <v>1</v>
      </c>
      <c r="H80" s="1" t="s">
        <v>29</v>
      </c>
      <c r="I80" s="1">
        <f>SUMIFS(ES_2[LENGTH_EX_SU],ES_2[STN],ES_2[[#This Row],[STN]],ES_2[DISCIPLINE_TYPE],"Out-of-School Suspension")+SUMIFS(ES_2[LENGTH_EX_SU],ES_2[STN],ES_2[[#This Row],[STN]],ES_2[DISCIPLINE_TYPE],"Expulsion")</f>
        <v>0</v>
      </c>
      <c r="J80" s="1">
        <f>IF(ES_2[[#This Row],[Count Exp/Sus]]&gt;10,1,0)</f>
        <v>0</v>
      </c>
      <c r="K80" s="1">
        <f t="shared" si="2"/>
        <v>0</v>
      </c>
      <c r="L80" s="1">
        <f>IF(J80=1,IF(COUNTIFS($A$3:A80,A80,$J$3:J80,1)=1,A80&amp;"-included",0),0)</f>
        <v>0</v>
      </c>
      <c r="M80" s="1" cm="1">
        <f t="array" ref="M80">IF(ES_2[[#This Row],[Included Exp/Sus]]=1,IF(SUMPRODUCT((ES_2[STN]=ES_2[[#This Row],[STN]])*(ES_2[Included Exp/Sus]=1)*(ROW(ES_2[STN])&lt;=ROW()))=1,1,0),0)</f>
        <v>0</v>
      </c>
      <c r="N80" s="1" t="str">
        <f>_xlfn.XLOOKUP(ES_2[[#This Row],[STN]],SE_2[STN],SE_2[Ethnicity],"",0)</f>
        <v/>
      </c>
    </row>
    <row r="81" spans="1:14" ht="14.45">
      <c r="A81" s="1">
        <v>22911025</v>
      </c>
      <c r="B81" s="1">
        <v>9</v>
      </c>
      <c r="C81" s="2">
        <v>1</v>
      </c>
      <c r="D81" s="1" t="s">
        <v>24</v>
      </c>
      <c r="E81" s="2">
        <v>16</v>
      </c>
      <c r="F81" s="1" t="s">
        <v>28</v>
      </c>
      <c r="G81" s="2">
        <v>1</v>
      </c>
      <c r="H81" s="1" t="s">
        <v>29</v>
      </c>
      <c r="I81" s="1">
        <f>SUMIFS(ES_2[LENGTH_EX_SU],ES_2[STN],ES_2[[#This Row],[STN]],ES_2[DISCIPLINE_TYPE],"Out-of-School Suspension")+SUMIFS(ES_2[LENGTH_EX_SU],ES_2[STN],ES_2[[#This Row],[STN]],ES_2[DISCIPLINE_TYPE],"Expulsion")</f>
        <v>0</v>
      </c>
      <c r="J81" s="1">
        <f>IF(ES_2[[#This Row],[Count Exp/Sus]]&gt;10,1,0)</f>
        <v>0</v>
      </c>
      <c r="K81" s="1">
        <f t="shared" si="2"/>
        <v>0</v>
      </c>
      <c r="L81" s="1">
        <f>IF(J81=1,IF(COUNTIFS($A$3:A81,A81,$J$3:J81,1)=1,A81&amp;"-included",0),0)</f>
        <v>0</v>
      </c>
      <c r="M81" s="1" cm="1">
        <f t="array" ref="M81">IF(ES_2[[#This Row],[Included Exp/Sus]]=1,IF(SUMPRODUCT((ES_2[STN]=ES_2[[#This Row],[STN]])*(ES_2[Included Exp/Sus]=1)*(ROW(ES_2[STN])&lt;=ROW()))=1,1,0),0)</f>
        <v>0</v>
      </c>
      <c r="N81" s="1" t="str">
        <f>_xlfn.XLOOKUP(ES_2[[#This Row],[STN]],SE_2[STN],SE_2[Ethnicity],"",0)</f>
        <v/>
      </c>
    </row>
    <row r="82" spans="1:14" ht="14.45">
      <c r="A82" s="1">
        <v>22911025</v>
      </c>
      <c r="B82" s="1">
        <v>10</v>
      </c>
      <c r="C82" s="2">
        <v>1</v>
      </c>
      <c r="D82" s="1" t="s">
        <v>24</v>
      </c>
      <c r="E82" s="2">
        <v>15</v>
      </c>
      <c r="F82" s="1" t="s">
        <v>27</v>
      </c>
      <c r="G82" s="2">
        <v>1</v>
      </c>
      <c r="H82" s="1" t="s">
        <v>29</v>
      </c>
      <c r="I82" s="1">
        <f>SUMIFS(ES_2[LENGTH_EX_SU],ES_2[STN],ES_2[[#This Row],[STN]],ES_2[DISCIPLINE_TYPE],"Out-of-School Suspension")+SUMIFS(ES_2[LENGTH_EX_SU],ES_2[STN],ES_2[[#This Row],[STN]],ES_2[DISCIPLINE_TYPE],"Expulsion")</f>
        <v>0</v>
      </c>
      <c r="J82" s="1">
        <f>IF(ES_2[[#This Row],[Count Exp/Sus]]&gt;10,1,0)</f>
        <v>0</v>
      </c>
      <c r="K82" s="1">
        <f t="shared" si="2"/>
        <v>0</v>
      </c>
      <c r="L82" s="1">
        <f>IF(J82=1,IF(COUNTIFS($A$3:A82,A82,$J$3:J82,1)=1,A82&amp;"-included",0),0)</f>
        <v>0</v>
      </c>
      <c r="M82" s="1" cm="1">
        <f t="array" ref="M82">IF(ES_2[[#This Row],[Included Exp/Sus]]=1,IF(SUMPRODUCT((ES_2[STN]=ES_2[[#This Row],[STN]])*(ES_2[Included Exp/Sus]=1)*(ROW(ES_2[STN])&lt;=ROW()))=1,1,0),0)</f>
        <v>0</v>
      </c>
      <c r="N82" s="1" t="str">
        <f>_xlfn.XLOOKUP(ES_2[[#This Row],[STN]],SE_2[STN],SE_2[Ethnicity],"",0)</f>
        <v/>
      </c>
    </row>
    <row r="83" spans="1:14" ht="14.45">
      <c r="A83" s="1">
        <v>22911035</v>
      </c>
      <c r="B83" s="1">
        <v>2</v>
      </c>
      <c r="C83" s="2">
        <v>1</v>
      </c>
      <c r="D83" s="1" t="s">
        <v>24</v>
      </c>
      <c r="E83" s="2">
        <v>11</v>
      </c>
      <c r="F83" s="1" t="s">
        <v>36</v>
      </c>
      <c r="G83" s="2">
        <v>1</v>
      </c>
      <c r="H83" s="1" t="s">
        <v>29</v>
      </c>
      <c r="I83" s="1">
        <f>SUMIFS(ES_2[LENGTH_EX_SU],ES_2[STN],ES_2[[#This Row],[STN]],ES_2[DISCIPLINE_TYPE],"Out-of-School Suspension")+SUMIFS(ES_2[LENGTH_EX_SU],ES_2[STN],ES_2[[#This Row],[STN]],ES_2[DISCIPLINE_TYPE],"Expulsion")</f>
        <v>0</v>
      </c>
      <c r="J83" s="1">
        <f>IF(ES_2[[#This Row],[Count Exp/Sus]]&gt;10,1,0)</f>
        <v>0</v>
      </c>
      <c r="K83" s="1">
        <f t="shared" si="2"/>
        <v>0</v>
      </c>
      <c r="L83" s="1">
        <f>IF(J83=1,IF(COUNTIFS($A$3:A83,A83,$J$3:J83,1)=1,A83&amp;"-included",0),0)</f>
        <v>0</v>
      </c>
      <c r="M83" s="1" cm="1">
        <f t="array" ref="M83">IF(ES_2[[#This Row],[Included Exp/Sus]]=1,IF(SUMPRODUCT((ES_2[STN]=ES_2[[#This Row],[STN]])*(ES_2[Included Exp/Sus]=1)*(ROW(ES_2[STN])&lt;=ROW()))=1,1,0),0)</f>
        <v>0</v>
      </c>
      <c r="N83" s="1" t="str">
        <f>_xlfn.XLOOKUP(ES_2[[#This Row],[STN]],SE_2[STN],SE_2[Ethnicity],"",0)</f>
        <v/>
      </c>
    </row>
    <row r="84" spans="1:14" ht="14.45">
      <c r="A84" s="1">
        <v>22911047</v>
      </c>
      <c r="B84" s="1">
        <v>2</v>
      </c>
      <c r="C84" s="2">
        <v>2</v>
      </c>
      <c r="D84" s="1" t="s">
        <v>31</v>
      </c>
      <c r="E84" s="2">
        <v>11</v>
      </c>
      <c r="F84" s="1" t="s">
        <v>36</v>
      </c>
      <c r="G84" s="2">
        <v>1</v>
      </c>
      <c r="H84" s="1" t="s">
        <v>26</v>
      </c>
      <c r="I84" s="1">
        <f>SUMIFS(ES_2[LENGTH_EX_SU],ES_2[STN],ES_2[[#This Row],[STN]],ES_2[DISCIPLINE_TYPE],"Out-of-School Suspension")+SUMIFS(ES_2[LENGTH_EX_SU],ES_2[STN],ES_2[[#This Row],[STN]],ES_2[DISCIPLINE_TYPE],"Expulsion")</f>
        <v>1</v>
      </c>
      <c r="J84" s="1">
        <f>IF(ES_2[[#This Row],[Count Exp/Sus]]&gt;10,1,0)</f>
        <v>0</v>
      </c>
      <c r="K84" s="1">
        <f t="shared" si="2"/>
        <v>0</v>
      </c>
      <c r="L84" s="1">
        <f>IF(J84=1,IF(COUNTIFS($A$3:A84,A84,$J$3:J84,1)=1,A84&amp;"-included",0),0)</f>
        <v>0</v>
      </c>
      <c r="M84" s="1" cm="1">
        <f t="array" ref="M84">IF(ES_2[[#This Row],[Included Exp/Sus]]=1,IF(SUMPRODUCT((ES_2[STN]=ES_2[[#This Row],[STN]])*(ES_2[Included Exp/Sus]=1)*(ROW(ES_2[STN])&lt;=ROW()))=1,1,0),0)</f>
        <v>0</v>
      </c>
      <c r="N84" s="1" t="str">
        <f>_xlfn.XLOOKUP(ES_2[[#This Row],[STN]],SE_2[STN],SE_2[Ethnicity],"",0)</f>
        <v>White</v>
      </c>
    </row>
    <row r="85" spans="1:14" ht="14.45">
      <c r="A85" s="1">
        <v>22911058</v>
      </c>
      <c r="B85" s="1">
        <v>4</v>
      </c>
      <c r="C85" s="2">
        <v>2</v>
      </c>
      <c r="D85" s="1" t="s">
        <v>31</v>
      </c>
      <c r="E85" s="2">
        <v>10</v>
      </c>
      <c r="F85" s="1" t="s">
        <v>25</v>
      </c>
      <c r="G85" s="2">
        <v>1</v>
      </c>
      <c r="H85" s="1" t="s">
        <v>29</v>
      </c>
      <c r="I85" s="1">
        <f>SUMIFS(ES_2[LENGTH_EX_SU],ES_2[STN],ES_2[[#This Row],[STN]],ES_2[DISCIPLINE_TYPE],"Out-of-School Suspension")+SUMIFS(ES_2[LENGTH_EX_SU],ES_2[STN],ES_2[[#This Row],[STN]],ES_2[DISCIPLINE_TYPE],"Expulsion")</f>
        <v>2</v>
      </c>
      <c r="J85" s="1">
        <f>IF(ES_2[[#This Row],[Count Exp/Sus]]&gt;10,1,0)</f>
        <v>0</v>
      </c>
      <c r="K85" s="1">
        <f t="shared" si="2"/>
        <v>0</v>
      </c>
      <c r="L85" s="1">
        <f>IF(J85=1,IF(COUNTIFS($A$3:A85,A85,$J$3:J85,1)=1,A85&amp;"-included",0),0)</f>
        <v>0</v>
      </c>
      <c r="M85" s="1" cm="1">
        <f t="array" ref="M85">IF(ES_2[[#This Row],[Included Exp/Sus]]=1,IF(SUMPRODUCT((ES_2[STN]=ES_2[[#This Row],[STN]])*(ES_2[Included Exp/Sus]=1)*(ROW(ES_2[STN])&lt;=ROW()))=1,1,0),0)</f>
        <v>0</v>
      </c>
      <c r="N85" s="1" t="str">
        <f>_xlfn.XLOOKUP(ES_2[[#This Row],[STN]],SE_2[STN],SE_2[Ethnicity],"",0)</f>
        <v/>
      </c>
    </row>
    <row r="86" spans="1:14" ht="14.45">
      <c r="A86" s="1">
        <v>22911058</v>
      </c>
      <c r="B86" s="1">
        <v>4</v>
      </c>
      <c r="C86" s="2">
        <v>2</v>
      </c>
      <c r="D86" s="1" t="s">
        <v>31</v>
      </c>
      <c r="E86" s="2">
        <v>10</v>
      </c>
      <c r="F86" s="1" t="s">
        <v>25</v>
      </c>
      <c r="G86" s="2">
        <v>1</v>
      </c>
      <c r="H86" s="1" t="s">
        <v>29</v>
      </c>
      <c r="I86" s="1">
        <f>SUMIFS(ES_2[LENGTH_EX_SU],ES_2[STN],ES_2[[#This Row],[STN]],ES_2[DISCIPLINE_TYPE],"Out-of-School Suspension")+SUMIFS(ES_2[LENGTH_EX_SU],ES_2[STN],ES_2[[#This Row],[STN]],ES_2[DISCIPLINE_TYPE],"Expulsion")</f>
        <v>2</v>
      </c>
      <c r="J86" s="1">
        <f>IF(ES_2[[#This Row],[Count Exp/Sus]]&gt;10,1,0)</f>
        <v>0</v>
      </c>
      <c r="K86" s="1">
        <f t="shared" si="2"/>
        <v>0</v>
      </c>
      <c r="L86" s="1">
        <f>IF(J86=1,IF(COUNTIFS($A$3:A86,A86,$J$3:J86,1)=1,A86&amp;"-included",0),0)</f>
        <v>0</v>
      </c>
      <c r="M86" s="1" cm="1">
        <f t="array" ref="M86">IF(ES_2[[#This Row],[Included Exp/Sus]]=1,IF(SUMPRODUCT((ES_2[STN]=ES_2[[#This Row],[STN]])*(ES_2[Included Exp/Sus]=1)*(ROW(ES_2[STN])&lt;=ROW()))=1,1,0),0)</f>
        <v>0</v>
      </c>
      <c r="N86" s="1" t="str">
        <f>_xlfn.XLOOKUP(ES_2[[#This Row],[STN]],SE_2[STN],SE_2[Ethnicity],"",0)</f>
        <v/>
      </c>
    </row>
    <row r="87" spans="1:14" ht="14.45">
      <c r="A87" s="1">
        <v>22911078</v>
      </c>
      <c r="B87" s="1">
        <v>12</v>
      </c>
      <c r="C87" s="2">
        <v>2</v>
      </c>
      <c r="D87" s="1" t="s">
        <v>31</v>
      </c>
      <c r="E87" s="2">
        <v>11</v>
      </c>
      <c r="F87" s="1" t="s">
        <v>36</v>
      </c>
      <c r="G87" s="2">
        <v>3</v>
      </c>
      <c r="H87" s="1" t="s">
        <v>29</v>
      </c>
      <c r="I87" s="1">
        <f>SUMIFS(ES_2[LENGTH_EX_SU],ES_2[STN],ES_2[[#This Row],[STN]],ES_2[DISCIPLINE_TYPE],"Out-of-School Suspension")+SUMIFS(ES_2[LENGTH_EX_SU],ES_2[STN],ES_2[[#This Row],[STN]],ES_2[DISCIPLINE_TYPE],"Expulsion")</f>
        <v>89</v>
      </c>
      <c r="J87" s="1">
        <f>IF(ES_2[[#This Row],[Count Exp/Sus]]&gt;10,1,0)</f>
        <v>1</v>
      </c>
      <c r="K87" s="1" t="str">
        <f t="shared" si="2"/>
        <v>22911078-included</v>
      </c>
      <c r="L87" s="1" t="str">
        <f>IF(J87=1,IF(COUNTIFS($A$3:A87,A87,$J$3:J87,1)=1,A87&amp;"-included",0),0)</f>
        <v>22911078-included</v>
      </c>
      <c r="M87" s="1" cm="1">
        <f t="array" ref="M87">IF(ES_2[[#This Row],[Included Exp/Sus]]=1,IF(SUMPRODUCT((ES_2[STN]=ES_2[[#This Row],[STN]])*(ES_2[Included Exp/Sus]=1)*(ROW(ES_2[STN])&lt;=ROW()))=1,1,0),0)</f>
        <v>1</v>
      </c>
      <c r="N87" s="1" t="str">
        <f>_xlfn.XLOOKUP(ES_2[[#This Row],[STN]],SE_2[STN],SE_2[Ethnicity],"",0)</f>
        <v>Hispanic Ethnicity and of any race</v>
      </c>
    </row>
    <row r="88" spans="1:14" ht="14.45">
      <c r="A88" s="1">
        <v>22911078</v>
      </c>
      <c r="B88" s="1">
        <v>10</v>
      </c>
      <c r="C88" s="2">
        <v>2</v>
      </c>
      <c r="D88" s="1" t="s">
        <v>31</v>
      </c>
      <c r="E88" s="2">
        <v>14</v>
      </c>
      <c r="F88" s="1" t="s">
        <v>32</v>
      </c>
      <c r="G88" s="2">
        <v>2</v>
      </c>
      <c r="H88" s="1" t="s">
        <v>29</v>
      </c>
      <c r="I88" s="1">
        <f>SUMIFS(ES_2[LENGTH_EX_SU],ES_2[STN],ES_2[[#This Row],[STN]],ES_2[DISCIPLINE_TYPE],"Out-of-School Suspension")+SUMIFS(ES_2[LENGTH_EX_SU],ES_2[STN],ES_2[[#This Row],[STN]],ES_2[DISCIPLINE_TYPE],"Expulsion")</f>
        <v>89</v>
      </c>
      <c r="J88" s="1">
        <f>IF(ES_2[[#This Row],[Count Exp/Sus]]&gt;10,1,0)</f>
        <v>1</v>
      </c>
      <c r="K88" s="1" t="str">
        <f t="shared" si="2"/>
        <v>22911078-included</v>
      </c>
      <c r="L88" s="1">
        <f>IF(J88=1,IF(COUNTIFS($A$3:A88,A88,$J$3:J88,1)=1,A88&amp;"-included",0),0)</f>
        <v>0</v>
      </c>
      <c r="M88" s="1" cm="1">
        <f t="array" ref="M88">IF(ES_2[[#This Row],[Included Exp/Sus]]=1,IF(SUMPRODUCT((ES_2[STN]=ES_2[[#This Row],[STN]])*(ES_2[Included Exp/Sus]=1)*(ROW(ES_2[STN])&lt;=ROW()))=1,1,0),0)</f>
        <v>0</v>
      </c>
      <c r="N88" s="1" t="str">
        <f>_xlfn.XLOOKUP(ES_2[[#This Row],[STN]],SE_2[STN],SE_2[Ethnicity],"",0)</f>
        <v>Hispanic Ethnicity and of any race</v>
      </c>
    </row>
    <row r="89" spans="1:14" ht="14.45">
      <c r="A89" s="1">
        <v>22911078</v>
      </c>
      <c r="B89" s="1">
        <v>7</v>
      </c>
      <c r="C89" s="2">
        <v>3</v>
      </c>
      <c r="D89" s="1" t="s">
        <v>35</v>
      </c>
      <c r="E89" s="2">
        <v>10</v>
      </c>
      <c r="F89" s="1" t="s">
        <v>25</v>
      </c>
      <c r="G89" s="2">
        <v>76</v>
      </c>
      <c r="H89" s="1" t="s">
        <v>29</v>
      </c>
      <c r="I89" s="1">
        <f>SUMIFS(ES_2[LENGTH_EX_SU],ES_2[STN],ES_2[[#This Row],[STN]],ES_2[DISCIPLINE_TYPE],"Out-of-School Suspension")+SUMIFS(ES_2[LENGTH_EX_SU],ES_2[STN],ES_2[[#This Row],[STN]],ES_2[DISCIPLINE_TYPE],"Expulsion")</f>
        <v>89</v>
      </c>
      <c r="J89" s="1">
        <f>IF(ES_2[[#This Row],[Count Exp/Sus]]&gt;10,1,0)</f>
        <v>1</v>
      </c>
      <c r="K89" s="1" t="str">
        <f t="shared" si="2"/>
        <v>22911078-included</v>
      </c>
      <c r="L89" s="1">
        <f>IF(J89=1,IF(COUNTIFS($A$3:A89,A89,$J$3:J89,1)=1,A89&amp;"-included",0),0)</f>
        <v>0</v>
      </c>
      <c r="M89" s="1" cm="1">
        <f t="array" ref="M89">IF(ES_2[[#This Row],[Included Exp/Sus]]=1,IF(SUMPRODUCT((ES_2[STN]=ES_2[[#This Row],[STN]])*(ES_2[Included Exp/Sus]=1)*(ROW(ES_2[STN])&lt;=ROW()))=1,1,0),0)</f>
        <v>0</v>
      </c>
      <c r="N89" s="1" t="str">
        <f>_xlfn.XLOOKUP(ES_2[[#This Row],[STN]],SE_2[STN],SE_2[Ethnicity],"",0)</f>
        <v>Hispanic Ethnicity and of any race</v>
      </c>
    </row>
    <row r="90" spans="1:14" ht="14.45">
      <c r="A90" s="1">
        <v>22911078</v>
      </c>
      <c r="B90" s="1">
        <v>9</v>
      </c>
      <c r="C90" s="2">
        <v>2</v>
      </c>
      <c r="D90" s="1" t="s">
        <v>31</v>
      </c>
      <c r="E90" s="2">
        <v>10</v>
      </c>
      <c r="F90" s="1" t="s">
        <v>25</v>
      </c>
      <c r="G90" s="2">
        <v>2</v>
      </c>
      <c r="H90" s="1" t="s">
        <v>26</v>
      </c>
      <c r="I90" s="1">
        <f>SUMIFS(ES_2[LENGTH_EX_SU],ES_2[STN],ES_2[[#This Row],[STN]],ES_2[DISCIPLINE_TYPE],"Out-of-School Suspension")+SUMIFS(ES_2[LENGTH_EX_SU],ES_2[STN],ES_2[[#This Row],[STN]],ES_2[DISCIPLINE_TYPE],"Expulsion")</f>
        <v>89</v>
      </c>
      <c r="J90" s="1">
        <f>IF(ES_2[[#This Row],[Count Exp/Sus]]&gt;10,1,0)</f>
        <v>1</v>
      </c>
      <c r="K90" s="1" t="str">
        <f t="shared" si="2"/>
        <v>22911078-included</v>
      </c>
      <c r="L90" s="1">
        <f>IF(J90=1,IF(COUNTIFS($A$3:A90,A90,$J$3:J90,1)=1,A90&amp;"-included",0),0)</f>
        <v>0</v>
      </c>
      <c r="M90" s="1" cm="1">
        <f t="array" ref="M90">IF(ES_2[[#This Row],[Included Exp/Sus]]=1,IF(SUMPRODUCT((ES_2[STN]=ES_2[[#This Row],[STN]])*(ES_2[Included Exp/Sus]=1)*(ROW(ES_2[STN])&lt;=ROW()))=1,1,0),0)</f>
        <v>0</v>
      </c>
      <c r="N90" s="1" t="str">
        <f>_xlfn.XLOOKUP(ES_2[[#This Row],[STN]],SE_2[STN],SE_2[Ethnicity],"",0)</f>
        <v>Hispanic Ethnicity and of any race</v>
      </c>
    </row>
    <row r="91" spans="1:14" ht="14.45">
      <c r="A91" s="1">
        <v>22911078</v>
      </c>
      <c r="B91" s="1">
        <v>10</v>
      </c>
      <c r="C91" s="2">
        <v>2</v>
      </c>
      <c r="D91" s="1" t="s">
        <v>31</v>
      </c>
      <c r="E91" s="2">
        <v>2</v>
      </c>
      <c r="F91" s="1" t="s">
        <v>33</v>
      </c>
      <c r="G91" s="2">
        <v>5</v>
      </c>
      <c r="H91" s="1" t="s">
        <v>29</v>
      </c>
      <c r="I91" s="1">
        <f>SUMIFS(ES_2[LENGTH_EX_SU],ES_2[STN],ES_2[[#This Row],[STN]],ES_2[DISCIPLINE_TYPE],"Out-of-School Suspension")+SUMIFS(ES_2[LENGTH_EX_SU],ES_2[STN],ES_2[[#This Row],[STN]],ES_2[DISCIPLINE_TYPE],"Expulsion")</f>
        <v>89</v>
      </c>
      <c r="J91" s="1">
        <f>IF(ES_2[[#This Row],[Count Exp/Sus]]&gt;10,1,0)</f>
        <v>1</v>
      </c>
      <c r="K91" s="1" t="str">
        <f t="shared" si="2"/>
        <v>22911078-included</v>
      </c>
      <c r="L91" s="1">
        <f>IF(J91=1,IF(COUNTIFS($A$3:A91,A91,$J$3:J91,1)=1,A91&amp;"-included",0),0)</f>
        <v>0</v>
      </c>
      <c r="M91" s="1" cm="1">
        <f t="array" ref="M91">IF(ES_2[[#This Row],[Included Exp/Sus]]=1,IF(SUMPRODUCT((ES_2[STN]=ES_2[[#This Row],[STN]])*(ES_2[Included Exp/Sus]=1)*(ROW(ES_2[STN])&lt;=ROW()))=1,1,0),0)</f>
        <v>0</v>
      </c>
      <c r="N91" s="1" t="str">
        <f>_xlfn.XLOOKUP(ES_2[[#This Row],[STN]],SE_2[STN],SE_2[Ethnicity],"",0)</f>
        <v>Hispanic Ethnicity and of any race</v>
      </c>
    </row>
    <row r="92" spans="1:14" ht="14.45">
      <c r="A92" s="1">
        <v>22911078</v>
      </c>
      <c r="B92" s="1">
        <v>5</v>
      </c>
      <c r="C92" s="2">
        <v>1</v>
      </c>
      <c r="D92" s="1" t="s">
        <v>24</v>
      </c>
      <c r="E92" s="2">
        <v>10</v>
      </c>
      <c r="F92" s="1" t="s">
        <v>25</v>
      </c>
      <c r="G92" s="2">
        <v>1</v>
      </c>
      <c r="H92" s="1" t="s">
        <v>26</v>
      </c>
      <c r="I92" s="1">
        <f>SUMIFS(ES_2[LENGTH_EX_SU],ES_2[STN],ES_2[[#This Row],[STN]],ES_2[DISCIPLINE_TYPE],"Out-of-School Suspension")+SUMIFS(ES_2[LENGTH_EX_SU],ES_2[STN],ES_2[[#This Row],[STN]],ES_2[DISCIPLINE_TYPE],"Expulsion")</f>
        <v>89</v>
      </c>
      <c r="J92" s="1">
        <f>IF(ES_2[[#This Row],[Count Exp/Sus]]&gt;10,1,0)</f>
        <v>1</v>
      </c>
      <c r="K92" s="1" t="str">
        <f t="shared" si="2"/>
        <v>22911078-included</v>
      </c>
      <c r="L92" s="1">
        <f>IF(J92=1,IF(COUNTIFS($A$3:A92,A92,$J$3:J92,1)=1,A92&amp;"-included",0),0)</f>
        <v>0</v>
      </c>
      <c r="M92" s="1" cm="1">
        <f t="array" ref="M92">IF(ES_2[[#This Row],[Included Exp/Sus]]=1,IF(SUMPRODUCT((ES_2[STN]=ES_2[[#This Row],[STN]])*(ES_2[Included Exp/Sus]=1)*(ROW(ES_2[STN])&lt;=ROW()))=1,1,0),0)</f>
        <v>0</v>
      </c>
      <c r="N92" s="1" t="str">
        <f>_xlfn.XLOOKUP(ES_2[[#This Row],[STN]],SE_2[STN],SE_2[Ethnicity],"",0)</f>
        <v>Hispanic Ethnicity and of any race</v>
      </c>
    </row>
    <row r="93" spans="1:14" ht="14.45">
      <c r="A93" s="1">
        <v>22911078</v>
      </c>
      <c r="B93" s="1">
        <v>5</v>
      </c>
      <c r="C93" s="2">
        <v>2</v>
      </c>
      <c r="D93" s="1" t="s">
        <v>31</v>
      </c>
      <c r="E93" s="2">
        <v>14</v>
      </c>
      <c r="F93" s="1" t="s">
        <v>32</v>
      </c>
      <c r="G93" s="2">
        <v>1</v>
      </c>
      <c r="H93" s="1" t="s">
        <v>26</v>
      </c>
      <c r="I93" s="1">
        <f>SUMIFS(ES_2[LENGTH_EX_SU],ES_2[STN],ES_2[[#This Row],[STN]],ES_2[DISCIPLINE_TYPE],"Out-of-School Suspension")+SUMIFS(ES_2[LENGTH_EX_SU],ES_2[STN],ES_2[[#This Row],[STN]],ES_2[DISCIPLINE_TYPE],"Expulsion")</f>
        <v>89</v>
      </c>
      <c r="J93" s="1">
        <f>IF(ES_2[[#This Row],[Count Exp/Sus]]&gt;10,1,0)</f>
        <v>1</v>
      </c>
      <c r="K93" s="1" t="str">
        <f t="shared" si="2"/>
        <v>22911078-included</v>
      </c>
      <c r="L93" s="1">
        <f>IF(J93=1,IF(COUNTIFS($A$3:A93,A93,$J$3:J93,1)=1,A93&amp;"-included",0),0)</f>
        <v>0</v>
      </c>
      <c r="M93" s="1" cm="1">
        <f t="array" ref="M93">IF(ES_2[[#This Row],[Included Exp/Sus]]=1,IF(SUMPRODUCT((ES_2[STN]=ES_2[[#This Row],[STN]])*(ES_2[Included Exp/Sus]=1)*(ROW(ES_2[STN])&lt;=ROW()))=1,1,0),0)</f>
        <v>0</v>
      </c>
      <c r="N93" s="1" t="str">
        <f>_xlfn.XLOOKUP(ES_2[[#This Row],[STN]],SE_2[STN],SE_2[Ethnicity],"",0)</f>
        <v>Hispanic Ethnicity and of any race</v>
      </c>
    </row>
    <row r="94" spans="1:14" ht="14.45">
      <c r="A94" s="1">
        <v>22911078</v>
      </c>
      <c r="B94" s="1">
        <v>4</v>
      </c>
      <c r="C94" s="2">
        <v>1</v>
      </c>
      <c r="D94" s="1" t="s">
        <v>24</v>
      </c>
      <c r="E94" s="2">
        <v>11</v>
      </c>
      <c r="F94" s="1" t="s">
        <v>36</v>
      </c>
      <c r="G94" s="2">
        <v>1</v>
      </c>
      <c r="H94" s="1" t="s">
        <v>26</v>
      </c>
      <c r="I94" s="1">
        <f>SUMIFS(ES_2[LENGTH_EX_SU],ES_2[STN],ES_2[[#This Row],[STN]],ES_2[DISCIPLINE_TYPE],"Out-of-School Suspension")+SUMIFS(ES_2[LENGTH_EX_SU],ES_2[STN],ES_2[[#This Row],[STN]],ES_2[DISCIPLINE_TYPE],"Expulsion")</f>
        <v>89</v>
      </c>
      <c r="J94" s="1">
        <f>IF(ES_2[[#This Row],[Count Exp/Sus]]&gt;10,1,0)</f>
        <v>1</v>
      </c>
      <c r="K94" s="1" t="str">
        <f t="shared" si="2"/>
        <v>22911078-included</v>
      </c>
      <c r="L94" s="1">
        <f>IF(J94=1,IF(COUNTIFS($A$3:A94,A94,$J$3:J94,1)=1,A94&amp;"-included",0),0)</f>
        <v>0</v>
      </c>
      <c r="M94" s="1" cm="1">
        <f t="array" ref="M94">IF(ES_2[[#This Row],[Included Exp/Sus]]=1,IF(SUMPRODUCT((ES_2[STN]=ES_2[[#This Row],[STN]])*(ES_2[Included Exp/Sus]=1)*(ROW(ES_2[STN])&lt;=ROW()))=1,1,0),0)</f>
        <v>0</v>
      </c>
      <c r="N94" s="1" t="str">
        <f>_xlfn.XLOOKUP(ES_2[[#This Row],[STN]],SE_2[STN],SE_2[Ethnicity],"",0)</f>
        <v>Hispanic Ethnicity and of any race</v>
      </c>
    </row>
    <row r="95" spans="1:14" ht="14.45">
      <c r="A95" s="1">
        <v>22911142</v>
      </c>
      <c r="B95" s="1">
        <v>3</v>
      </c>
      <c r="C95" s="2">
        <v>2</v>
      </c>
      <c r="D95" s="1" t="s">
        <v>31</v>
      </c>
      <c r="E95" s="2">
        <v>10</v>
      </c>
      <c r="F95" s="1" t="s">
        <v>25</v>
      </c>
      <c r="G95" s="2">
        <v>2</v>
      </c>
      <c r="H95" s="1" t="s">
        <v>26</v>
      </c>
      <c r="I95" s="1">
        <f>SUMIFS(ES_2[LENGTH_EX_SU],ES_2[STN],ES_2[[#This Row],[STN]],ES_2[DISCIPLINE_TYPE],"Out-of-School Suspension")+SUMIFS(ES_2[LENGTH_EX_SU],ES_2[STN],ES_2[[#This Row],[STN]],ES_2[DISCIPLINE_TYPE],"Expulsion")</f>
        <v>3</v>
      </c>
      <c r="J95" s="1">
        <f>IF(ES_2[[#This Row],[Count Exp/Sus]]&gt;10,1,0)</f>
        <v>0</v>
      </c>
      <c r="K95" s="1">
        <f t="shared" si="2"/>
        <v>0</v>
      </c>
      <c r="L95" s="1">
        <f>IF(J95=1,IF(COUNTIFS($A$3:A95,A95,$J$3:J95,1)=1,A95&amp;"-included",0),0)</f>
        <v>0</v>
      </c>
      <c r="M95" s="1" cm="1">
        <f t="array" ref="M95">IF(ES_2[[#This Row],[Included Exp/Sus]]=1,IF(SUMPRODUCT((ES_2[STN]=ES_2[[#This Row],[STN]])*(ES_2[Included Exp/Sus]=1)*(ROW(ES_2[STN])&lt;=ROW()))=1,1,0),0)</f>
        <v>0</v>
      </c>
      <c r="N95" s="1" t="str">
        <f>_xlfn.XLOOKUP(ES_2[[#This Row],[STN]],SE_2[STN],SE_2[Ethnicity],"",0)</f>
        <v>White</v>
      </c>
    </row>
    <row r="96" spans="1:14" ht="14.45">
      <c r="A96" s="1">
        <v>22911142</v>
      </c>
      <c r="B96" s="1" t="s">
        <v>41</v>
      </c>
      <c r="C96" s="2">
        <v>2</v>
      </c>
      <c r="D96" s="1" t="s">
        <v>31</v>
      </c>
      <c r="E96" s="2">
        <v>11</v>
      </c>
      <c r="F96" s="1" t="s">
        <v>36</v>
      </c>
      <c r="G96" s="2">
        <v>1</v>
      </c>
      <c r="H96" s="1" t="s">
        <v>26</v>
      </c>
      <c r="I96" s="1">
        <f>SUMIFS(ES_2[LENGTH_EX_SU],ES_2[STN],ES_2[[#This Row],[STN]],ES_2[DISCIPLINE_TYPE],"Out-of-School Suspension")+SUMIFS(ES_2[LENGTH_EX_SU],ES_2[STN],ES_2[[#This Row],[STN]],ES_2[DISCIPLINE_TYPE],"Expulsion")</f>
        <v>3</v>
      </c>
      <c r="J96" s="1">
        <f>IF(ES_2[[#This Row],[Count Exp/Sus]]&gt;10,1,0)</f>
        <v>0</v>
      </c>
      <c r="K96" s="1">
        <f t="shared" si="2"/>
        <v>0</v>
      </c>
      <c r="L96" s="1">
        <f>IF(J96=1,IF(COUNTIFS($A$3:A96,A96,$J$3:J96,1)=1,A96&amp;"-included",0),0)</f>
        <v>0</v>
      </c>
      <c r="M96" s="1" cm="1">
        <f t="array" ref="M96">IF(ES_2[[#This Row],[Included Exp/Sus]]=1,IF(SUMPRODUCT((ES_2[STN]=ES_2[[#This Row],[STN]])*(ES_2[Included Exp/Sus]=1)*(ROW(ES_2[STN])&lt;=ROW()))=1,1,0),0)</f>
        <v>0</v>
      </c>
      <c r="N96" s="1" t="str">
        <f>_xlfn.XLOOKUP(ES_2[[#This Row],[STN]],SE_2[STN],SE_2[Ethnicity],"",0)</f>
        <v>White</v>
      </c>
    </row>
    <row r="97" spans="1:14" ht="14.45">
      <c r="A97" s="1">
        <v>22911143</v>
      </c>
      <c r="B97" s="1">
        <v>1</v>
      </c>
      <c r="C97" s="2">
        <v>2</v>
      </c>
      <c r="D97" s="1" t="s">
        <v>31</v>
      </c>
      <c r="E97" s="2">
        <v>10</v>
      </c>
      <c r="F97" s="1" t="s">
        <v>25</v>
      </c>
      <c r="G97" s="2">
        <v>2</v>
      </c>
      <c r="H97" s="1" t="s">
        <v>26</v>
      </c>
      <c r="I97" s="1">
        <f>SUMIFS(ES_2[LENGTH_EX_SU],ES_2[STN],ES_2[[#This Row],[STN]],ES_2[DISCIPLINE_TYPE],"Out-of-School Suspension")+SUMIFS(ES_2[LENGTH_EX_SU],ES_2[STN],ES_2[[#This Row],[STN]],ES_2[DISCIPLINE_TYPE],"Expulsion")</f>
        <v>12</v>
      </c>
      <c r="J97" s="1">
        <f>IF(ES_2[[#This Row],[Count Exp/Sus]]&gt;10,1,0)</f>
        <v>1</v>
      </c>
      <c r="K97" s="1" t="str">
        <f t="shared" si="2"/>
        <v>22911143-included</v>
      </c>
      <c r="L97" s="1" t="str">
        <f>IF(J97=1,IF(COUNTIFS($A$3:A97,A97,$J$3:J97,1)=1,A97&amp;"-included",0),0)</f>
        <v>22911143-included</v>
      </c>
      <c r="M97" s="1" cm="1">
        <f t="array" ref="M97">IF(ES_2[[#This Row],[Included Exp/Sus]]=1,IF(SUMPRODUCT((ES_2[STN]=ES_2[[#This Row],[STN]])*(ES_2[Included Exp/Sus]=1)*(ROW(ES_2[STN])&lt;=ROW()))=1,1,0),0)</f>
        <v>1</v>
      </c>
      <c r="N97" s="1" t="str">
        <f>_xlfn.XLOOKUP(ES_2[[#This Row],[STN]],SE_2[STN],SE_2[Ethnicity],"",0)</f>
        <v>White</v>
      </c>
    </row>
    <row r="98" spans="1:14" ht="14.45">
      <c r="A98" s="1">
        <v>22911143</v>
      </c>
      <c r="B98" s="1">
        <v>3</v>
      </c>
      <c r="C98" s="2">
        <v>2</v>
      </c>
      <c r="D98" s="1" t="s">
        <v>31</v>
      </c>
      <c r="E98" s="2">
        <v>10</v>
      </c>
      <c r="F98" s="1" t="s">
        <v>25</v>
      </c>
      <c r="G98" s="2">
        <v>3</v>
      </c>
      <c r="H98" s="1" t="s">
        <v>29</v>
      </c>
      <c r="I98" s="1">
        <f>SUMIFS(ES_2[LENGTH_EX_SU],ES_2[STN],ES_2[[#This Row],[STN]],ES_2[DISCIPLINE_TYPE],"Out-of-School Suspension")+SUMIFS(ES_2[LENGTH_EX_SU],ES_2[STN],ES_2[[#This Row],[STN]],ES_2[DISCIPLINE_TYPE],"Expulsion")</f>
        <v>12</v>
      </c>
      <c r="J98" s="1">
        <f>IF(ES_2[[#This Row],[Count Exp/Sus]]&gt;10,1,0)</f>
        <v>1</v>
      </c>
      <c r="K98" s="1" t="str">
        <f t="shared" si="2"/>
        <v>22911143-included</v>
      </c>
      <c r="L98" s="1">
        <f>IF(J98=1,IF(COUNTIFS($A$3:A98,A98,$J$3:J98,1)=1,A98&amp;"-included",0),0)</f>
        <v>0</v>
      </c>
      <c r="M98" s="1" cm="1">
        <f t="array" ref="M98">IF(ES_2[[#This Row],[Included Exp/Sus]]=1,IF(SUMPRODUCT((ES_2[STN]=ES_2[[#This Row],[STN]])*(ES_2[Included Exp/Sus]=1)*(ROW(ES_2[STN])&lt;=ROW()))=1,1,0),0)</f>
        <v>0</v>
      </c>
      <c r="N98" s="1" t="str">
        <f>_xlfn.XLOOKUP(ES_2[[#This Row],[STN]],SE_2[STN],SE_2[Ethnicity],"",0)</f>
        <v>White</v>
      </c>
    </row>
    <row r="99" spans="1:14" ht="14.45">
      <c r="A99" s="1">
        <v>22911143</v>
      </c>
      <c r="B99" s="1">
        <v>5</v>
      </c>
      <c r="C99" s="2">
        <v>2</v>
      </c>
      <c r="D99" s="1" t="s">
        <v>31</v>
      </c>
      <c r="E99" s="2">
        <v>10</v>
      </c>
      <c r="F99" s="1" t="s">
        <v>25</v>
      </c>
      <c r="G99" s="2">
        <v>1</v>
      </c>
      <c r="H99" s="1" t="s">
        <v>29</v>
      </c>
      <c r="I99" s="1">
        <f>SUMIFS(ES_2[LENGTH_EX_SU],ES_2[STN],ES_2[[#This Row],[STN]],ES_2[DISCIPLINE_TYPE],"Out-of-School Suspension")+SUMIFS(ES_2[LENGTH_EX_SU],ES_2[STN],ES_2[[#This Row],[STN]],ES_2[DISCIPLINE_TYPE],"Expulsion")</f>
        <v>12</v>
      </c>
      <c r="J99" s="1">
        <f>IF(ES_2[[#This Row],[Count Exp/Sus]]&gt;10,1,0)</f>
        <v>1</v>
      </c>
      <c r="K99" s="1" t="str">
        <f t="shared" ref="K99:K130" si="3">IF(J99=1,A99 &amp;"-included",0)</f>
        <v>22911143-included</v>
      </c>
      <c r="L99" s="1">
        <f>IF(J99=1,IF(COUNTIFS($A$3:A99,A99,$J$3:J99,1)=1,A99&amp;"-included",0),0)</f>
        <v>0</v>
      </c>
      <c r="M99" s="1" cm="1">
        <f t="array" ref="M99">IF(ES_2[[#This Row],[Included Exp/Sus]]=1,IF(SUMPRODUCT((ES_2[STN]=ES_2[[#This Row],[STN]])*(ES_2[Included Exp/Sus]=1)*(ROW(ES_2[STN])&lt;=ROW()))=1,1,0),0)</f>
        <v>0</v>
      </c>
      <c r="N99" s="1" t="str">
        <f>_xlfn.XLOOKUP(ES_2[[#This Row],[STN]],SE_2[STN],SE_2[Ethnicity],"",0)</f>
        <v>White</v>
      </c>
    </row>
    <row r="100" spans="1:14" ht="14.45">
      <c r="A100" s="1">
        <v>22911143</v>
      </c>
      <c r="B100" s="1">
        <v>5</v>
      </c>
      <c r="C100" s="2">
        <v>2</v>
      </c>
      <c r="D100" s="1" t="s">
        <v>31</v>
      </c>
      <c r="E100" s="2">
        <v>15</v>
      </c>
      <c r="F100" s="1" t="s">
        <v>27</v>
      </c>
      <c r="G100" s="2">
        <v>1</v>
      </c>
      <c r="H100" s="1" t="s">
        <v>29</v>
      </c>
      <c r="I100" s="1">
        <f>SUMIFS(ES_2[LENGTH_EX_SU],ES_2[STN],ES_2[[#This Row],[STN]],ES_2[DISCIPLINE_TYPE],"Out-of-School Suspension")+SUMIFS(ES_2[LENGTH_EX_SU],ES_2[STN],ES_2[[#This Row],[STN]],ES_2[DISCIPLINE_TYPE],"Expulsion")</f>
        <v>12</v>
      </c>
      <c r="J100" s="1">
        <f>IF(ES_2[[#This Row],[Count Exp/Sus]]&gt;10,1,0)</f>
        <v>1</v>
      </c>
      <c r="K100" s="1" t="str">
        <f t="shared" si="3"/>
        <v>22911143-included</v>
      </c>
      <c r="L100" s="1">
        <f>IF(J100=1,IF(COUNTIFS($A$3:A100,A100,$J$3:J100,1)=1,A100&amp;"-included",0),0)</f>
        <v>0</v>
      </c>
      <c r="M100" s="1" cm="1">
        <f t="array" ref="M100">IF(ES_2[[#This Row],[Included Exp/Sus]]=1,IF(SUMPRODUCT((ES_2[STN]=ES_2[[#This Row],[STN]])*(ES_2[Included Exp/Sus]=1)*(ROW(ES_2[STN])&lt;=ROW()))=1,1,0),0)</f>
        <v>0</v>
      </c>
      <c r="N100" s="1" t="str">
        <f>_xlfn.XLOOKUP(ES_2[[#This Row],[STN]],SE_2[STN],SE_2[Ethnicity],"",0)</f>
        <v>White</v>
      </c>
    </row>
    <row r="101" spans="1:14" ht="14.45">
      <c r="A101" s="1">
        <v>22911143</v>
      </c>
      <c r="B101" s="1">
        <v>5</v>
      </c>
      <c r="C101" s="2">
        <v>2</v>
      </c>
      <c r="D101" s="1" t="s">
        <v>31</v>
      </c>
      <c r="E101" s="2">
        <v>10</v>
      </c>
      <c r="F101" s="1" t="s">
        <v>25</v>
      </c>
      <c r="G101" s="2">
        <v>5</v>
      </c>
      <c r="H101" s="1" t="s">
        <v>29</v>
      </c>
      <c r="I101" s="1">
        <f>SUMIFS(ES_2[LENGTH_EX_SU],ES_2[STN],ES_2[[#This Row],[STN]],ES_2[DISCIPLINE_TYPE],"Out-of-School Suspension")+SUMIFS(ES_2[LENGTH_EX_SU],ES_2[STN],ES_2[[#This Row],[STN]],ES_2[DISCIPLINE_TYPE],"Expulsion")</f>
        <v>12</v>
      </c>
      <c r="J101" s="1">
        <f>IF(ES_2[[#This Row],[Count Exp/Sus]]&gt;10,1,0)</f>
        <v>1</v>
      </c>
      <c r="K101" s="1" t="str">
        <f t="shared" si="3"/>
        <v>22911143-included</v>
      </c>
      <c r="L101" s="1">
        <f>IF(J101=1,IF(COUNTIFS($A$3:A101,A101,$J$3:J101,1)=1,A101&amp;"-included",0),0)</f>
        <v>0</v>
      </c>
      <c r="M101" s="1" cm="1">
        <f t="array" ref="M101">IF(ES_2[[#This Row],[Included Exp/Sus]]=1,IF(SUMPRODUCT((ES_2[STN]=ES_2[[#This Row],[STN]])*(ES_2[Included Exp/Sus]=1)*(ROW(ES_2[STN])&lt;=ROW()))=1,1,0),0)</f>
        <v>0</v>
      </c>
      <c r="N101" s="1" t="str">
        <f>_xlfn.XLOOKUP(ES_2[[#This Row],[STN]],SE_2[STN],SE_2[Ethnicity],"",0)</f>
        <v>White</v>
      </c>
    </row>
    <row r="102" spans="1:14" ht="14.45">
      <c r="A102" s="1">
        <v>22911190</v>
      </c>
      <c r="B102" s="1" t="s">
        <v>41</v>
      </c>
      <c r="C102" s="2">
        <v>2</v>
      </c>
      <c r="D102" s="1" t="s">
        <v>31</v>
      </c>
      <c r="E102" s="2">
        <v>10</v>
      </c>
      <c r="F102" s="1" t="s">
        <v>25</v>
      </c>
      <c r="G102" s="2">
        <v>1</v>
      </c>
      <c r="H102" s="1" t="s">
        <v>26</v>
      </c>
      <c r="I102" s="1">
        <f>SUMIFS(ES_2[LENGTH_EX_SU],ES_2[STN],ES_2[[#This Row],[STN]],ES_2[DISCIPLINE_TYPE],"Out-of-School Suspension")+SUMIFS(ES_2[LENGTH_EX_SU],ES_2[STN],ES_2[[#This Row],[STN]],ES_2[DISCIPLINE_TYPE],"Expulsion")</f>
        <v>1</v>
      </c>
      <c r="J102" s="1">
        <f>IF(ES_2[[#This Row],[Count Exp/Sus]]&gt;10,1,0)</f>
        <v>0</v>
      </c>
      <c r="K102" s="1">
        <f t="shared" si="3"/>
        <v>0</v>
      </c>
      <c r="L102" s="1">
        <f>IF(J102=1,IF(COUNTIFS($A$3:A102,A102,$J$3:J102,1)=1,A102&amp;"-included",0),0)</f>
        <v>0</v>
      </c>
      <c r="M102" s="1" cm="1">
        <f t="array" ref="M102">IF(ES_2[[#This Row],[Included Exp/Sus]]=1,IF(SUMPRODUCT((ES_2[STN]=ES_2[[#This Row],[STN]])*(ES_2[Included Exp/Sus]=1)*(ROW(ES_2[STN])&lt;=ROW()))=1,1,0),0)</f>
        <v>0</v>
      </c>
      <c r="N102" s="1" t="str">
        <f>_xlfn.XLOOKUP(ES_2[[#This Row],[STN]],SE_2[STN],SE_2[Ethnicity],"",0)</f>
        <v>White</v>
      </c>
    </row>
    <row r="103" spans="1:14" ht="14.45">
      <c r="A103" s="1">
        <v>22911230</v>
      </c>
      <c r="B103" s="1">
        <v>2</v>
      </c>
      <c r="C103" s="2">
        <v>1</v>
      </c>
      <c r="D103" s="1" t="s">
        <v>24</v>
      </c>
      <c r="E103" s="2">
        <v>11</v>
      </c>
      <c r="F103" s="1" t="s">
        <v>36</v>
      </c>
      <c r="G103" s="2">
        <v>1</v>
      </c>
      <c r="H103" s="1" t="s">
        <v>29</v>
      </c>
      <c r="I103" s="1">
        <f>SUMIFS(ES_2[LENGTH_EX_SU],ES_2[STN],ES_2[[#This Row],[STN]],ES_2[DISCIPLINE_TYPE],"Out-of-School Suspension")+SUMIFS(ES_2[LENGTH_EX_SU],ES_2[STN],ES_2[[#This Row],[STN]],ES_2[DISCIPLINE_TYPE],"Expulsion")</f>
        <v>1</v>
      </c>
      <c r="J103" s="1">
        <f>IF(ES_2[[#This Row],[Count Exp/Sus]]&gt;10,1,0)</f>
        <v>0</v>
      </c>
      <c r="K103" s="1">
        <f t="shared" si="3"/>
        <v>0</v>
      </c>
      <c r="L103" s="1">
        <f>IF(J103=1,IF(COUNTIFS($A$3:A103,A103,$J$3:J103,1)=1,A103&amp;"-included",0),0)</f>
        <v>0</v>
      </c>
      <c r="M103" s="1" cm="1">
        <f t="array" ref="M103">IF(ES_2[[#This Row],[Included Exp/Sus]]=1,IF(SUMPRODUCT((ES_2[STN]=ES_2[[#This Row],[STN]])*(ES_2[Included Exp/Sus]=1)*(ROW(ES_2[STN])&lt;=ROW()))=1,1,0),0)</f>
        <v>0</v>
      </c>
      <c r="N103" s="1" t="str">
        <f>_xlfn.XLOOKUP(ES_2[[#This Row],[STN]],SE_2[STN],SE_2[Ethnicity],"",0)</f>
        <v>Multiracial (two or more races)</v>
      </c>
    </row>
    <row r="104" spans="1:14" ht="14.45">
      <c r="A104" s="1">
        <v>22911230</v>
      </c>
      <c r="B104" s="1" t="s">
        <v>41</v>
      </c>
      <c r="C104" s="2">
        <v>2</v>
      </c>
      <c r="D104" s="1" t="s">
        <v>31</v>
      </c>
      <c r="E104" s="2">
        <v>10</v>
      </c>
      <c r="F104" s="1" t="s">
        <v>25</v>
      </c>
      <c r="G104" s="2">
        <v>1</v>
      </c>
      <c r="H104" s="1" t="s">
        <v>26</v>
      </c>
      <c r="I104" s="1">
        <f>SUMIFS(ES_2[LENGTH_EX_SU],ES_2[STN],ES_2[[#This Row],[STN]],ES_2[DISCIPLINE_TYPE],"Out-of-School Suspension")+SUMIFS(ES_2[LENGTH_EX_SU],ES_2[STN],ES_2[[#This Row],[STN]],ES_2[DISCIPLINE_TYPE],"Expulsion")</f>
        <v>1</v>
      </c>
      <c r="J104" s="1">
        <f>IF(ES_2[[#This Row],[Count Exp/Sus]]&gt;10,1,0)</f>
        <v>0</v>
      </c>
      <c r="K104" s="1">
        <f t="shared" si="3"/>
        <v>0</v>
      </c>
      <c r="L104" s="1">
        <f>IF(J104=1,IF(COUNTIFS($A$3:A104,A104,$J$3:J104,1)=1,A104&amp;"-included",0),0)</f>
        <v>0</v>
      </c>
      <c r="M104" s="1" cm="1">
        <f t="array" ref="M104">IF(ES_2[[#This Row],[Included Exp/Sus]]=1,IF(SUMPRODUCT((ES_2[STN]=ES_2[[#This Row],[STN]])*(ES_2[Included Exp/Sus]=1)*(ROW(ES_2[STN])&lt;=ROW()))=1,1,0),0)</f>
        <v>0</v>
      </c>
      <c r="N104" s="1" t="str">
        <f>_xlfn.XLOOKUP(ES_2[[#This Row],[STN]],SE_2[STN],SE_2[Ethnicity],"",0)</f>
        <v>Multiracial (two or more races)</v>
      </c>
    </row>
    <row r="105" spans="1:14" ht="14.45">
      <c r="A105" s="1">
        <v>22911265</v>
      </c>
      <c r="B105" s="1" t="s">
        <v>41</v>
      </c>
      <c r="C105" s="2">
        <v>1</v>
      </c>
      <c r="D105" s="1" t="s">
        <v>24</v>
      </c>
      <c r="E105" s="2">
        <v>10</v>
      </c>
      <c r="F105" s="1" t="s">
        <v>25</v>
      </c>
      <c r="G105" s="2">
        <v>1</v>
      </c>
      <c r="H105" s="1" t="s">
        <v>26</v>
      </c>
      <c r="I105" s="1">
        <f>SUMIFS(ES_2[LENGTH_EX_SU],ES_2[STN],ES_2[[#This Row],[STN]],ES_2[DISCIPLINE_TYPE],"Out-of-School Suspension")+SUMIFS(ES_2[LENGTH_EX_SU],ES_2[STN],ES_2[[#This Row],[STN]],ES_2[DISCIPLINE_TYPE],"Expulsion")</f>
        <v>0</v>
      </c>
      <c r="J105" s="1">
        <f>IF(ES_2[[#This Row],[Count Exp/Sus]]&gt;10,1,0)</f>
        <v>0</v>
      </c>
      <c r="K105" s="1">
        <f t="shared" si="3"/>
        <v>0</v>
      </c>
      <c r="L105" s="1">
        <f>IF(J105=1,IF(COUNTIFS($A$3:A105,A105,$J$3:J105,1)=1,A105&amp;"-included",0),0)</f>
        <v>0</v>
      </c>
      <c r="M105" s="1" cm="1">
        <f t="array" ref="M105">IF(ES_2[[#This Row],[Included Exp/Sus]]=1,IF(SUMPRODUCT((ES_2[STN]=ES_2[[#This Row],[STN]])*(ES_2[Included Exp/Sus]=1)*(ROW(ES_2[STN])&lt;=ROW()))=1,1,0),0)</f>
        <v>0</v>
      </c>
      <c r="N105" s="1" t="str">
        <f>_xlfn.XLOOKUP(ES_2[[#This Row],[STN]],SE_2[STN],SE_2[Ethnicity],"",0)</f>
        <v>White</v>
      </c>
    </row>
    <row r="106" spans="1:14" ht="14.45">
      <c r="A106" s="1">
        <v>22911280</v>
      </c>
      <c r="B106" s="1">
        <v>5</v>
      </c>
      <c r="C106" s="2">
        <v>2</v>
      </c>
      <c r="D106" s="1" t="s">
        <v>31</v>
      </c>
      <c r="E106" s="2">
        <v>17</v>
      </c>
      <c r="F106" s="1" t="s">
        <v>45</v>
      </c>
      <c r="G106" s="2">
        <v>5</v>
      </c>
      <c r="H106" s="1" t="s">
        <v>29</v>
      </c>
      <c r="I106" s="1">
        <f>SUMIFS(ES_2[LENGTH_EX_SU],ES_2[STN],ES_2[[#This Row],[STN]],ES_2[DISCIPLINE_TYPE],"Out-of-School Suspension")+SUMIFS(ES_2[LENGTH_EX_SU],ES_2[STN],ES_2[[#This Row],[STN]],ES_2[DISCIPLINE_TYPE],"Expulsion")</f>
        <v>5</v>
      </c>
      <c r="J106" s="1">
        <f>IF(ES_2[[#This Row],[Count Exp/Sus]]&gt;10,1,0)</f>
        <v>0</v>
      </c>
      <c r="K106" s="1">
        <f t="shared" si="3"/>
        <v>0</v>
      </c>
      <c r="L106" s="1">
        <f>IF(J106=1,IF(COUNTIFS($A$3:A106,A106,$J$3:J106,1)=1,A106&amp;"-included",0),0)</f>
        <v>0</v>
      </c>
      <c r="M106" s="1" cm="1">
        <f t="array" ref="M106">IF(ES_2[[#This Row],[Included Exp/Sus]]=1,IF(SUMPRODUCT((ES_2[STN]=ES_2[[#This Row],[STN]])*(ES_2[Included Exp/Sus]=1)*(ROW(ES_2[STN])&lt;=ROW()))=1,1,0),0)</f>
        <v>0</v>
      </c>
      <c r="N106" s="1" t="str">
        <f>_xlfn.XLOOKUP(ES_2[[#This Row],[STN]],SE_2[STN],SE_2[Ethnicity],"",0)</f>
        <v/>
      </c>
    </row>
    <row r="107" spans="1:14" ht="14.45">
      <c r="A107" s="1">
        <v>22912064</v>
      </c>
      <c r="B107" s="1">
        <v>3</v>
      </c>
      <c r="C107" s="2">
        <v>2</v>
      </c>
      <c r="D107" s="1" t="s">
        <v>31</v>
      </c>
      <c r="E107" s="2">
        <v>11</v>
      </c>
      <c r="F107" s="1" t="s">
        <v>36</v>
      </c>
      <c r="G107" s="2">
        <v>1</v>
      </c>
      <c r="H107" s="1" t="s">
        <v>29</v>
      </c>
      <c r="I107" s="1">
        <f>SUMIFS(ES_2[LENGTH_EX_SU],ES_2[STN],ES_2[[#This Row],[STN]],ES_2[DISCIPLINE_TYPE],"Out-of-School Suspension")+SUMIFS(ES_2[LENGTH_EX_SU],ES_2[STN],ES_2[[#This Row],[STN]],ES_2[DISCIPLINE_TYPE],"Expulsion")</f>
        <v>3</v>
      </c>
      <c r="J107" s="1">
        <f>IF(ES_2[[#This Row],[Count Exp/Sus]]&gt;10,1,0)</f>
        <v>0</v>
      </c>
      <c r="K107" s="1">
        <f t="shared" si="3"/>
        <v>0</v>
      </c>
      <c r="L107" s="1">
        <f>IF(J107=1,IF(COUNTIFS($A$3:A107,A107,$J$3:J107,1)=1,A107&amp;"-included",0),0)</f>
        <v>0</v>
      </c>
      <c r="M107" s="1" cm="1">
        <f t="array" ref="M107">IF(ES_2[[#This Row],[Included Exp/Sus]]=1,IF(SUMPRODUCT((ES_2[STN]=ES_2[[#This Row],[STN]])*(ES_2[Included Exp/Sus]=1)*(ROW(ES_2[STN])&lt;=ROW()))=1,1,0),0)</f>
        <v>0</v>
      </c>
      <c r="N107" s="1" t="str">
        <f>_xlfn.XLOOKUP(ES_2[[#This Row],[STN]],SE_2[STN],SE_2[Ethnicity],"",0)</f>
        <v/>
      </c>
    </row>
    <row r="108" spans="1:14" ht="14.45">
      <c r="A108" s="1">
        <v>22912064</v>
      </c>
      <c r="B108" s="1">
        <v>3</v>
      </c>
      <c r="C108" s="2">
        <v>2</v>
      </c>
      <c r="D108" s="1" t="s">
        <v>31</v>
      </c>
      <c r="E108" s="2">
        <v>11</v>
      </c>
      <c r="F108" s="1" t="s">
        <v>36</v>
      </c>
      <c r="G108" s="2">
        <v>1</v>
      </c>
      <c r="H108" s="1" t="s">
        <v>29</v>
      </c>
      <c r="I108" s="1">
        <f>SUMIFS(ES_2[LENGTH_EX_SU],ES_2[STN],ES_2[[#This Row],[STN]],ES_2[DISCIPLINE_TYPE],"Out-of-School Suspension")+SUMIFS(ES_2[LENGTH_EX_SU],ES_2[STN],ES_2[[#This Row],[STN]],ES_2[DISCIPLINE_TYPE],"Expulsion")</f>
        <v>3</v>
      </c>
      <c r="J108" s="1">
        <f>IF(ES_2[[#This Row],[Count Exp/Sus]]&gt;10,1,0)</f>
        <v>0</v>
      </c>
      <c r="K108" s="1">
        <f t="shared" si="3"/>
        <v>0</v>
      </c>
      <c r="L108" s="1">
        <f>IF(J108=1,IF(COUNTIFS($A$3:A108,A108,$J$3:J108,1)=1,A108&amp;"-included",0),0)</f>
        <v>0</v>
      </c>
      <c r="M108" s="1" cm="1">
        <f t="array" ref="M108">IF(ES_2[[#This Row],[Included Exp/Sus]]=1,IF(SUMPRODUCT((ES_2[STN]=ES_2[[#This Row],[STN]])*(ES_2[Included Exp/Sus]=1)*(ROW(ES_2[STN])&lt;=ROW()))=1,1,0),0)</f>
        <v>0</v>
      </c>
      <c r="N108" s="1" t="str">
        <f>_xlfn.XLOOKUP(ES_2[[#This Row],[STN]],SE_2[STN],SE_2[Ethnicity],"",0)</f>
        <v/>
      </c>
    </row>
    <row r="109" spans="1:14" ht="14.45">
      <c r="A109" s="1">
        <v>22912064</v>
      </c>
      <c r="B109" s="1">
        <v>2</v>
      </c>
      <c r="C109" s="2">
        <v>1</v>
      </c>
      <c r="D109" s="1" t="s">
        <v>24</v>
      </c>
      <c r="E109" s="2">
        <v>10</v>
      </c>
      <c r="F109" s="1" t="s">
        <v>25</v>
      </c>
      <c r="G109" s="2">
        <v>1</v>
      </c>
      <c r="H109" s="1" t="s">
        <v>29</v>
      </c>
      <c r="I109" s="1">
        <f>SUMIFS(ES_2[LENGTH_EX_SU],ES_2[STN],ES_2[[#This Row],[STN]],ES_2[DISCIPLINE_TYPE],"Out-of-School Suspension")+SUMIFS(ES_2[LENGTH_EX_SU],ES_2[STN],ES_2[[#This Row],[STN]],ES_2[DISCIPLINE_TYPE],"Expulsion")</f>
        <v>3</v>
      </c>
      <c r="J109" s="1">
        <f>IF(ES_2[[#This Row],[Count Exp/Sus]]&gt;10,1,0)</f>
        <v>0</v>
      </c>
      <c r="K109" s="1">
        <f t="shared" si="3"/>
        <v>0</v>
      </c>
      <c r="L109" s="1">
        <f>IF(J109=1,IF(COUNTIFS($A$3:A109,A109,$J$3:J109,1)=1,A109&amp;"-included",0),0)</f>
        <v>0</v>
      </c>
      <c r="M109" s="1" cm="1">
        <f t="array" ref="M109">IF(ES_2[[#This Row],[Included Exp/Sus]]=1,IF(SUMPRODUCT((ES_2[STN]=ES_2[[#This Row],[STN]])*(ES_2[Included Exp/Sus]=1)*(ROW(ES_2[STN])&lt;=ROW()))=1,1,0),0)</f>
        <v>0</v>
      </c>
      <c r="N109" s="1" t="str">
        <f>_xlfn.XLOOKUP(ES_2[[#This Row],[STN]],SE_2[STN],SE_2[Ethnicity],"",0)</f>
        <v/>
      </c>
    </row>
    <row r="110" spans="1:14" ht="14.45">
      <c r="A110" s="1">
        <v>22912064</v>
      </c>
      <c r="B110" s="1">
        <v>2</v>
      </c>
      <c r="C110" s="2">
        <v>2</v>
      </c>
      <c r="D110" s="1" t="s">
        <v>31</v>
      </c>
      <c r="E110" s="2">
        <v>10</v>
      </c>
      <c r="F110" s="1" t="s">
        <v>25</v>
      </c>
      <c r="G110" s="2">
        <v>1</v>
      </c>
      <c r="H110" s="1" t="s">
        <v>29</v>
      </c>
      <c r="I110" s="1">
        <f>SUMIFS(ES_2[LENGTH_EX_SU],ES_2[STN],ES_2[[#This Row],[STN]],ES_2[DISCIPLINE_TYPE],"Out-of-School Suspension")+SUMIFS(ES_2[LENGTH_EX_SU],ES_2[STN],ES_2[[#This Row],[STN]],ES_2[DISCIPLINE_TYPE],"Expulsion")</f>
        <v>3</v>
      </c>
      <c r="J110" s="1">
        <f>IF(ES_2[[#This Row],[Count Exp/Sus]]&gt;10,1,0)</f>
        <v>0</v>
      </c>
      <c r="K110" s="1">
        <f t="shared" si="3"/>
        <v>0</v>
      </c>
      <c r="L110" s="1">
        <f>IF(J110=1,IF(COUNTIFS($A$3:A110,A110,$J$3:J110,1)=1,A110&amp;"-included",0),0)</f>
        <v>0</v>
      </c>
      <c r="M110" s="1" cm="1">
        <f t="array" ref="M110">IF(ES_2[[#This Row],[Included Exp/Sus]]=1,IF(SUMPRODUCT((ES_2[STN]=ES_2[[#This Row],[STN]])*(ES_2[Included Exp/Sus]=1)*(ROW(ES_2[STN])&lt;=ROW()))=1,1,0),0)</f>
        <v>0</v>
      </c>
      <c r="N110" s="1" t="str">
        <f>_xlfn.XLOOKUP(ES_2[[#This Row],[STN]],SE_2[STN],SE_2[Ethnicity],"",0)</f>
        <v/>
      </c>
    </row>
    <row r="111" spans="1:14" ht="14.45">
      <c r="A111" s="1">
        <v>22912065</v>
      </c>
      <c r="B111" s="1" t="s">
        <v>41</v>
      </c>
      <c r="C111" s="2">
        <v>1</v>
      </c>
      <c r="D111" s="1" t="s">
        <v>24</v>
      </c>
      <c r="E111" s="2">
        <v>10</v>
      </c>
      <c r="F111" s="1" t="s">
        <v>25</v>
      </c>
      <c r="G111" s="2">
        <v>1</v>
      </c>
      <c r="H111" s="1" t="s">
        <v>26</v>
      </c>
      <c r="I111" s="1">
        <f>SUMIFS(ES_2[LENGTH_EX_SU],ES_2[STN],ES_2[[#This Row],[STN]],ES_2[DISCIPLINE_TYPE],"Out-of-School Suspension")+SUMIFS(ES_2[LENGTH_EX_SU],ES_2[STN],ES_2[[#This Row],[STN]],ES_2[DISCIPLINE_TYPE],"Expulsion")</f>
        <v>0</v>
      </c>
      <c r="J111" s="1">
        <f>IF(ES_2[[#This Row],[Count Exp/Sus]]&gt;10,1,0)</f>
        <v>0</v>
      </c>
      <c r="K111" s="1">
        <f t="shared" si="3"/>
        <v>0</v>
      </c>
      <c r="L111" s="1">
        <f>IF(J111=1,IF(COUNTIFS($A$3:A111,A111,$J$3:J111,1)=1,A111&amp;"-included",0),0)</f>
        <v>0</v>
      </c>
      <c r="M111" s="1" cm="1">
        <f t="array" ref="M111">IF(ES_2[[#This Row],[Included Exp/Sus]]=1,IF(SUMPRODUCT((ES_2[STN]=ES_2[[#This Row],[STN]])*(ES_2[Included Exp/Sus]=1)*(ROW(ES_2[STN])&lt;=ROW()))=1,1,0),0)</f>
        <v>0</v>
      </c>
      <c r="N111" s="1" t="str">
        <f>_xlfn.XLOOKUP(ES_2[[#This Row],[STN]],SE_2[STN],SE_2[Ethnicity],"",0)</f>
        <v>White</v>
      </c>
    </row>
    <row r="112" spans="1:14" ht="14.45">
      <c r="A112" s="1">
        <v>22912065</v>
      </c>
      <c r="B112" s="1" t="s">
        <v>41</v>
      </c>
      <c r="C112" s="2">
        <v>1</v>
      </c>
      <c r="D112" s="1" t="s">
        <v>24</v>
      </c>
      <c r="E112" s="2">
        <v>11</v>
      </c>
      <c r="F112" s="1" t="s">
        <v>36</v>
      </c>
      <c r="G112" s="2">
        <v>1</v>
      </c>
      <c r="H112" s="1" t="s">
        <v>26</v>
      </c>
      <c r="I112" s="1">
        <f>SUMIFS(ES_2[LENGTH_EX_SU],ES_2[STN],ES_2[[#This Row],[STN]],ES_2[DISCIPLINE_TYPE],"Out-of-School Suspension")+SUMIFS(ES_2[LENGTH_EX_SU],ES_2[STN],ES_2[[#This Row],[STN]],ES_2[DISCIPLINE_TYPE],"Expulsion")</f>
        <v>0</v>
      </c>
      <c r="J112" s="1">
        <f>IF(ES_2[[#This Row],[Count Exp/Sus]]&gt;10,1,0)</f>
        <v>0</v>
      </c>
      <c r="K112" s="1">
        <f t="shared" si="3"/>
        <v>0</v>
      </c>
      <c r="L112" s="1">
        <f>IF(J112=1,IF(COUNTIFS($A$3:A112,A112,$J$3:J112,1)=1,A112&amp;"-included",0),0)</f>
        <v>0</v>
      </c>
      <c r="M112" s="1" cm="1">
        <f t="array" ref="M112">IF(ES_2[[#This Row],[Included Exp/Sus]]=1,IF(SUMPRODUCT((ES_2[STN]=ES_2[[#This Row],[STN]])*(ES_2[Included Exp/Sus]=1)*(ROW(ES_2[STN])&lt;=ROW()))=1,1,0),0)</f>
        <v>0</v>
      </c>
      <c r="N112" s="1" t="str">
        <f>_xlfn.XLOOKUP(ES_2[[#This Row],[STN]],SE_2[STN],SE_2[Ethnicity],"",0)</f>
        <v>White</v>
      </c>
    </row>
    <row r="113" spans="1:14" ht="14.45">
      <c r="A113" s="1">
        <v>22912090</v>
      </c>
      <c r="B113" s="1" t="s">
        <v>41</v>
      </c>
      <c r="C113" s="2">
        <v>2</v>
      </c>
      <c r="D113" s="1" t="s">
        <v>31</v>
      </c>
      <c r="E113" s="2">
        <v>11</v>
      </c>
      <c r="F113" s="1" t="s">
        <v>36</v>
      </c>
      <c r="G113" s="2">
        <v>1</v>
      </c>
      <c r="H113" s="1" t="s">
        <v>26</v>
      </c>
      <c r="I113" s="1">
        <f>SUMIFS(ES_2[LENGTH_EX_SU],ES_2[STN],ES_2[[#This Row],[STN]],ES_2[DISCIPLINE_TYPE],"Out-of-School Suspension")+SUMIFS(ES_2[LENGTH_EX_SU],ES_2[STN],ES_2[[#This Row],[STN]],ES_2[DISCIPLINE_TYPE],"Expulsion")</f>
        <v>1</v>
      </c>
      <c r="J113" s="1">
        <f>IF(ES_2[[#This Row],[Count Exp/Sus]]&gt;10,1,0)</f>
        <v>0</v>
      </c>
      <c r="K113" s="1">
        <f t="shared" si="3"/>
        <v>0</v>
      </c>
      <c r="L113" s="1">
        <f>IF(J113=1,IF(COUNTIFS($A$3:A113,A113,$J$3:J113,1)=1,A113&amp;"-included",0),0)</f>
        <v>0</v>
      </c>
      <c r="M113" s="1" cm="1">
        <f t="array" ref="M113">IF(ES_2[[#This Row],[Included Exp/Sus]]=1,IF(SUMPRODUCT((ES_2[STN]=ES_2[[#This Row],[STN]])*(ES_2[Included Exp/Sus]=1)*(ROW(ES_2[STN])&lt;=ROW()))=1,1,0),0)</f>
        <v>0</v>
      </c>
      <c r="N113" s="1" t="str">
        <f>_xlfn.XLOOKUP(ES_2[[#This Row],[STN]],SE_2[STN],SE_2[Ethnicity],"",0)</f>
        <v>White</v>
      </c>
    </row>
    <row r="114" spans="1:14" ht="14.45">
      <c r="A114" s="1">
        <v>22912234</v>
      </c>
      <c r="B114" s="1" t="s">
        <v>41</v>
      </c>
      <c r="C114" s="2">
        <v>1</v>
      </c>
      <c r="D114" s="1" t="s">
        <v>24</v>
      </c>
      <c r="E114" s="2">
        <v>10</v>
      </c>
      <c r="F114" s="1" t="s">
        <v>25</v>
      </c>
      <c r="G114" s="2">
        <v>1</v>
      </c>
      <c r="H114" s="1" t="s">
        <v>26</v>
      </c>
      <c r="I114" s="1">
        <f>SUMIFS(ES_2[LENGTH_EX_SU],ES_2[STN],ES_2[[#This Row],[STN]],ES_2[DISCIPLINE_TYPE],"Out-of-School Suspension")+SUMIFS(ES_2[LENGTH_EX_SU],ES_2[STN],ES_2[[#This Row],[STN]],ES_2[DISCIPLINE_TYPE],"Expulsion")</f>
        <v>0</v>
      </c>
      <c r="J114" s="1">
        <f>IF(ES_2[[#This Row],[Count Exp/Sus]]&gt;10,1,0)</f>
        <v>0</v>
      </c>
      <c r="K114" s="1">
        <f t="shared" si="3"/>
        <v>0</v>
      </c>
      <c r="L114" s="1">
        <f>IF(J114=1,IF(COUNTIFS($A$3:A114,A114,$J$3:J114,1)=1,A114&amp;"-included",0),0)</f>
        <v>0</v>
      </c>
      <c r="M114" s="1" cm="1">
        <f t="array" ref="M114">IF(ES_2[[#This Row],[Included Exp/Sus]]=1,IF(SUMPRODUCT((ES_2[STN]=ES_2[[#This Row],[STN]])*(ES_2[Included Exp/Sus]=1)*(ROW(ES_2[STN])&lt;=ROW()))=1,1,0),0)</f>
        <v>0</v>
      </c>
      <c r="N114" s="1" t="str">
        <f>_xlfn.XLOOKUP(ES_2[[#This Row],[STN]],SE_2[STN],SE_2[Ethnicity],"",0)</f>
        <v>White</v>
      </c>
    </row>
    <row r="115" spans="1:14" ht="14.45">
      <c r="A115" s="1">
        <v>22912273</v>
      </c>
      <c r="B115" s="1">
        <v>8</v>
      </c>
      <c r="C115" s="2">
        <v>2</v>
      </c>
      <c r="D115" s="1" t="s">
        <v>31</v>
      </c>
      <c r="E115" s="2">
        <v>10</v>
      </c>
      <c r="F115" s="1" t="s">
        <v>25</v>
      </c>
      <c r="G115" s="2">
        <v>1</v>
      </c>
      <c r="H115" s="1" t="s">
        <v>29</v>
      </c>
      <c r="I115" s="1">
        <f>SUMIFS(ES_2[LENGTH_EX_SU],ES_2[STN],ES_2[[#This Row],[STN]],ES_2[DISCIPLINE_TYPE],"Out-of-School Suspension")+SUMIFS(ES_2[LENGTH_EX_SU],ES_2[STN],ES_2[[#This Row],[STN]],ES_2[DISCIPLINE_TYPE],"Expulsion")</f>
        <v>1</v>
      </c>
      <c r="J115" s="1">
        <f>IF(ES_2[[#This Row],[Count Exp/Sus]]&gt;10,1,0)</f>
        <v>0</v>
      </c>
      <c r="K115" s="1">
        <f t="shared" si="3"/>
        <v>0</v>
      </c>
      <c r="L115" s="1">
        <f>IF(J115=1,IF(COUNTIFS($A$3:A115,A115,$J$3:J115,1)=1,A115&amp;"-included",0),0)</f>
        <v>0</v>
      </c>
      <c r="M115" s="1" cm="1">
        <f t="array" ref="M115">IF(ES_2[[#This Row],[Included Exp/Sus]]=1,IF(SUMPRODUCT((ES_2[STN]=ES_2[[#This Row],[STN]])*(ES_2[Included Exp/Sus]=1)*(ROW(ES_2[STN])&lt;=ROW()))=1,1,0),0)</f>
        <v>0</v>
      </c>
      <c r="N115" s="1" t="str">
        <f>_xlfn.XLOOKUP(ES_2[[#This Row],[STN]],SE_2[STN],SE_2[Ethnicity],"",0)</f>
        <v/>
      </c>
    </row>
    <row r="116" spans="1:14" ht="14.45">
      <c r="A116" s="1">
        <v>22912405</v>
      </c>
      <c r="B116" s="1">
        <v>3</v>
      </c>
      <c r="C116" s="2">
        <v>1</v>
      </c>
      <c r="D116" s="1" t="s">
        <v>24</v>
      </c>
      <c r="E116" s="2">
        <v>11</v>
      </c>
      <c r="F116" s="1" t="s">
        <v>36</v>
      </c>
      <c r="G116" s="2">
        <v>1</v>
      </c>
      <c r="H116" s="1" t="s">
        <v>26</v>
      </c>
      <c r="I116" s="1">
        <f>SUMIFS(ES_2[LENGTH_EX_SU],ES_2[STN],ES_2[[#This Row],[STN]],ES_2[DISCIPLINE_TYPE],"Out-of-School Suspension")+SUMIFS(ES_2[LENGTH_EX_SU],ES_2[STN],ES_2[[#This Row],[STN]],ES_2[DISCIPLINE_TYPE],"Expulsion")</f>
        <v>0</v>
      </c>
      <c r="J116" s="1">
        <f>IF(ES_2[[#This Row],[Count Exp/Sus]]&gt;10,1,0)</f>
        <v>0</v>
      </c>
      <c r="K116" s="1">
        <f t="shared" si="3"/>
        <v>0</v>
      </c>
      <c r="L116" s="1">
        <f>IF(J116=1,IF(COUNTIFS($A$3:A116,A116,$J$3:J116,1)=1,A116&amp;"-included",0),0)</f>
        <v>0</v>
      </c>
      <c r="M116" s="1" cm="1">
        <f t="array" ref="M116">IF(ES_2[[#This Row],[Included Exp/Sus]]=1,IF(SUMPRODUCT((ES_2[STN]=ES_2[[#This Row],[STN]])*(ES_2[Included Exp/Sus]=1)*(ROW(ES_2[STN])&lt;=ROW()))=1,1,0),0)</f>
        <v>0</v>
      </c>
      <c r="N116" s="1" t="str">
        <f>_xlfn.XLOOKUP(ES_2[[#This Row],[STN]],SE_2[STN],SE_2[Ethnicity],"",0)</f>
        <v>White</v>
      </c>
    </row>
    <row r="117" spans="1:14" ht="14.45">
      <c r="A117" s="1">
        <v>22912476</v>
      </c>
      <c r="B117" s="1">
        <v>7</v>
      </c>
      <c r="C117" s="2">
        <v>2</v>
      </c>
      <c r="D117" s="1" t="s">
        <v>31</v>
      </c>
      <c r="E117" s="2">
        <v>19</v>
      </c>
      <c r="F117" s="1" t="s">
        <v>37</v>
      </c>
      <c r="G117" s="2">
        <v>3</v>
      </c>
      <c r="H117" s="1" t="s">
        <v>29</v>
      </c>
      <c r="I117" s="1">
        <f>SUMIFS(ES_2[LENGTH_EX_SU],ES_2[STN],ES_2[[#This Row],[STN]],ES_2[DISCIPLINE_TYPE],"Out-of-School Suspension")+SUMIFS(ES_2[LENGTH_EX_SU],ES_2[STN],ES_2[[#This Row],[STN]],ES_2[DISCIPLINE_TYPE],"Expulsion")</f>
        <v>10</v>
      </c>
      <c r="J117" s="1">
        <f>IF(ES_2[[#This Row],[Count Exp/Sus]]&gt;10,1,0)</f>
        <v>0</v>
      </c>
      <c r="K117" s="1">
        <f t="shared" si="3"/>
        <v>0</v>
      </c>
      <c r="L117" s="1">
        <f>IF(J117=1,IF(COUNTIFS($A$3:A117,A117,$J$3:J117,1)=1,A117&amp;"-included",0),0)</f>
        <v>0</v>
      </c>
      <c r="M117" s="1" cm="1">
        <f t="array" ref="M117">IF(ES_2[[#This Row],[Included Exp/Sus]]=1,IF(SUMPRODUCT((ES_2[STN]=ES_2[[#This Row],[STN]])*(ES_2[Included Exp/Sus]=1)*(ROW(ES_2[STN])&lt;=ROW()))=1,1,0),0)</f>
        <v>0</v>
      </c>
      <c r="N117" s="1" t="str">
        <f>_xlfn.XLOOKUP(ES_2[[#This Row],[STN]],SE_2[STN],SE_2[Ethnicity],"",0)</f>
        <v/>
      </c>
    </row>
    <row r="118" spans="1:14" ht="14.45">
      <c r="A118" s="1">
        <v>22912476</v>
      </c>
      <c r="B118" s="1">
        <v>6</v>
      </c>
      <c r="C118" s="2">
        <v>1</v>
      </c>
      <c r="D118" s="1" t="s">
        <v>24</v>
      </c>
      <c r="E118" s="2">
        <v>11</v>
      </c>
      <c r="F118" s="1" t="s">
        <v>36</v>
      </c>
      <c r="G118" s="2">
        <v>1</v>
      </c>
      <c r="H118" s="1" t="s">
        <v>29</v>
      </c>
      <c r="I118" s="1">
        <f>SUMIFS(ES_2[LENGTH_EX_SU],ES_2[STN],ES_2[[#This Row],[STN]],ES_2[DISCIPLINE_TYPE],"Out-of-School Suspension")+SUMIFS(ES_2[LENGTH_EX_SU],ES_2[STN],ES_2[[#This Row],[STN]],ES_2[DISCIPLINE_TYPE],"Expulsion")</f>
        <v>10</v>
      </c>
      <c r="J118" s="1">
        <f>IF(ES_2[[#This Row],[Count Exp/Sus]]&gt;10,1,0)</f>
        <v>0</v>
      </c>
      <c r="K118" s="1">
        <f t="shared" si="3"/>
        <v>0</v>
      </c>
      <c r="L118" s="1">
        <f>IF(J118=1,IF(COUNTIFS($A$3:A118,A118,$J$3:J118,1)=1,A118&amp;"-included",0),0)</f>
        <v>0</v>
      </c>
      <c r="M118" s="1" cm="1">
        <f t="array" ref="M118">IF(ES_2[[#This Row],[Included Exp/Sus]]=1,IF(SUMPRODUCT((ES_2[STN]=ES_2[[#This Row],[STN]])*(ES_2[Included Exp/Sus]=1)*(ROW(ES_2[STN])&lt;=ROW()))=1,1,0),0)</f>
        <v>0</v>
      </c>
      <c r="N118" s="1" t="str">
        <f>_xlfn.XLOOKUP(ES_2[[#This Row],[STN]],SE_2[STN],SE_2[Ethnicity],"",0)</f>
        <v/>
      </c>
    </row>
    <row r="119" spans="1:14" ht="14.45">
      <c r="A119" s="1">
        <v>22912476</v>
      </c>
      <c r="B119" s="1">
        <v>7</v>
      </c>
      <c r="C119" s="2">
        <v>2</v>
      </c>
      <c r="D119" s="1" t="s">
        <v>31</v>
      </c>
      <c r="E119" s="2">
        <v>30</v>
      </c>
      <c r="F119" s="1" t="s">
        <v>44</v>
      </c>
      <c r="G119" s="2">
        <v>2</v>
      </c>
      <c r="H119" s="1" t="s">
        <v>29</v>
      </c>
      <c r="I119" s="1">
        <f>SUMIFS(ES_2[LENGTH_EX_SU],ES_2[STN],ES_2[[#This Row],[STN]],ES_2[DISCIPLINE_TYPE],"Out-of-School Suspension")+SUMIFS(ES_2[LENGTH_EX_SU],ES_2[STN],ES_2[[#This Row],[STN]],ES_2[DISCIPLINE_TYPE],"Expulsion")</f>
        <v>10</v>
      </c>
      <c r="J119" s="1">
        <f>IF(ES_2[[#This Row],[Count Exp/Sus]]&gt;10,1,0)</f>
        <v>0</v>
      </c>
      <c r="K119" s="1">
        <f t="shared" si="3"/>
        <v>0</v>
      </c>
      <c r="L119" s="1">
        <f>IF(J119=1,IF(COUNTIFS($A$3:A119,A119,$J$3:J119,1)=1,A119&amp;"-included",0),0)</f>
        <v>0</v>
      </c>
      <c r="M119" s="1" cm="1">
        <f t="array" ref="M119">IF(ES_2[[#This Row],[Included Exp/Sus]]=1,IF(SUMPRODUCT((ES_2[STN]=ES_2[[#This Row],[STN]])*(ES_2[Included Exp/Sus]=1)*(ROW(ES_2[STN])&lt;=ROW()))=1,1,0),0)</f>
        <v>0</v>
      </c>
      <c r="N119" s="1" t="str">
        <f>_xlfn.XLOOKUP(ES_2[[#This Row],[STN]],SE_2[STN],SE_2[Ethnicity],"",0)</f>
        <v/>
      </c>
    </row>
    <row r="120" spans="1:14" ht="14.45">
      <c r="A120" s="1">
        <v>22912476</v>
      </c>
      <c r="B120" s="1">
        <v>5</v>
      </c>
      <c r="C120" s="2">
        <v>2</v>
      </c>
      <c r="D120" s="1" t="s">
        <v>31</v>
      </c>
      <c r="E120" s="2">
        <v>2</v>
      </c>
      <c r="F120" s="1" t="s">
        <v>33</v>
      </c>
      <c r="G120" s="2">
        <v>5</v>
      </c>
      <c r="H120" s="1" t="s">
        <v>29</v>
      </c>
      <c r="I120" s="1">
        <f>SUMIFS(ES_2[LENGTH_EX_SU],ES_2[STN],ES_2[[#This Row],[STN]],ES_2[DISCIPLINE_TYPE],"Out-of-School Suspension")+SUMIFS(ES_2[LENGTH_EX_SU],ES_2[STN],ES_2[[#This Row],[STN]],ES_2[DISCIPLINE_TYPE],"Expulsion")</f>
        <v>10</v>
      </c>
      <c r="J120" s="1">
        <f>IF(ES_2[[#This Row],[Count Exp/Sus]]&gt;10,1,0)</f>
        <v>0</v>
      </c>
      <c r="K120" s="1">
        <f t="shared" si="3"/>
        <v>0</v>
      </c>
      <c r="L120" s="1">
        <f>IF(J120=1,IF(COUNTIFS($A$3:A120,A120,$J$3:J120,1)=1,A120&amp;"-included",0),0)</f>
        <v>0</v>
      </c>
      <c r="M120" s="1" cm="1">
        <f t="array" ref="M120">IF(ES_2[[#This Row],[Included Exp/Sus]]=1,IF(SUMPRODUCT((ES_2[STN]=ES_2[[#This Row],[STN]])*(ES_2[Included Exp/Sus]=1)*(ROW(ES_2[STN])&lt;=ROW()))=1,1,0),0)</f>
        <v>0</v>
      </c>
      <c r="N120" s="1" t="str">
        <f>_xlfn.XLOOKUP(ES_2[[#This Row],[STN]],SE_2[STN],SE_2[Ethnicity],"",0)</f>
        <v/>
      </c>
    </row>
    <row r="121" spans="1:14" ht="14.45">
      <c r="A121" s="1">
        <v>22913061</v>
      </c>
      <c r="B121" s="1" t="s">
        <v>41</v>
      </c>
      <c r="C121" s="2">
        <v>2</v>
      </c>
      <c r="D121" s="1" t="s">
        <v>31</v>
      </c>
      <c r="E121" s="2">
        <v>11</v>
      </c>
      <c r="F121" s="1" t="s">
        <v>36</v>
      </c>
      <c r="G121" s="2">
        <v>1</v>
      </c>
      <c r="H121" s="1" t="s">
        <v>26</v>
      </c>
      <c r="I121" s="1">
        <f>SUMIFS(ES_2[LENGTH_EX_SU],ES_2[STN],ES_2[[#This Row],[STN]],ES_2[DISCIPLINE_TYPE],"Out-of-School Suspension")+SUMIFS(ES_2[LENGTH_EX_SU],ES_2[STN],ES_2[[#This Row],[STN]],ES_2[DISCIPLINE_TYPE],"Expulsion")</f>
        <v>1</v>
      </c>
      <c r="J121" s="1">
        <f>IF(ES_2[[#This Row],[Count Exp/Sus]]&gt;10,1,0)</f>
        <v>0</v>
      </c>
      <c r="K121" s="1">
        <f t="shared" si="3"/>
        <v>0</v>
      </c>
      <c r="L121" s="1">
        <f>IF(J121=1,IF(COUNTIFS($A$3:A121,A121,$J$3:J121,1)=1,A121&amp;"-included",0),0)</f>
        <v>0</v>
      </c>
      <c r="M121" s="1" cm="1">
        <f t="array" ref="M121">IF(ES_2[[#This Row],[Included Exp/Sus]]=1,IF(SUMPRODUCT((ES_2[STN]=ES_2[[#This Row],[STN]])*(ES_2[Included Exp/Sus]=1)*(ROW(ES_2[STN])&lt;=ROW()))=1,1,0),0)</f>
        <v>0</v>
      </c>
      <c r="N121" s="1" t="str">
        <f>_xlfn.XLOOKUP(ES_2[[#This Row],[STN]],SE_2[STN],SE_2[Ethnicity],"",0)</f>
        <v>Black - African American</v>
      </c>
    </row>
    <row r="122" spans="1:14" ht="14.45">
      <c r="A122" s="1">
        <v>22913169</v>
      </c>
      <c r="B122" s="1" t="s">
        <v>41</v>
      </c>
      <c r="C122" s="2">
        <v>1</v>
      </c>
      <c r="D122" s="1" t="s">
        <v>24</v>
      </c>
      <c r="E122" s="2">
        <v>10</v>
      </c>
      <c r="F122" s="1" t="s">
        <v>25</v>
      </c>
      <c r="G122" s="2">
        <v>1</v>
      </c>
      <c r="H122" s="1" t="s">
        <v>26</v>
      </c>
      <c r="I122" s="1">
        <f>SUMIFS(ES_2[LENGTH_EX_SU],ES_2[STN],ES_2[[#This Row],[STN]],ES_2[DISCIPLINE_TYPE],"Out-of-School Suspension")+SUMIFS(ES_2[LENGTH_EX_SU],ES_2[STN],ES_2[[#This Row],[STN]],ES_2[DISCIPLINE_TYPE],"Expulsion")</f>
        <v>0</v>
      </c>
      <c r="J122" s="1">
        <f>IF(ES_2[[#This Row],[Count Exp/Sus]]&gt;10,1,0)</f>
        <v>0</v>
      </c>
      <c r="K122" s="1">
        <f t="shared" si="3"/>
        <v>0</v>
      </c>
      <c r="L122" s="1">
        <f>IF(J122=1,IF(COUNTIFS($A$3:A122,A122,$J$3:J122,1)=1,A122&amp;"-included",0),0)</f>
        <v>0</v>
      </c>
      <c r="M122" s="1" cm="1">
        <f t="array" ref="M122">IF(ES_2[[#This Row],[Included Exp/Sus]]=1,IF(SUMPRODUCT((ES_2[STN]=ES_2[[#This Row],[STN]])*(ES_2[Included Exp/Sus]=1)*(ROW(ES_2[STN])&lt;=ROW()))=1,1,0),0)</f>
        <v>0</v>
      </c>
      <c r="N122" s="1" t="str">
        <f>_xlfn.XLOOKUP(ES_2[[#This Row],[STN]],SE_2[STN],SE_2[Ethnicity],"",0)</f>
        <v>White</v>
      </c>
    </row>
    <row r="123" spans="1:14" ht="14.45">
      <c r="A123" s="1">
        <v>22913171</v>
      </c>
      <c r="B123" s="1">
        <v>1</v>
      </c>
      <c r="C123" s="2">
        <v>2</v>
      </c>
      <c r="D123" s="1" t="s">
        <v>31</v>
      </c>
      <c r="E123" s="2">
        <v>10</v>
      </c>
      <c r="F123" s="1" t="s">
        <v>25</v>
      </c>
      <c r="G123" s="2">
        <v>1</v>
      </c>
      <c r="H123" s="1" t="s">
        <v>29</v>
      </c>
      <c r="I123" s="1">
        <f>SUMIFS(ES_2[LENGTH_EX_SU],ES_2[STN],ES_2[[#This Row],[STN]],ES_2[DISCIPLINE_TYPE],"Out-of-School Suspension")+SUMIFS(ES_2[LENGTH_EX_SU],ES_2[STN],ES_2[[#This Row],[STN]],ES_2[DISCIPLINE_TYPE],"Expulsion")</f>
        <v>6</v>
      </c>
      <c r="J123" s="1">
        <f>IF(ES_2[[#This Row],[Count Exp/Sus]]&gt;10,1,0)</f>
        <v>0</v>
      </c>
      <c r="K123" s="1">
        <f t="shared" si="3"/>
        <v>0</v>
      </c>
      <c r="L123" s="1">
        <f>IF(J123=1,IF(COUNTIFS($A$3:A123,A123,$J$3:J123,1)=1,A123&amp;"-included",0),0)</f>
        <v>0</v>
      </c>
      <c r="M123" s="1" cm="1">
        <f t="array" ref="M123">IF(ES_2[[#This Row],[Included Exp/Sus]]=1,IF(SUMPRODUCT((ES_2[STN]=ES_2[[#This Row],[STN]])*(ES_2[Included Exp/Sus]=1)*(ROW(ES_2[STN])&lt;=ROW()))=1,1,0),0)</f>
        <v>0</v>
      </c>
      <c r="N123" s="1" t="str">
        <f>_xlfn.XLOOKUP(ES_2[[#This Row],[STN]],SE_2[STN],SE_2[Ethnicity],"",0)</f>
        <v/>
      </c>
    </row>
    <row r="124" spans="1:14" ht="14.45">
      <c r="A124" s="1">
        <v>22913171</v>
      </c>
      <c r="B124" s="1">
        <v>1</v>
      </c>
      <c r="C124" s="2">
        <v>1</v>
      </c>
      <c r="D124" s="1" t="s">
        <v>24</v>
      </c>
      <c r="E124" s="2">
        <v>10</v>
      </c>
      <c r="F124" s="1" t="s">
        <v>25</v>
      </c>
      <c r="G124" s="2">
        <v>1</v>
      </c>
      <c r="H124" s="1" t="s">
        <v>29</v>
      </c>
      <c r="I124" s="1">
        <f>SUMIFS(ES_2[LENGTH_EX_SU],ES_2[STN],ES_2[[#This Row],[STN]],ES_2[DISCIPLINE_TYPE],"Out-of-School Suspension")+SUMIFS(ES_2[LENGTH_EX_SU],ES_2[STN],ES_2[[#This Row],[STN]],ES_2[DISCIPLINE_TYPE],"Expulsion")</f>
        <v>6</v>
      </c>
      <c r="J124" s="1">
        <f>IF(ES_2[[#This Row],[Count Exp/Sus]]&gt;10,1,0)</f>
        <v>0</v>
      </c>
      <c r="K124" s="1">
        <f t="shared" si="3"/>
        <v>0</v>
      </c>
      <c r="L124" s="1">
        <f>IF(J124=1,IF(COUNTIFS($A$3:A124,A124,$J$3:J124,1)=1,A124&amp;"-included",0),0)</f>
        <v>0</v>
      </c>
      <c r="M124" s="1" cm="1">
        <f t="array" ref="M124">IF(ES_2[[#This Row],[Included Exp/Sus]]=1,IF(SUMPRODUCT((ES_2[STN]=ES_2[[#This Row],[STN]])*(ES_2[Included Exp/Sus]=1)*(ROW(ES_2[STN])&lt;=ROW()))=1,1,0),0)</f>
        <v>0</v>
      </c>
      <c r="N124" s="1" t="str">
        <f>_xlfn.XLOOKUP(ES_2[[#This Row],[STN]],SE_2[STN],SE_2[Ethnicity],"",0)</f>
        <v/>
      </c>
    </row>
    <row r="125" spans="1:14" ht="14.45">
      <c r="A125" s="1">
        <v>22913171</v>
      </c>
      <c r="B125" s="1">
        <v>8</v>
      </c>
      <c r="C125" s="2">
        <v>2</v>
      </c>
      <c r="D125" s="1" t="s">
        <v>31</v>
      </c>
      <c r="E125" s="2">
        <v>19</v>
      </c>
      <c r="F125" s="1" t="s">
        <v>37</v>
      </c>
      <c r="G125" s="2">
        <v>5</v>
      </c>
      <c r="H125" s="1" t="s">
        <v>29</v>
      </c>
      <c r="I125" s="1">
        <f>SUMIFS(ES_2[LENGTH_EX_SU],ES_2[STN],ES_2[[#This Row],[STN]],ES_2[DISCIPLINE_TYPE],"Out-of-School Suspension")+SUMIFS(ES_2[LENGTH_EX_SU],ES_2[STN],ES_2[[#This Row],[STN]],ES_2[DISCIPLINE_TYPE],"Expulsion")</f>
        <v>6</v>
      </c>
      <c r="J125" s="1">
        <f>IF(ES_2[[#This Row],[Count Exp/Sus]]&gt;10,1,0)</f>
        <v>0</v>
      </c>
      <c r="K125" s="1">
        <f t="shared" si="3"/>
        <v>0</v>
      </c>
      <c r="L125" s="1">
        <f>IF(J125=1,IF(COUNTIFS($A$3:A125,A125,$J$3:J125,1)=1,A125&amp;"-included",0),0)</f>
        <v>0</v>
      </c>
      <c r="M125" s="1" cm="1">
        <f t="array" ref="M125">IF(ES_2[[#This Row],[Included Exp/Sus]]=1,IF(SUMPRODUCT((ES_2[STN]=ES_2[[#This Row],[STN]])*(ES_2[Included Exp/Sus]=1)*(ROW(ES_2[STN])&lt;=ROW()))=1,1,0),0)</f>
        <v>0</v>
      </c>
      <c r="N125" s="1" t="str">
        <f>_xlfn.XLOOKUP(ES_2[[#This Row],[STN]],SE_2[STN],SE_2[Ethnicity],"",0)</f>
        <v/>
      </c>
    </row>
    <row r="126" spans="1:14" ht="14.45">
      <c r="A126" s="1">
        <v>22913229</v>
      </c>
      <c r="B126" s="1">
        <v>1</v>
      </c>
      <c r="C126" s="18">
        <v>2</v>
      </c>
      <c r="D126" s="1" t="s">
        <v>31</v>
      </c>
      <c r="E126" s="2">
        <v>11</v>
      </c>
      <c r="F126" s="1" t="s">
        <v>36</v>
      </c>
      <c r="G126" s="2">
        <v>1</v>
      </c>
      <c r="H126" s="1" t="s">
        <v>26</v>
      </c>
      <c r="I126" s="1">
        <f>SUMIFS(ES_2[LENGTH_EX_SU],ES_2[STN],ES_2[[#This Row],[STN]],ES_2[DISCIPLINE_TYPE],"Out-of-School Suspension")+SUMIFS(ES_2[LENGTH_EX_SU],ES_2[STN],ES_2[[#This Row],[STN]],ES_2[DISCIPLINE_TYPE],"Expulsion")</f>
        <v>2</v>
      </c>
      <c r="J126" s="1">
        <f>IF(ES_2[[#This Row],[Count Exp/Sus]]&gt;10,1,0)</f>
        <v>0</v>
      </c>
      <c r="K126" s="1">
        <f t="shared" si="3"/>
        <v>0</v>
      </c>
      <c r="L126" s="1">
        <f>IF(J126=1,IF(COUNTIFS($A$3:A126,A126,$J$3:J126,1)=1,A126&amp;"-included",0),0)</f>
        <v>0</v>
      </c>
      <c r="M126" s="1" cm="1">
        <f t="array" ref="M126">IF(ES_2[[#This Row],[Included Exp/Sus]]=1,IF(SUMPRODUCT((ES_2[STN]=ES_2[[#This Row],[STN]])*(ES_2[Included Exp/Sus]=1)*(ROW(ES_2[STN])&lt;=ROW()))=1,1,0),0)</f>
        <v>0</v>
      </c>
      <c r="N126" s="1" t="str">
        <f>_xlfn.XLOOKUP(ES_2[[#This Row],[STN]],SE_2[STN],SE_2[Ethnicity],"",0)</f>
        <v>White</v>
      </c>
    </row>
    <row r="127" spans="1:14" ht="14.45">
      <c r="A127" s="1">
        <v>22913229</v>
      </c>
      <c r="B127" s="1">
        <v>1</v>
      </c>
      <c r="C127" s="2">
        <v>2</v>
      </c>
      <c r="D127" s="1" t="s">
        <v>31</v>
      </c>
      <c r="E127" s="2">
        <v>10</v>
      </c>
      <c r="F127" s="1" t="s">
        <v>25</v>
      </c>
      <c r="G127" s="11">
        <v>1</v>
      </c>
      <c r="H127" s="1" t="s">
        <v>26</v>
      </c>
      <c r="I127" s="1">
        <f>SUMIFS(ES_2[LENGTH_EX_SU],ES_2[STN],ES_2[[#This Row],[STN]],ES_2[DISCIPLINE_TYPE],"Out-of-School Suspension")+SUMIFS(ES_2[LENGTH_EX_SU],ES_2[STN],ES_2[[#This Row],[STN]],ES_2[DISCIPLINE_TYPE],"Expulsion")</f>
        <v>2</v>
      </c>
      <c r="J127" s="1">
        <f>IF(ES_2[[#This Row],[Count Exp/Sus]]&gt;10,1,0)</f>
        <v>0</v>
      </c>
      <c r="K127" s="1">
        <f t="shared" si="3"/>
        <v>0</v>
      </c>
      <c r="L127" s="1">
        <f>IF(J127=1,IF(COUNTIFS($A$3:A127,A127,$J$3:J127,1)=1,A127&amp;"-included",0),0)</f>
        <v>0</v>
      </c>
      <c r="M127" s="1" cm="1">
        <f t="array" ref="M127">IF(ES_2[[#This Row],[Included Exp/Sus]]=1,IF(SUMPRODUCT((ES_2[STN]=ES_2[[#This Row],[STN]])*(ES_2[Included Exp/Sus]=1)*(ROW(ES_2[STN])&lt;=ROW()))=1,1,0),0)</f>
        <v>0</v>
      </c>
      <c r="N127" s="1" t="str">
        <f>_xlfn.XLOOKUP(ES_2[[#This Row],[STN]],SE_2[STN],SE_2[Ethnicity],"",0)</f>
        <v>White</v>
      </c>
    </row>
    <row r="128" spans="1:14" ht="14.45">
      <c r="A128" s="1">
        <v>22913229</v>
      </c>
      <c r="B128" s="1">
        <v>1</v>
      </c>
      <c r="C128" s="2">
        <v>1</v>
      </c>
      <c r="D128" s="1" t="s">
        <v>24</v>
      </c>
      <c r="E128" s="2">
        <v>10</v>
      </c>
      <c r="F128" s="1" t="s">
        <v>25</v>
      </c>
      <c r="G128" s="11">
        <v>1</v>
      </c>
      <c r="H128" s="1" t="s">
        <v>26</v>
      </c>
      <c r="I128" s="1">
        <f>SUMIFS(ES_2[LENGTH_EX_SU],ES_2[STN],ES_2[[#This Row],[STN]],ES_2[DISCIPLINE_TYPE],"Out-of-School Suspension")+SUMIFS(ES_2[LENGTH_EX_SU],ES_2[STN],ES_2[[#This Row],[STN]],ES_2[DISCIPLINE_TYPE],"Expulsion")</f>
        <v>2</v>
      </c>
      <c r="J128" s="1">
        <f>IF(ES_2[[#This Row],[Count Exp/Sus]]&gt;10,1,0)</f>
        <v>0</v>
      </c>
      <c r="K128" s="1">
        <f t="shared" si="3"/>
        <v>0</v>
      </c>
      <c r="L128" s="1">
        <f>IF(J128=1,IF(COUNTIFS($A$3:A128,A128,$J$3:J128,1)=1,A128&amp;"-included",0),0)</f>
        <v>0</v>
      </c>
      <c r="M128" s="1" cm="1">
        <f t="array" ref="M128">IF(ES_2[[#This Row],[Included Exp/Sus]]=1,IF(SUMPRODUCT((ES_2[STN]=ES_2[[#This Row],[STN]])*(ES_2[Included Exp/Sus]=1)*(ROW(ES_2[STN])&lt;=ROW()))=1,1,0),0)</f>
        <v>0</v>
      </c>
      <c r="N128" s="1" t="str">
        <f>_xlfn.XLOOKUP(ES_2[[#This Row],[STN]],SE_2[STN],SE_2[Ethnicity],"",0)</f>
        <v>White</v>
      </c>
    </row>
    <row r="129" spans="1:14" ht="14.45">
      <c r="A129" s="1">
        <v>22913244</v>
      </c>
      <c r="B129" s="1" t="s">
        <v>43</v>
      </c>
      <c r="C129" s="2">
        <v>2</v>
      </c>
      <c r="D129" s="1" t="s">
        <v>31</v>
      </c>
      <c r="E129" s="2">
        <v>11</v>
      </c>
      <c r="F129" s="1" t="s">
        <v>36</v>
      </c>
      <c r="G129" s="2">
        <v>1</v>
      </c>
      <c r="H129" s="1" t="s">
        <v>29</v>
      </c>
      <c r="I129" s="1">
        <f>SUMIFS(ES_2[LENGTH_EX_SU],ES_2[STN],ES_2[[#This Row],[STN]],ES_2[DISCIPLINE_TYPE],"Out-of-School Suspension")+SUMIFS(ES_2[LENGTH_EX_SU],ES_2[STN],ES_2[[#This Row],[STN]],ES_2[DISCIPLINE_TYPE],"Expulsion")</f>
        <v>1</v>
      </c>
      <c r="J129" s="1">
        <f>IF(ES_2[[#This Row],[Count Exp/Sus]]&gt;10,1,0)</f>
        <v>0</v>
      </c>
      <c r="K129" s="1">
        <f t="shared" si="3"/>
        <v>0</v>
      </c>
      <c r="L129" s="1">
        <f>IF(J129=1,IF(COUNTIFS($A$3:A129,A129,$J$3:J129,1)=1,A129&amp;"-included",0),0)</f>
        <v>0</v>
      </c>
      <c r="M129" s="1" cm="1">
        <f t="array" ref="M129">IF(ES_2[[#This Row],[Included Exp/Sus]]=1,IF(SUMPRODUCT((ES_2[STN]=ES_2[[#This Row],[STN]])*(ES_2[Included Exp/Sus]=1)*(ROW(ES_2[STN])&lt;=ROW()))=1,1,0),0)</f>
        <v>0</v>
      </c>
      <c r="N129" s="1" t="str">
        <f>_xlfn.XLOOKUP(ES_2[[#This Row],[STN]],SE_2[STN],SE_2[Ethnicity],"",0)</f>
        <v/>
      </c>
    </row>
    <row r="130" spans="1:14" ht="14.45">
      <c r="A130" s="1">
        <v>22913292</v>
      </c>
      <c r="B130" s="1">
        <v>4</v>
      </c>
      <c r="C130" s="2">
        <v>2</v>
      </c>
      <c r="D130" s="1" t="s">
        <v>31</v>
      </c>
      <c r="E130" s="2">
        <v>11</v>
      </c>
      <c r="F130" s="1" t="s">
        <v>36</v>
      </c>
      <c r="G130" s="2">
        <v>1</v>
      </c>
      <c r="H130" s="1" t="s">
        <v>26</v>
      </c>
      <c r="I130" s="1">
        <f>SUMIFS(ES_2[LENGTH_EX_SU],ES_2[STN],ES_2[[#This Row],[STN]],ES_2[DISCIPLINE_TYPE],"Out-of-School Suspension")+SUMIFS(ES_2[LENGTH_EX_SU],ES_2[STN],ES_2[[#This Row],[STN]],ES_2[DISCIPLINE_TYPE],"Expulsion")</f>
        <v>5</v>
      </c>
      <c r="J130" s="1">
        <f>IF(ES_2[[#This Row],[Count Exp/Sus]]&gt;10,1,0)</f>
        <v>0</v>
      </c>
      <c r="K130" s="1">
        <f t="shared" si="3"/>
        <v>0</v>
      </c>
      <c r="L130" s="1">
        <f>IF(J130=1,IF(COUNTIFS($A$3:A130,A130,$J$3:J130,1)=1,A130&amp;"-included",0),0)</f>
        <v>0</v>
      </c>
      <c r="M130" s="1" cm="1">
        <f t="array" ref="M130">IF(ES_2[[#This Row],[Included Exp/Sus]]=1,IF(SUMPRODUCT((ES_2[STN]=ES_2[[#This Row],[STN]])*(ES_2[Included Exp/Sus]=1)*(ROW(ES_2[STN])&lt;=ROW()))=1,1,0),0)</f>
        <v>0</v>
      </c>
      <c r="N130" s="1" t="str">
        <f>_xlfn.XLOOKUP(ES_2[[#This Row],[STN]],SE_2[STN],SE_2[Ethnicity],"",0)</f>
        <v>White</v>
      </c>
    </row>
    <row r="131" spans="1:14" ht="14.45">
      <c r="A131" s="1">
        <v>22913292</v>
      </c>
      <c r="B131" s="1">
        <v>4</v>
      </c>
      <c r="C131" s="2">
        <v>2</v>
      </c>
      <c r="D131" s="1" t="s">
        <v>31</v>
      </c>
      <c r="E131" s="2">
        <v>11</v>
      </c>
      <c r="F131" s="1" t="s">
        <v>36</v>
      </c>
      <c r="G131" s="2">
        <v>1</v>
      </c>
      <c r="H131" s="1" t="s">
        <v>26</v>
      </c>
      <c r="I131" s="1">
        <f>SUMIFS(ES_2[LENGTH_EX_SU],ES_2[STN],ES_2[[#This Row],[STN]],ES_2[DISCIPLINE_TYPE],"Out-of-School Suspension")+SUMIFS(ES_2[LENGTH_EX_SU],ES_2[STN],ES_2[[#This Row],[STN]],ES_2[DISCIPLINE_TYPE],"Expulsion")</f>
        <v>5</v>
      </c>
      <c r="J131" s="1">
        <f>IF(ES_2[[#This Row],[Count Exp/Sus]]&gt;10,1,0)</f>
        <v>0</v>
      </c>
      <c r="K131" s="1">
        <f t="shared" ref="K131:K162" si="4">IF(J131=1,A131 &amp;"-included",0)</f>
        <v>0</v>
      </c>
      <c r="L131" s="1">
        <f>IF(J131=1,IF(COUNTIFS($A$3:A131,A131,$J$3:J131,1)=1,A131&amp;"-included",0),0)</f>
        <v>0</v>
      </c>
      <c r="M131" s="1" cm="1">
        <f t="array" ref="M131">IF(ES_2[[#This Row],[Included Exp/Sus]]=1,IF(SUMPRODUCT((ES_2[STN]=ES_2[[#This Row],[STN]])*(ES_2[Included Exp/Sus]=1)*(ROW(ES_2[STN])&lt;=ROW()))=1,1,0),0)</f>
        <v>0</v>
      </c>
      <c r="N131" s="1" t="str">
        <f>_xlfn.XLOOKUP(ES_2[[#This Row],[STN]],SE_2[STN],SE_2[Ethnicity],"",0)</f>
        <v>White</v>
      </c>
    </row>
    <row r="132" spans="1:14" ht="14.45">
      <c r="A132" s="1">
        <v>22913292</v>
      </c>
      <c r="B132" s="1">
        <v>2</v>
      </c>
      <c r="C132" s="2">
        <v>2</v>
      </c>
      <c r="D132" s="1" t="s">
        <v>31</v>
      </c>
      <c r="E132" s="2">
        <v>15</v>
      </c>
      <c r="F132" s="1" t="s">
        <v>27</v>
      </c>
      <c r="G132" s="2">
        <v>1</v>
      </c>
      <c r="H132" s="1" t="s">
        <v>26</v>
      </c>
      <c r="I132" s="1">
        <f>SUMIFS(ES_2[LENGTH_EX_SU],ES_2[STN],ES_2[[#This Row],[STN]],ES_2[DISCIPLINE_TYPE],"Out-of-School Suspension")+SUMIFS(ES_2[LENGTH_EX_SU],ES_2[STN],ES_2[[#This Row],[STN]],ES_2[DISCIPLINE_TYPE],"Expulsion")</f>
        <v>5</v>
      </c>
      <c r="J132" s="1">
        <f>IF(ES_2[[#This Row],[Count Exp/Sus]]&gt;10,1,0)</f>
        <v>0</v>
      </c>
      <c r="K132" s="1">
        <f t="shared" si="4"/>
        <v>0</v>
      </c>
      <c r="L132" s="1">
        <f>IF(J132=1,IF(COUNTIFS($A$3:A132,A132,$J$3:J132,1)=1,A132&amp;"-included",0),0)</f>
        <v>0</v>
      </c>
      <c r="M132" s="1" cm="1">
        <f t="array" ref="M132">IF(ES_2[[#This Row],[Included Exp/Sus]]=1,IF(SUMPRODUCT((ES_2[STN]=ES_2[[#This Row],[STN]])*(ES_2[Included Exp/Sus]=1)*(ROW(ES_2[STN])&lt;=ROW()))=1,1,0),0)</f>
        <v>0</v>
      </c>
      <c r="N132" s="1" t="str">
        <f>_xlfn.XLOOKUP(ES_2[[#This Row],[STN]],SE_2[STN],SE_2[Ethnicity],"",0)</f>
        <v>White</v>
      </c>
    </row>
    <row r="133" spans="1:14" ht="14.45">
      <c r="A133" s="1">
        <v>22913292</v>
      </c>
      <c r="B133" s="1">
        <v>5</v>
      </c>
      <c r="C133" s="2">
        <v>2</v>
      </c>
      <c r="D133" s="1" t="s">
        <v>31</v>
      </c>
      <c r="E133" s="2">
        <v>11</v>
      </c>
      <c r="F133" s="1" t="s">
        <v>36</v>
      </c>
      <c r="G133" s="2">
        <v>2</v>
      </c>
      <c r="H133" s="1" t="s">
        <v>26</v>
      </c>
      <c r="I133" s="1">
        <f>SUMIFS(ES_2[LENGTH_EX_SU],ES_2[STN],ES_2[[#This Row],[STN]],ES_2[DISCIPLINE_TYPE],"Out-of-School Suspension")+SUMIFS(ES_2[LENGTH_EX_SU],ES_2[STN],ES_2[[#This Row],[STN]],ES_2[DISCIPLINE_TYPE],"Expulsion")</f>
        <v>5</v>
      </c>
      <c r="J133" s="1">
        <f>IF(ES_2[[#This Row],[Count Exp/Sus]]&gt;10,1,0)</f>
        <v>0</v>
      </c>
      <c r="K133" s="1">
        <f t="shared" si="4"/>
        <v>0</v>
      </c>
      <c r="L133" s="1">
        <f>IF(J133=1,IF(COUNTIFS($A$3:A133,A133,$J$3:J133,1)=1,A133&amp;"-included",0),0)</f>
        <v>0</v>
      </c>
      <c r="M133" s="1" cm="1">
        <f t="array" ref="M133">IF(ES_2[[#This Row],[Included Exp/Sus]]=1,IF(SUMPRODUCT((ES_2[STN]=ES_2[[#This Row],[STN]])*(ES_2[Included Exp/Sus]=1)*(ROW(ES_2[STN])&lt;=ROW()))=1,1,0),0)</f>
        <v>0</v>
      </c>
      <c r="N133" s="1" t="str">
        <f>_xlfn.XLOOKUP(ES_2[[#This Row],[STN]],SE_2[STN],SE_2[Ethnicity],"",0)</f>
        <v>White</v>
      </c>
    </row>
    <row r="134" spans="1:14" ht="14.45">
      <c r="A134" s="1">
        <v>22913292</v>
      </c>
      <c r="B134" s="1" t="s">
        <v>41</v>
      </c>
      <c r="C134" s="2">
        <v>1</v>
      </c>
      <c r="D134" s="1" t="s">
        <v>24</v>
      </c>
      <c r="E134" s="2">
        <v>10</v>
      </c>
      <c r="F134" s="1" t="s">
        <v>25</v>
      </c>
      <c r="G134" s="2">
        <v>1</v>
      </c>
      <c r="H134" s="1" t="s">
        <v>26</v>
      </c>
      <c r="I134" s="1">
        <f>SUMIFS(ES_2[LENGTH_EX_SU],ES_2[STN],ES_2[[#This Row],[STN]],ES_2[DISCIPLINE_TYPE],"Out-of-School Suspension")+SUMIFS(ES_2[LENGTH_EX_SU],ES_2[STN],ES_2[[#This Row],[STN]],ES_2[DISCIPLINE_TYPE],"Expulsion")</f>
        <v>5</v>
      </c>
      <c r="J134" s="1">
        <f>IF(ES_2[[#This Row],[Count Exp/Sus]]&gt;10,1,0)</f>
        <v>0</v>
      </c>
      <c r="K134" s="1">
        <f t="shared" si="4"/>
        <v>0</v>
      </c>
      <c r="L134" s="1">
        <f>IF(J134=1,IF(COUNTIFS($A$3:A134,A134,$J$3:J134,1)=1,A134&amp;"-included",0),0)</f>
        <v>0</v>
      </c>
      <c r="M134" s="1" cm="1">
        <f t="array" ref="M134">IF(ES_2[[#This Row],[Included Exp/Sus]]=1,IF(SUMPRODUCT((ES_2[STN]=ES_2[[#This Row],[STN]])*(ES_2[Included Exp/Sus]=1)*(ROW(ES_2[STN])&lt;=ROW()))=1,1,0),0)</f>
        <v>0</v>
      </c>
      <c r="N134" s="1" t="str">
        <f>_xlfn.XLOOKUP(ES_2[[#This Row],[STN]],SE_2[STN],SE_2[Ethnicity],"",0)</f>
        <v>White</v>
      </c>
    </row>
    <row r="135" spans="1:14" ht="14.45">
      <c r="A135" s="1">
        <v>22913406</v>
      </c>
      <c r="B135" s="1">
        <v>5</v>
      </c>
      <c r="C135" s="2">
        <v>2</v>
      </c>
      <c r="D135" s="1" t="s">
        <v>31</v>
      </c>
      <c r="E135" s="2">
        <v>11</v>
      </c>
      <c r="F135" s="1" t="s">
        <v>36</v>
      </c>
      <c r="G135" s="2">
        <v>3</v>
      </c>
      <c r="H135" s="1" t="s">
        <v>29</v>
      </c>
      <c r="I135" s="1">
        <f>SUMIFS(ES_2[LENGTH_EX_SU],ES_2[STN],ES_2[[#This Row],[STN]],ES_2[DISCIPLINE_TYPE],"Out-of-School Suspension")+SUMIFS(ES_2[LENGTH_EX_SU],ES_2[STN],ES_2[[#This Row],[STN]],ES_2[DISCIPLINE_TYPE],"Expulsion")</f>
        <v>4</v>
      </c>
      <c r="J135" s="1">
        <f>IF(ES_2[[#This Row],[Count Exp/Sus]]&gt;10,1,0)</f>
        <v>0</v>
      </c>
      <c r="K135" s="1">
        <f t="shared" si="4"/>
        <v>0</v>
      </c>
      <c r="L135" s="1">
        <f>IF(J135=1,IF(COUNTIFS($A$3:A135,A135,$J$3:J135,1)=1,A135&amp;"-included",0),0)</f>
        <v>0</v>
      </c>
      <c r="M135" s="1" cm="1">
        <f t="array" ref="M135">IF(ES_2[[#This Row],[Included Exp/Sus]]=1,IF(SUMPRODUCT((ES_2[STN]=ES_2[[#This Row],[STN]])*(ES_2[Included Exp/Sus]=1)*(ROW(ES_2[STN])&lt;=ROW()))=1,1,0),0)</f>
        <v>0</v>
      </c>
      <c r="N135" s="1" t="str">
        <f>_xlfn.XLOOKUP(ES_2[[#This Row],[STN]],SE_2[STN],SE_2[Ethnicity],"",0)</f>
        <v>White</v>
      </c>
    </row>
    <row r="136" spans="1:14" ht="14.45">
      <c r="A136" s="1">
        <v>22913406</v>
      </c>
      <c r="B136" s="1">
        <v>9</v>
      </c>
      <c r="C136" s="2">
        <v>2</v>
      </c>
      <c r="D136" s="1" t="s">
        <v>31</v>
      </c>
      <c r="E136" s="2">
        <v>14</v>
      </c>
      <c r="F136" s="1" t="s">
        <v>32</v>
      </c>
      <c r="G136" s="2">
        <v>1</v>
      </c>
      <c r="H136" s="1" t="s">
        <v>26</v>
      </c>
      <c r="I136" s="1">
        <f>SUMIFS(ES_2[LENGTH_EX_SU],ES_2[STN],ES_2[[#This Row],[STN]],ES_2[DISCIPLINE_TYPE],"Out-of-School Suspension")+SUMIFS(ES_2[LENGTH_EX_SU],ES_2[STN],ES_2[[#This Row],[STN]],ES_2[DISCIPLINE_TYPE],"Expulsion")</f>
        <v>4</v>
      </c>
      <c r="J136" s="1">
        <f>IF(ES_2[[#This Row],[Count Exp/Sus]]&gt;10,1,0)</f>
        <v>0</v>
      </c>
      <c r="K136" s="1">
        <f t="shared" si="4"/>
        <v>0</v>
      </c>
      <c r="L136" s="1">
        <f>IF(J136=1,IF(COUNTIFS($A$3:A136,A136,$J$3:J136,1)=1,A136&amp;"-included",0),0)</f>
        <v>0</v>
      </c>
      <c r="M136" s="1" cm="1">
        <f t="array" ref="M136">IF(ES_2[[#This Row],[Included Exp/Sus]]=1,IF(SUMPRODUCT((ES_2[STN]=ES_2[[#This Row],[STN]])*(ES_2[Included Exp/Sus]=1)*(ROW(ES_2[STN])&lt;=ROW()))=1,1,0),0)</f>
        <v>0</v>
      </c>
      <c r="N136" s="1" t="str">
        <f>_xlfn.XLOOKUP(ES_2[[#This Row],[STN]],SE_2[STN],SE_2[Ethnicity],"",0)</f>
        <v>White</v>
      </c>
    </row>
    <row r="137" spans="1:14" ht="14.45">
      <c r="A137" s="1">
        <v>22914003</v>
      </c>
      <c r="B137" s="1">
        <v>5</v>
      </c>
      <c r="C137" s="2">
        <v>1</v>
      </c>
      <c r="D137" s="1" t="s">
        <v>24</v>
      </c>
      <c r="E137" s="2">
        <v>11</v>
      </c>
      <c r="F137" s="1" t="s">
        <v>36</v>
      </c>
      <c r="G137" s="2">
        <v>1</v>
      </c>
      <c r="H137" s="1" t="s">
        <v>26</v>
      </c>
      <c r="I137" s="1">
        <f>SUMIFS(ES_2[LENGTH_EX_SU],ES_2[STN],ES_2[[#This Row],[STN]],ES_2[DISCIPLINE_TYPE],"Out-of-School Suspension")+SUMIFS(ES_2[LENGTH_EX_SU],ES_2[STN],ES_2[[#This Row],[STN]],ES_2[DISCIPLINE_TYPE],"Expulsion")</f>
        <v>0</v>
      </c>
      <c r="J137" s="1">
        <f>IF(ES_2[[#This Row],[Count Exp/Sus]]&gt;10,1,0)</f>
        <v>0</v>
      </c>
      <c r="K137" s="1">
        <f t="shared" si="4"/>
        <v>0</v>
      </c>
      <c r="L137" s="1">
        <f>IF(J137=1,IF(COUNTIFS($A$3:A137,A137,$J$3:J137,1)=1,A137&amp;"-included",0),0)</f>
        <v>0</v>
      </c>
      <c r="M137" s="1" cm="1">
        <f t="array" ref="M137">IF(ES_2[[#This Row],[Included Exp/Sus]]=1,IF(SUMPRODUCT((ES_2[STN]=ES_2[[#This Row],[STN]])*(ES_2[Included Exp/Sus]=1)*(ROW(ES_2[STN])&lt;=ROW()))=1,1,0),0)</f>
        <v>0</v>
      </c>
      <c r="N137" s="1" t="str">
        <f>_xlfn.XLOOKUP(ES_2[[#This Row],[STN]],SE_2[STN],SE_2[Ethnicity],"",0)</f>
        <v>White</v>
      </c>
    </row>
    <row r="138" spans="1:14" ht="14.45">
      <c r="A138" s="1">
        <v>22914021</v>
      </c>
      <c r="B138" s="1">
        <v>5</v>
      </c>
      <c r="C138" s="2">
        <v>1</v>
      </c>
      <c r="D138" s="1" t="s">
        <v>24</v>
      </c>
      <c r="E138" s="2">
        <v>10</v>
      </c>
      <c r="F138" s="1" t="s">
        <v>25</v>
      </c>
      <c r="G138" s="2">
        <v>1</v>
      </c>
      <c r="H138" s="1" t="s">
        <v>29</v>
      </c>
      <c r="I138" s="1">
        <f>SUMIFS(ES_2[LENGTH_EX_SU],ES_2[STN],ES_2[[#This Row],[STN]],ES_2[DISCIPLINE_TYPE],"Out-of-School Suspension")+SUMIFS(ES_2[LENGTH_EX_SU],ES_2[STN],ES_2[[#This Row],[STN]],ES_2[DISCIPLINE_TYPE],"Expulsion")</f>
        <v>0</v>
      </c>
      <c r="J138" s="1">
        <f>IF(ES_2[[#This Row],[Count Exp/Sus]]&gt;10,1,0)</f>
        <v>0</v>
      </c>
      <c r="K138" s="1">
        <f t="shared" si="4"/>
        <v>0</v>
      </c>
      <c r="L138" s="1">
        <f>IF(J138=1,IF(COUNTIFS($A$3:A138,A138,$J$3:J138,1)=1,A138&amp;"-included",0),0)</f>
        <v>0</v>
      </c>
      <c r="M138" s="1" cm="1">
        <f t="array" ref="M138">IF(ES_2[[#This Row],[Included Exp/Sus]]=1,IF(SUMPRODUCT((ES_2[STN]=ES_2[[#This Row],[STN]])*(ES_2[Included Exp/Sus]=1)*(ROW(ES_2[STN])&lt;=ROW()))=1,1,0),0)</f>
        <v>0</v>
      </c>
      <c r="N138" s="1" t="str">
        <f>_xlfn.XLOOKUP(ES_2[[#This Row],[STN]],SE_2[STN],SE_2[Ethnicity],"",0)</f>
        <v/>
      </c>
    </row>
    <row r="139" spans="1:14" ht="14.45">
      <c r="A139" s="1">
        <v>22914091</v>
      </c>
      <c r="B139" s="1">
        <v>1</v>
      </c>
      <c r="C139" s="2">
        <v>1</v>
      </c>
      <c r="D139" s="1" t="s">
        <v>24</v>
      </c>
      <c r="E139" s="2">
        <v>11</v>
      </c>
      <c r="F139" s="1" t="s">
        <v>36</v>
      </c>
      <c r="G139" s="11">
        <v>1</v>
      </c>
      <c r="H139" s="1" t="s">
        <v>26</v>
      </c>
      <c r="I139" s="1">
        <f>SUMIFS(ES_2[LENGTH_EX_SU],ES_2[STN],ES_2[[#This Row],[STN]],ES_2[DISCIPLINE_TYPE],"Out-of-School Suspension")+SUMIFS(ES_2[LENGTH_EX_SU],ES_2[STN],ES_2[[#This Row],[STN]],ES_2[DISCIPLINE_TYPE],"Expulsion")</f>
        <v>0</v>
      </c>
      <c r="J139" s="1">
        <f>IF(ES_2[[#This Row],[Count Exp/Sus]]&gt;10,1,0)</f>
        <v>0</v>
      </c>
      <c r="K139" s="1">
        <f t="shared" si="4"/>
        <v>0</v>
      </c>
      <c r="L139" s="1">
        <f>IF(J139=1,IF(COUNTIFS($A$3:A139,A139,$J$3:J139,1)=1,A139&amp;"-included",0),0)</f>
        <v>0</v>
      </c>
      <c r="M139" s="1" cm="1">
        <f t="array" ref="M139">IF(ES_2[[#This Row],[Included Exp/Sus]]=1,IF(SUMPRODUCT((ES_2[STN]=ES_2[[#This Row],[STN]])*(ES_2[Included Exp/Sus]=1)*(ROW(ES_2[STN])&lt;=ROW()))=1,1,0),0)</f>
        <v>0</v>
      </c>
      <c r="N139" s="1" t="str">
        <f>_xlfn.XLOOKUP(ES_2[[#This Row],[STN]],SE_2[STN],SE_2[Ethnicity],"",0)</f>
        <v>Black - African American</v>
      </c>
    </row>
    <row r="140" spans="1:14" ht="14.45">
      <c r="A140" s="1">
        <v>22914100</v>
      </c>
      <c r="B140" s="1">
        <v>5</v>
      </c>
      <c r="C140" s="2">
        <v>2</v>
      </c>
      <c r="D140" s="1" t="s">
        <v>31</v>
      </c>
      <c r="E140" s="2">
        <v>15</v>
      </c>
      <c r="F140" s="1" t="s">
        <v>27</v>
      </c>
      <c r="G140" s="2">
        <v>2</v>
      </c>
      <c r="H140" s="1" t="s">
        <v>29</v>
      </c>
      <c r="I140" s="1">
        <f>SUMIFS(ES_2[LENGTH_EX_SU],ES_2[STN],ES_2[[#This Row],[STN]],ES_2[DISCIPLINE_TYPE],"Out-of-School Suspension")+SUMIFS(ES_2[LENGTH_EX_SU],ES_2[STN],ES_2[[#This Row],[STN]],ES_2[DISCIPLINE_TYPE],"Expulsion")</f>
        <v>2</v>
      </c>
      <c r="J140" s="1">
        <f>IF(ES_2[[#This Row],[Count Exp/Sus]]&gt;10,1,0)</f>
        <v>0</v>
      </c>
      <c r="K140" s="1">
        <f t="shared" si="4"/>
        <v>0</v>
      </c>
      <c r="L140" s="1">
        <f>IF(J140=1,IF(COUNTIFS($A$3:A140,A140,$J$3:J140,1)=1,A140&amp;"-included",0),0)</f>
        <v>0</v>
      </c>
      <c r="M140" s="1" cm="1">
        <f t="array" ref="M140">IF(ES_2[[#This Row],[Included Exp/Sus]]=1,IF(SUMPRODUCT((ES_2[STN]=ES_2[[#This Row],[STN]])*(ES_2[Included Exp/Sus]=1)*(ROW(ES_2[STN])&lt;=ROW()))=1,1,0),0)</f>
        <v>0</v>
      </c>
      <c r="N140" s="1" t="str">
        <f>_xlfn.XLOOKUP(ES_2[[#This Row],[STN]],SE_2[STN],SE_2[Ethnicity],"",0)</f>
        <v/>
      </c>
    </row>
    <row r="141" spans="1:14" ht="14.45">
      <c r="A141" s="1">
        <v>22914131</v>
      </c>
      <c r="B141" s="1">
        <v>5</v>
      </c>
      <c r="C141" s="2">
        <v>1</v>
      </c>
      <c r="D141" s="1" t="s">
        <v>24</v>
      </c>
      <c r="E141" s="2">
        <v>14</v>
      </c>
      <c r="F141" s="1" t="s">
        <v>32</v>
      </c>
      <c r="G141" s="2">
        <v>1</v>
      </c>
      <c r="H141" s="1" t="s">
        <v>26</v>
      </c>
      <c r="I141" s="1">
        <f>SUMIFS(ES_2[LENGTH_EX_SU],ES_2[STN],ES_2[[#This Row],[STN]],ES_2[DISCIPLINE_TYPE],"Out-of-School Suspension")+SUMIFS(ES_2[LENGTH_EX_SU],ES_2[STN],ES_2[[#This Row],[STN]],ES_2[DISCIPLINE_TYPE],"Expulsion")</f>
        <v>0</v>
      </c>
      <c r="J141" s="1">
        <f>IF(ES_2[[#This Row],[Count Exp/Sus]]&gt;10,1,0)</f>
        <v>0</v>
      </c>
      <c r="K141" s="1">
        <f t="shared" si="4"/>
        <v>0</v>
      </c>
      <c r="L141" s="1">
        <f>IF(J141=1,IF(COUNTIFS($A$3:A141,A141,$J$3:J141,1)=1,A141&amp;"-included",0),0)</f>
        <v>0</v>
      </c>
      <c r="M141" s="1" cm="1">
        <f t="array" ref="M141">IF(ES_2[[#This Row],[Included Exp/Sus]]=1,IF(SUMPRODUCT((ES_2[STN]=ES_2[[#This Row],[STN]])*(ES_2[Included Exp/Sus]=1)*(ROW(ES_2[STN])&lt;=ROW()))=1,1,0),0)</f>
        <v>0</v>
      </c>
      <c r="N141" s="1" t="str">
        <f>_xlfn.XLOOKUP(ES_2[[#This Row],[STN]],SE_2[STN],SE_2[Ethnicity],"",0)</f>
        <v>White</v>
      </c>
    </row>
    <row r="142" spans="1:14" ht="14.45">
      <c r="A142" s="1">
        <v>22914150</v>
      </c>
      <c r="B142" s="1" t="s">
        <v>41</v>
      </c>
      <c r="C142" s="2">
        <v>2</v>
      </c>
      <c r="D142" s="1" t="s">
        <v>31</v>
      </c>
      <c r="E142" s="2">
        <v>11</v>
      </c>
      <c r="F142" s="1" t="s">
        <v>36</v>
      </c>
      <c r="G142" s="2">
        <v>1</v>
      </c>
      <c r="H142" s="1" t="s">
        <v>29</v>
      </c>
      <c r="I142" s="1">
        <f>SUMIFS(ES_2[LENGTH_EX_SU],ES_2[STN],ES_2[[#This Row],[STN]],ES_2[DISCIPLINE_TYPE],"Out-of-School Suspension")+SUMIFS(ES_2[LENGTH_EX_SU],ES_2[STN],ES_2[[#This Row],[STN]],ES_2[DISCIPLINE_TYPE],"Expulsion")</f>
        <v>1</v>
      </c>
      <c r="J142" s="1">
        <f>IF(ES_2[[#This Row],[Count Exp/Sus]]&gt;10,1,0)</f>
        <v>0</v>
      </c>
      <c r="K142" s="1">
        <f t="shared" si="4"/>
        <v>0</v>
      </c>
      <c r="L142" s="1">
        <f>IF(J142=1,IF(COUNTIFS($A$3:A142,A142,$J$3:J142,1)=1,A142&amp;"-included",0),0)</f>
        <v>0</v>
      </c>
      <c r="M142" s="1" cm="1">
        <f t="array" ref="M142">IF(ES_2[[#This Row],[Included Exp/Sus]]=1,IF(SUMPRODUCT((ES_2[STN]=ES_2[[#This Row],[STN]])*(ES_2[Included Exp/Sus]=1)*(ROW(ES_2[STN])&lt;=ROW()))=1,1,0),0)</f>
        <v>0</v>
      </c>
      <c r="N142" s="1" t="str">
        <f>_xlfn.XLOOKUP(ES_2[[#This Row],[STN]],SE_2[STN],SE_2[Ethnicity],"",0)</f>
        <v/>
      </c>
    </row>
    <row r="143" spans="1:14" ht="14.45">
      <c r="A143" s="1">
        <v>22914160</v>
      </c>
      <c r="B143" s="1">
        <v>1</v>
      </c>
      <c r="C143" s="2">
        <v>1</v>
      </c>
      <c r="D143" s="1" t="s">
        <v>24</v>
      </c>
      <c r="E143" s="2">
        <v>11</v>
      </c>
      <c r="F143" s="1" t="s">
        <v>36</v>
      </c>
      <c r="G143" s="2">
        <v>1</v>
      </c>
      <c r="H143" s="1" t="s">
        <v>29</v>
      </c>
      <c r="I143" s="1">
        <f>SUMIFS(ES_2[LENGTH_EX_SU],ES_2[STN],ES_2[[#This Row],[STN]],ES_2[DISCIPLINE_TYPE],"Out-of-School Suspension")+SUMIFS(ES_2[LENGTH_EX_SU],ES_2[STN],ES_2[[#This Row],[STN]],ES_2[DISCIPLINE_TYPE],"Expulsion")</f>
        <v>0</v>
      </c>
      <c r="J143" s="1">
        <f>IF(ES_2[[#This Row],[Count Exp/Sus]]&gt;10,1,0)</f>
        <v>0</v>
      </c>
      <c r="K143" s="1">
        <f t="shared" si="4"/>
        <v>0</v>
      </c>
      <c r="L143" s="1">
        <f>IF(J143=1,IF(COUNTIFS($A$3:A143,A143,$J$3:J143,1)=1,A143&amp;"-included",0),0)</f>
        <v>0</v>
      </c>
      <c r="M143" s="1" cm="1">
        <f t="array" ref="M143">IF(ES_2[[#This Row],[Included Exp/Sus]]=1,IF(SUMPRODUCT((ES_2[STN]=ES_2[[#This Row],[STN]])*(ES_2[Included Exp/Sus]=1)*(ROW(ES_2[STN])&lt;=ROW()))=1,1,0),0)</f>
        <v>0</v>
      </c>
      <c r="N143" s="1" t="str">
        <f>_xlfn.XLOOKUP(ES_2[[#This Row],[STN]],SE_2[STN],SE_2[Ethnicity],"",0)</f>
        <v/>
      </c>
    </row>
    <row r="144" spans="1:14" ht="14.45">
      <c r="A144" s="1">
        <v>22914277</v>
      </c>
      <c r="B144" s="1">
        <v>5</v>
      </c>
      <c r="C144" s="2">
        <v>2</v>
      </c>
      <c r="D144" s="1" t="s">
        <v>31</v>
      </c>
      <c r="E144" s="2">
        <v>14</v>
      </c>
      <c r="F144" s="1" t="s">
        <v>32</v>
      </c>
      <c r="G144" s="2">
        <v>1</v>
      </c>
      <c r="H144" s="1" t="s">
        <v>26</v>
      </c>
      <c r="I144" s="1">
        <f>SUMIFS(ES_2[LENGTH_EX_SU],ES_2[STN],ES_2[[#This Row],[STN]],ES_2[DISCIPLINE_TYPE],"Out-of-School Suspension")+SUMIFS(ES_2[LENGTH_EX_SU],ES_2[STN],ES_2[[#This Row],[STN]],ES_2[DISCIPLINE_TYPE],"Expulsion")</f>
        <v>1</v>
      </c>
      <c r="J144" s="1">
        <f>IF(ES_2[[#This Row],[Count Exp/Sus]]&gt;10,1,0)</f>
        <v>0</v>
      </c>
      <c r="K144" s="1">
        <f t="shared" si="4"/>
        <v>0</v>
      </c>
      <c r="L144" s="1">
        <f>IF(J144=1,IF(COUNTIFS($A$3:A144,A144,$J$3:J144,1)=1,A144&amp;"-included",0),0)</f>
        <v>0</v>
      </c>
      <c r="M144" s="1" cm="1">
        <f t="array" ref="M144">IF(ES_2[[#This Row],[Included Exp/Sus]]=1,IF(SUMPRODUCT((ES_2[STN]=ES_2[[#This Row],[STN]])*(ES_2[Included Exp/Sus]=1)*(ROW(ES_2[STN])&lt;=ROW()))=1,1,0),0)</f>
        <v>0</v>
      </c>
      <c r="N144" s="1" t="str">
        <f>_xlfn.XLOOKUP(ES_2[[#This Row],[STN]],SE_2[STN],SE_2[Ethnicity],"",0)</f>
        <v>Multiracial (two or more races)</v>
      </c>
    </row>
    <row r="145" spans="1:14" ht="14.45">
      <c r="A145" s="1">
        <v>22914277</v>
      </c>
      <c r="B145" s="1">
        <v>5</v>
      </c>
      <c r="C145" s="2">
        <v>1</v>
      </c>
      <c r="D145" s="1" t="s">
        <v>24</v>
      </c>
      <c r="E145" s="2">
        <v>14</v>
      </c>
      <c r="F145" s="1" t="s">
        <v>32</v>
      </c>
      <c r="G145" s="2">
        <v>1</v>
      </c>
      <c r="H145" s="1" t="s">
        <v>26</v>
      </c>
      <c r="I145" s="1">
        <f>SUMIFS(ES_2[LENGTH_EX_SU],ES_2[STN],ES_2[[#This Row],[STN]],ES_2[DISCIPLINE_TYPE],"Out-of-School Suspension")+SUMIFS(ES_2[LENGTH_EX_SU],ES_2[STN],ES_2[[#This Row],[STN]],ES_2[DISCIPLINE_TYPE],"Expulsion")</f>
        <v>1</v>
      </c>
      <c r="J145" s="1">
        <f>IF(ES_2[[#This Row],[Count Exp/Sus]]&gt;10,1,0)</f>
        <v>0</v>
      </c>
      <c r="K145" s="1">
        <f t="shared" si="4"/>
        <v>0</v>
      </c>
      <c r="L145" s="1">
        <f>IF(J145=1,IF(COUNTIFS($A$3:A145,A145,$J$3:J145,1)=1,A145&amp;"-included",0),0)</f>
        <v>0</v>
      </c>
      <c r="M145" s="1" cm="1">
        <f t="array" ref="M145">IF(ES_2[[#This Row],[Included Exp/Sus]]=1,IF(SUMPRODUCT((ES_2[STN]=ES_2[[#This Row],[STN]])*(ES_2[Included Exp/Sus]=1)*(ROW(ES_2[STN])&lt;=ROW()))=1,1,0),0)</f>
        <v>0</v>
      </c>
      <c r="N145" s="1" t="str">
        <f>_xlfn.XLOOKUP(ES_2[[#This Row],[STN]],SE_2[STN],SE_2[Ethnicity],"",0)</f>
        <v>Multiracial (two or more races)</v>
      </c>
    </row>
    <row r="146" spans="1:14" ht="14.45">
      <c r="A146" s="1">
        <v>22914277</v>
      </c>
      <c r="B146" s="1">
        <v>6</v>
      </c>
      <c r="C146" s="2">
        <v>1</v>
      </c>
      <c r="D146" s="1" t="s">
        <v>24</v>
      </c>
      <c r="E146" s="2">
        <v>11</v>
      </c>
      <c r="F146" s="1" t="s">
        <v>36</v>
      </c>
      <c r="G146" s="2">
        <v>1</v>
      </c>
      <c r="H146" s="1" t="s">
        <v>26</v>
      </c>
      <c r="I146" s="1">
        <f>SUMIFS(ES_2[LENGTH_EX_SU],ES_2[STN],ES_2[[#This Row],[STN]],ES_2[DISCIPLINE_TYPE],"Out-of-School Suspension")+SUMIFS(ES_2[LENGTH_EX_SU],ES_2[STN],ES_2[[#This Row],[STN]],ES_2[DISCIPLINE_TYPE],"Expulsion")</f>
        <v>1</v>
      </c>
      <c r="J146" s="1">
        <f>IF(ES_2[[#This Row],[Count Exp/Sus]]&gt;10,1,0)</f>
        <v>0</v>
      </c>
      <c r="K146" s="1">
        <f t="shared" si="4"/>
        <v>0</v>
      </c>
      <c r="L146" s="1">
        <f>IF(J146=1,IF(COUNTIFS($A$3:A146,A146,$J$3:J146,1)=1,A146&amp;"-included",0),0)</f>
        <v>0</v>
      </c>
      <c r="M146" s="1" cm="1">
        <f t="array" ref="M146">IF(ES_2[[#This Row],[Included Exp/Sus]]=1,IF(SUMPRODUCT((ES_2[STN]=ES_2[[#This Row],[STN]])*(ES_2[Included Exp/Sus]=1)*(ROW(ES_2[STN])&lt;=ROW()))=1,1,0),0)</f>
        <v>0</v>
      </c>
      <c r="N146" s="1" t="str">
        <f>_xlfn.XLOOKUP(ES_2[[#This Row],[STN]],SE_2[STN],SE_2[Ethnicity],"",0)</f>
        <v>Multiracial (two or more races)</v>
      </c>
    </row>
    <row r="147" spans="1:14" ht="14.45">
      <c r="A147" s="1">
        <v>22914278</v>
      </c>
      <c r="B147" s="1">
        <v>1</v>
      </c>
      <c r="C147" s="2">
        <v>2</v>
      </c>
      <c r="D147" s="1" t="s">
        <v>31</v>
      </c>
      <c r="E147" s="2">
        <v>11</v>
      </c>
      <c r="F147" s="1" t="s">
        <v>36</v>
      </c>
      <c r="G147" s="2">
        <v>1</v>
      </c>
      <c r="H147" s="1" t="s">
        <v>26</v>
      </c>
      <c r="I147" s="1">
        <f>SUMIFS(ES_2[LENGTH_EX_SU],ES_2[STN],ES_2[[#This Row],[STN]],ES_2[DISCIPLINE_TYPE],"Out-of-School Suspension")+SUMIFS(ES_2[LENGTH_EX_SU],ES_2[STN],ES_2[[#This Row],[STN]],ES_2[DISCIPLINE_TYPE],"Expulsion")</f>
        <v>1</v>
      </c>
      <c r="J147" s="1">
        <f>IF(ES_2[[#This Row],[Count Exp/Sus]]&gt;10,1,0)</f>
        <v>0</v>
      </c>
      <c r="K147" s="1">
        <f t="shared" si="4"/>
        <v>0</v>
      </c>
      <c r="L147" s="1">
        <f>IF(J147=1,IF(COUNTIFS($A$3:A147,A147,$J$3:J147,1)=1,A147&amp;"-included",0),0)</f>
        <v>0</v>
      </c>
      <c r="M147" s="1" cm="1">
        <f t="array" ref="M147">IF(ES_2[[#This Row],[Included Exp/Sus]]=1,IF(SUMPRODUCT((ES_2[STN]=ES_2[[#This Row],[STN]])*(ES_2[Included Exp/Sus]=1)*(ROW(ES_2[STN])&lt;=ROW()))=1,1,0),0)</f>
        <v>0</v>
      </c>
      <c r="N147" s="1" t="str">
        <f>_xlfn.XLOOKUP(ES_2[[#This Row],[STN]],SE_2[STN],SE_2[Ethnicity],"",0)</f>
        <v>Black - African American</v>
      </c>
    </row>
    <row r="148" spans="1:14" ht="14.45">
      <c r="A148" s="1">
        <v>22914379</v>
      </c>
      <c r="B148" s="1">
        <v>1</v>
      </c>
      <c r="C148" s="2">
        <v>2</v>
      </c>
      <c r="D148" s="1" t="s">
        <v>31</v>
      </c>
      <c r="E148" s="2">
        <v>10</v>
      </c>
      <c r="F148" s="1" t="s">
        <v>25</v>
      </c>
      <c r="G148" s="2">
        <v>1</v>
      </c>
      <c r="H148" s="1" t="s">
        <v>26</v>
      </c>
      <c r="I148" s="1">
        <f>SUMIFS(ES_2[LENGTH_EX_SU],ES_2[STN],ES_2[[#This Row],[STN]],ES_2[DISCIPLINE_TYPE],"Out-of-School Suspension")+SUMIFS(ES_2[LENGTH_EX_SU],ES_2[STN],ES_2[[#This Row],[STN]],ES_2[DISCIPLINE_TYPE],"Expulsion")</f>
        <v>1</v>
      </c>
      <c r="J148" s="1">
        <f>IF(ES_2[[#This Row],[Count Exp/Sus]]&gt;10,1,0)</f>
        <v>0</v>
      </c>
      <c r="K148" s="1">
        <f t="shared" si="4"/>
        <v>0</v>
      </c>
      <c r="L148" s="1">
        <f>IF(J148=1,IF(COUNTIFS($A$3:A148,A148,$J$3:J148,1)=1,A148&amp;"-included",0),0)</f>
        <v>0</v>
      </c>
      <c r="M148" s="1" cm="1">
        <f t="array" ref="M148">IF(ES_2[[#This Row],[Included Exp/Sus]]=1,IF(SUMPRODUCT((ES_2[STN]=ES_2[[#This Row],[STN]])*(ES_2[Included Exp/Sus]=1)*(ROW(ES_2[STN])&lt;=ROW()))=1,1,0),0)</f>
        <v>0</v>
      </c>
      <c r="N148" s="1" t="str">
        <f>_xlfn.XLOOKUP(ES_2[[#This Row],[STN]],SE_2[STN],SE_2[Ethnicity],"",0)</f>
        <v>White</v>
      </c>
    </row>
    <row r="149" spans="1:14" ht="14.45">
      <c r="A149" s="1">
        <v>22914393</v>
      </c>
      <c r="B149" s="1">
        <v>1</v>
      </c>
      <c r="C149" s="2">
        <v>2</v>
      </c>
      <c r="D149" s="1" t="s">
        <v>31</v>
      </c>
      <c r="E149" s="2">
        <v>11</v>
      </c>
      <c r="F149" s="1" t="s">
        <v>36</v>
      </c>
      <c r="G149" s="2">
        <v>1</v>
      </c>
      <c r="H149" s="1" t="s">
        <v>26</v>
      </c>
      <c r="I149" s="1">
        <f>SUMIFS(ES_2[LENGTH_EX_SU],ES_2[STN],ES_2[[#This Row],[STN]],ES_2[DISCIPLINE_TYPE],"Out-of-School Suspension")+SUMIFS(ES_2[LENGTH_EX_SU],ES_2[STN],ES_2[[#This Row],[STN]],ES_2[DISCIPLINE_TYPE],"Expulsion")</f>
        <v>8</v>
      </c>
      <c r="J149" s="1">
        <f>IF(ES_2[[#This Row],[Count Exp/Sus]]&gt;10,1,0)</f>
        <v>0</v>
      </c>
      <c r="K149" s="1">
        <f t="shared" si="4"/>
        <v>0</v>
      </c>
      <c r="L149" s="1">
        <f>IF(J149=1,IF(COUNTIFS($A$3:A149,A149,$J$3:J149,1)=1,A149&amp;"-included",0),0)</f>
        <v>0</v>
      </c>
      <c r="M149" s="1" cm="1">
        <f t="array" ref="M149">IF(ES_2[[#This Row],[Included Exp/Sus]]=1,IF(SUMPRODUCT((ES_2[STN]=ES_2[[#This Row],[STN]])*(ES_2[Included Exp/Sus]=1)*(ROW(ES_2[STN])&lt;=ROW()))=1,1,0),0)</f>
        <v>0</v>
      </c>
      <c r="N149" s="1" t="str">
        <f>_xlfn.XLOOKUP(ES_2[[#This Row],[STN]],SE_2[STN],SE_2[Ethnicity],"",0)</f>
        <v>White</v>
      </c>
    </row>
    <row r="150" spans="1:14" ht="14.45">
      <c r="A150" s="1">
        <v>22914393</v>
      </c>
      <c r="B150" s="1">
        <v>1</v>
      </c>
      <c r="C150" s="2">
        <v>2</v>
      </c>
      <c r="D150" s="1" t="s">
        <v>31</v>
      </c>
      <c r="E150" s="2">
        <v>11</v>
      </c>
      <c r="F150" s="1" t="s">
        <v>36</v>
      </c>
      <c r="G150" s="2">
        <v>1</v>
      </c>
      <c r="H150" s="1" t="s">
        <v>26</v>
      </c>
      <c r="I150" s="1">
        <f>SUMIFS(ES_2[LENGTH_EX_SU],ES_2[STN],ES_2[[#This Row],[STN]],ES_2[DISCIPLINE_TYPE],"Out-of-School Suspension")+SUMIFS(ES_2[LENGTH_EX_SU],ES_2[STN],ES_2[[#This Row],[STN]],ES_2[DISCIPLINE_TYPE],"Expulsion")</f>
        <v>8</v>
      </c>
      <c r="J150" s="1">
        <f>IF(ES_2[[#This Row],[Count Exp/Sus]]&gt;10,1,0)</f>
        <v>0</v>
      </c>
      <c r="K150" s="1">
        <f t="shared" si="4"/>
        <v>0</v>
      </c>
      <c r="L150" s="1">
        <f>IF(J150=1,IF(COUNTIFS($A$3:A150,A150,$J$3:J150,1)=1,A150&amp;"-included",0),0)</f>
        <v>0</v>
      </c>
      <c r="M150" s="1" cm="1">
        <f t="array" ref="M150">IF(ES_2[[#This Row],[Included Exp/Sus]]=1,IF(SUMPRODUCT((ES_2[STN]=ES_2[[#This Row],[STN]])*(ES_2[Included Exp/Sus]=1)*(ROW(ES_2[STN])&lt;=ROW()))=1,1,0),0)</f>
        <v>0</v>
      </c>
      <c r="N150" s="1" t="str">
        <f>_xlfn.XLOOKUP(ES_2[[#This Row],[STN]],SE_2[STN],SE_2[Ethnicity],"",0)</f>
        <v>White</v>
      </c>
    </row>
    <row r="151" spans="1:14" ht="14.45">
      <c r="A151" s="1">
        <v>22914393</v>
      </c>
      <c r="B151" s="1">
        <v>1</v>
      </c>
      <c r="C151" s="2">
        <v>2</v>
      </c>
      <c r="D151" s="1" t="s">
        <v>31</v>
      </c>
      <c r="E151" s="2">
        <v>11</v>
      </c>
      <c r="F151" s="1" t="s">
        <v>36</v>
      </c>
      <c r="G151" s="2">
        <v>1</v>
      </c>
      <c r="H151" s="1" t="s">
        <v>26</v>
      </c>
      <c r="I151" s="1">
        <f>SUMIFS(ES_2[LENGTH_EX_SU],ES_2[STN],ES_2[[#This Row],[STN]],ES_2[DISCIPLINE_TYPE],"Out-of-School Suspension")+SUMIFS(ES_2[LENGTH_EX_SU],ES_2[STN],ES_2[[#This Row],[STN]],ES_2[DISCIPLINE_TYPE],"Expulsion")</f>
        <v>8</v>
      </c>
      <c r="J151" s="1">
        <f>IF(ES_2[[#This Row],[Count Exp/Sus]]&gt;10,1,0)</f>
        <v>0</v>
      </c>
      <c r="K151" s="1">
        <f t="shared" si="4"/>
        <v>0</v>
      </c>
      <c r="L151" s="1">
        <f>IF(J151=1,IF(COUNTIFS($A$3:A151,A151,$J$3:J151,1)=1,A151&amp;"-included",0),0)</f>
        <v>0</v>
      </c>
      <c r="M151" s="1" cm="1">
        <f t="array" ref="M151">IF(ES_2[[#This Row],[Included Exp/Sus]]=1,IF(SUMPRODUCT((ES_2[STN]=ES_2[[#This Row],[STN]])*(ES_2[Included Exp/Sus]=1)*(ROW(ES_2[STN])&lt;=ROW()))=1,1,0),0)</f>
        <v>0</v>
      </c>
      <c r="N151" s="1" t="str">
        <f>_xlfn.XLOOKUP(ES_2[[#This Row],[STN]],SE_2[STN],SE_2[Ethnicity],"",0)</f>
        <v>White</v>
      </c>
    </row>
    <row r="152" spans="1:14" ht="14.45">
      <c r="A152" s="1">
        <v>22914393</v>
      </c>
      <c r="B152" s="1">
        <v>1</v>
      </c>
      <c r="C152" s="2">
        <v>2</v>
      </c>
      <c r="D152" s="1" t="s">
        <v>31</v>
      </c>
      <c r="E152" s="2">
        <v>11</v>
      </c>
      <c r="F152" s="1" t="s">
        <v>36</v>
      </c>
      <c r="G152" s="2">
        <v>2</v>
      </c>
      <c r="H152" s="1" t="s">
        <v>26</v>
      </c>
      <c r="I152" s="1">
        <f>SUMIFS(ES_2[LENGTH_EX_SU],ES_2[STN],ES_2[[#This Row],[STN]],ES_2[DISCIPLINE_TYPE],"Out-of-School Suspension")+SUMIFS(ES_2[LENGTH_EX_SU],ES_2[STN],ES_2[[#This Row],[STN]],ES_2[DISCIPLINE_TYPE],"Expulsion")</f>
        <v>8</v>
      </c>
      <c r="J152" s="1">
        <f>IF(ES_2[[#This Row],[Count Exp/Sus]]&gt;10,1,0)</f>
        <v>0</v>
      </c>
      <c r="K152" s="1">
        <f t="shared" si="4"/>
        <v>0</v>
      </c>
      <c r="L152" s="1">
        <f>IF(J152=1,IF(COUNTIFS($A$3:A152,A152,$J$3:J152,1)=1,A152&amp;"-included",0),0)</f>
        <v>0</v>
      </c>
      <c r="M152" s="1" cm="1">
        <f t="array" ref="M152">IF(ES_2[[#This Row],[Included Exp/Sus]]=1,IF(SUMPRODUCT((ES_2[STN]=ES_2[[#This Row],[STN]])*(ES_2[Included Exp/Sus]=1)*(ROW(ES_2[STN])&lt;=ROW()))=1,1,0),0)</f>
        <v>0</v>
      </c>
      <c r="N152" s="1" t="str">
        <f>_xlfn.XLOOKUP(ES_2[[#This Row],[STN]],SE_2[STN],SE_2[Ethnicity],"",0)</f>
        <v>White</v>
      </c>
    </row>
    <row r="153" spans="1:14" ht="14.45">
      <c r="A153" s="1">
        <v>22914393</v>
      </c>
      <c r="B153" s="1">
        <v>2</v>
      </c>
      <c r="C153" s="2">
        <v>2</v>
      </c>
      <c r="D153" s="1" t="s">
        <v>31</v>
      </c>
      <c r="E153" s="2">
        <v>13</v>
      </c>
      <c r="F153" s="1" t="s">
        <v>34</v>
      </c>
      <c r="G153" s="2">
        <v>3</v>
      </c>
      <c r="H153" s="1" t="s">
        <v>26</v>
      </c>
      <c r="I153" s="1">
        <f>SUMIFS(ES_2[LENGTH_EX_SU],ES_2[STN],ES_2[[#This Row],[STN]],ES_2[DISCIPLINE_TYPE],"Out-of-School Suspension")+SUMIFS(ES_2[LENGTH_EX_SU],ES_2[STN],ES_2[[#This Row],[STN]],ES_2[DISCIPLINE_TYPE],"Expulsion")</f>
        <v>8</v>
      </c>
      <c r="J153" s="1">
        <f>IF(ES_2[[#This Row],[Count Exp/Sus]]&gt;10,1,0)</f>
        <v>0</v>
      </c>
      <c r="K153" s="1">
        <f t="shared" si="4"/>
        <v>0</v>
      </c>
      <c r="L153" s="1">
        <f>IF(J153=1,IF(COUNTIFS($A$3:A153,A153,$J$3:J153,1)=1,A153&amp;"-included",0),0)</f>
        <v>0</v>
      </c>
      <c r="M153" s="1" cm="1">
        <f t="array" ref="M153">IF(ES_2[[#This Row],[Included Exp/Sus]]=1,IF(SUMPRODUCT((ES_2[STN]=ES_2[[#This Row],[STN]])*(ES_2[Included Exp/Sus]=1)*(ROW(ES_2[STN])&lt;=ROW()))=1,1,0),0)</f>
        <v>0</v>
      </c>
      <c r="N153" s="1" t="str">
        <f>_xlfn.XLOOKUP(ES_2[[#This Row],[STN]],SE_2[STN],SE_2[Ethnicity],"",0)</f>
        <v>White</v>
      </c>
    </row>
    <row r="154" spans="1:14" ht="14.45">
      <c r="A154" s="1">
        <v>22915003</v>
      </c>
      <c r="B154" s="1">
        <v>2</v>
      </c>
      <c r="C154" s="2">
        <v>1</v>
      </c>
      <c r="D154" s="1" t="s">
        <v>24</v>
      </c>
      <c r="E154" s="2">
        <v>14</v>
      </c>
      <c r="F154" s="1" t="s">
        <v>32</v>
      </c>
      <c r="G154" s="2">
        <v>1</v>
      </c>
      <c r="H154" s="1" t="s">
        <v>26</v>
      </c>
      <c r="I154" s="1">
        <f>SUMIFS(ES_2[LENGTH_EX_SU],ES_2[STN],ES_2[[#This Row],[STN]],ES_2[DISCIPLINE_TYPE],"Out-of-School Suspension")+SUMIFS(ES_2[LENGTH_EX_SU],ES_2[STN],ES_2[[#This Row],[STN]],ES_2[DISCIPLINE_TYPE],"Expulsion")</f>
        <v>0</v>
      </c>
      <c r="J154" s="1">
        <f>IF(ES_2[[#This Row],[Count Exp/Sus]]&gt;10,1,0)</f>
        <v>0</v>
      </c>
      <c r="K154" s="1">
        <f t="shared" si="4"/>
        <v>0</v>
      </c>
      <c r="L154" s="1">
        <f>IF(J154=1,IF(COUNTIFS($A$3:A154,A154,$J$3:J154,1)=1,A154&amp;"-included",0),0)</f>
        <v>0</v>
      </c>
      <c r="M154" s="1" cm="1">
        <f t="array" ref="M154">IF(ES_2[[#This Row],[Included Exp/Sus]]=1,IF(SUMPRODUCT((ES_2[STN]=ES_2[[#This Row],[STN]])*(ES_2[Included Exp/Sus]=1)*(ROW(ES_2[STN])&lt;=ROW()))=1,1,0),0)</f>
        <v>0</v>
      </c>
      <c r="N154" s="1" t="str">
        <f>_xlfn.XLOOKUP(ES_2[[#This Row],[STN]],SE_2[STN],SE_2[Ethnicity],"",0)</f>
        <v>White</v>
      </c>
    </row>
    <row r="155" spans="1:14" ht="14.45">
      <c r="A155" s="1">
        <v>22915105</v>
      </c>
      <c r="B155" s="1">
        <v>2</v>
      </c>
      <c r="C155" s="2">
        <v>1</v>
      </c>
      <c r="D155" s="1" t="s">
        <v>24</v>
      </c>
      <c r="E155" s="2">
        <v>14</v>
      </c>
      <c r="F155" s="1" t="s">
        <v>32</v>
      </c>
      <c r="G155" s="2">
        <v>1</v>
      </c>
      <c r="H155" s="1" t="s">
        <v>26</v>
      </c>
      <c r="I155" s="1">
        <f>SUMIFS(ES_2[LENGTH_EX_SU],ES_2[STN],ES_2[[#This Row],[STN]],ES_2[DISCIPLINE_TYPE],"Out-of-School Suspension")+SUMIFS(ES_2[LENGTH_EX_SU],ES_2[STN],ES_2[[#This Row],[STN]],ES_2[DISCIPLINE_TYPE],"Expulsion")</f>
        <v>0</v>
      </c>
      <c r="J155" s="1">
        <f>IF(ES_2[[#This Row],[Count Exp/Sus]]&gt;10,1,0)</f>
        <v>0</v>
      </c>
      <c r="K155" s="1">
        <f t="shared" si="4"/>
        <v>0</v>
      </c>
      <c r="L155" s="1">
        <f>IF(J155=1,IF(COUNTIFS($A$3:A155,A155,$J$3:J155,1)=1,A155&amp;"-included",0),0)</f>
        <v>0</v>
      </c>
      <c r="M155" s="1" cm="1">
        <f t="array" ref="M155">IF(ES_2[[#This Row],[Included Exp/Sus]]=1,IF(SUMPRODUCT((ES_2[STN]=ES_2[[#This Row],[STN]])*(ES_2[Included Exp/Sus]=1)*(ROW(ES_2[STN])&lt;=ROW()))=1,1,0),0)</f>
        <v>0</v>
      </c>
      <c r="N155" s="1" t="str">
        <f>_xlfn.XLOOKUP(ES_2[[#This Row],[STN]],SE_2[STN],SE_2[Ethnicity],"",0)</f>
        <v>Multiracial (two or more races)</v>
      </c>
    </row>
    <row r="156" spans="1:14" ht="14.45">
      <c r="A156" s="1">
        <v>22915224</v>
      </c>
      <c r="B156" s="1">
        <v>1</v>
      </c>
      <c r="C156" s="2">
        <v>1</v>
      </c>
      <c r="D156" s="1" t="s">
        <v>24</v>
      </c>
      <c r="E156" s="2">
        <v>14</v>
      </c>
      <c r="F156" s="1" t="s">
        <v>32</v>
      </c>
      <c r="G156" s="2">
        <v>1</v>
      </c>
      <c r="H156" s="1" t="s">
        <v>26</v>
      </c>
      <c r="I156" s="1">
        <f>SUMIFS(ES_2[LENGTH_EX_SU],ES_2[STN],ES_2[[#This Row],[STN]],ES_2[DISCIPLINE_TYPE],"Out-of-School Suspension")+SUMIFS(ES_2[LENGTH_EX_SU],ES_2[STN],ES_2[[#This Row],[STN]],ES_2[DISCIPLINE_TYPE],"Expulsion")</f>
        <v>0</v>
      </c>
      <c r="J156" s="1">
        <f>IF(ES_2[[#This Row],[Count Exp/Sus]]&gt;10,1,0)</f>
        <v>0</v>
      </c>
      <c r="K156" s="1">
        <f t="shared" si="4"/>
        <v>0</v>
      </c>
      <c r="L156" s="1">
        <f>IF(J156=1,IF(COUNTIFS($A$3:A156,A156,$J$3:J156,1)=1,A156&amp;"-included",0),0)</f>
        <v>0</v>
      </c>
      <c r="M156" s="1" cm="1">
        <f t="array" ref="M156">IF(ES_2[[#This Row],[Included Exp/Sus]]=1,IF(SUMPRODUCT((ES_2[STN]=ES_2[[#This Row],[STN]])*(ES_2[Included Exp/Sus]=1)*(ROW(ES_2[STN])&lt;=ROW()))=1,1,0),0)</f>
        <v>0</v>
      </c>
      <c r="N156" s="1" t="str">
        <f>_xlfn.XLOOKUP(ES_2[[#This Row],[STN]],SE_2[STN],SE_2[Ethnicity],"",0)</f>
        <v>White</v>
      </c>
    </row>
    <row r="157" spans="1:14" ht="14.45">
      <c r="A157" s="1">
        <v>22915242</v>
      </c>
      <c r="B157" s="1">
        <v>1</v>
      </c>
      <c r="C157" s="2">
        <v>1</v>
      </c>
      <c r="D157" s="1" t="s">
        <v>24</v>
      </c>
      <c r="E157" s="2">
        <v>11</v>
      </c>
      <c r="F157" s="1" t="s">
        <v>36</v>
      </c>
      <c r="G157" s="2">
        <v>1</v>
      </c>
      <c r="H157" s="1" t="s">
        <v>26</v>
      </c>
      <c r="I157" s="1">
        <f>SUMIFS(ES_2[LENGTH_EX_SU],ES_2[STN],ES_2[[#This Row],[STN]],ES_2[DISCIPLINE_TYPE],"Out-of-School Suspension")+SUMIFS(ES_2[LENGTH_EX_SU],ES_2[STN],ES_2[[#This Row],[STN]],ES_2[DISCIPLINE_TYPE],"Expulsion")</f>
        <v>1</v>
      </c>
      <c r="J157" s="1">
        <f>IF(ES_2[[#This Row],[Count Exp/Sus]]&gt;10,1,0)</f>
        <v>0</v>
      </c>
      <c r="K157" s="1">
        <f t="shared" si="4"/>
        <v>0</v>
      </c>
      <c r="L157" s="1">
        <f>IF(J157=1,IF(COUNTIFS($A$3:A157,A157,$J$3:J157,1)=1,A157&amp;"-included",0),0)</f>
        <v>0</v>
      </c>
      <c r="M157" s="1" cm="1">
        <f t="array" ref="M157">IF(ES_2[[#This Row],[Included Exp/Sus]]=1,IF(SUMPRODUCT((ES_2[STN]=ES_2[[#This Row],[STN]])*(ES_2[Included Exp/Sus]=1)*(ROW(ES_2[STN])&lt;=ROW()))=1,1,0),0)</f>
        <v>0</v>
      </c>
      <c r="N157" s="1" t="str">
        <f>_xlfn.XLOOKUP(ES_2[[#This Row],[STN]],SE_2[STN],SE_2[Ethnicity],"",0)</f>
        <v>White</v>
      </c>
    </row>
    <row r="158" spans="1:14" ht="14.45">
      <c r="A158" s="1">
        <v>22915242</v>
      </c>
      <c r="B158" s="1">
        <v>1</v>
      </c>
      <c r="C158" s="2">
        <v>2</v>
      </c>
      <c r="D158" s="1" t="s">
        <v>31</v>
      </c>
      <c r="E158" s="2">
        <v>11</v>
      </c>
      <c r="F158" s="1" t="s">
        <v>36</v>
      </c>
      <c r="G158" s="2">
        <v>1</v>
      </c>
      <c r="H158" s="1" t="s">
        <v>26</v>
      </c>
      <c r="I158" s="1">
        <f>SUMIFS(ES_2[LENGTH_EX_SU],ES_2[STN],ES_2[[#This Row],[STN]],ES_2[DISCIPLINE_TYPE],"Out-of-School Suspension")+SUMIFS(ES_2[LENGTH_EX_SU],ES_2[STN],ES_2[[#This Row],[STN]],ES_2[DISCIPLINE_TYPE],"Expulsion")</f>
        <v>1</v>
      </c>
      <c r="J158" s="1">
        <f>IF(ES_2[[#This Row],[Count Exp/Sus]]&gt;10,1,0)</f>
        <v>0</v>
      </c>
      <c r="K158" s="1">
        <f t="shared" si="4"/>
        <v>0</v>
      </c>
      <c r="L158" s="1">
        <f>IF(J158=1,IF(COUNTIFS($A$3:A158,A158,$J$3:J158,1)=1,A158&amp;"-included",0),0)</f>
        <v>0</v>
      </c>
      <c r="M158" s="1" cm="1">
        <f t="array" ref="M158">IF(ES_2[[#This Row],[Included Exp/Sus]]=1,IF(SUMPRODUCT((ES_2[STN]=ES_2[[#This Row],[STN]])*(ES_2[Included Exp/Sus]=1)*(ROW(ES_2[STN])&lt;=ROW()))=1,1,0),0)</f>
        <v>0</v>
      </c>
      <c r="N158" s="1" t="str">
        <f>_xlfn.XLOOKUP(ES_2[[#This Row],[STN]],SE_2[STN],SE_2[Ethnicity],"",0)</f>
        <v>White</v>
      </c>
    </row>
    <row r="159" spans="1:14" ht="14.45">
      <c r="A159" s="1">
        <v>22915242</v>
      </c>
      <c r="B159" s="1">
        <v>1</v>
      </c>
      <c r="C159" s="2">
        <v>1</v>
      </c>
      <c r="D159" s="1" t="s">
        <v>24</v>
      </c>
      <c r="E159" s="2">
        <v>10</v>
      </c>
      <c r="F159" s="1" t="s">
        <v>25</v>
      </c>
      <c r="G159" s="2">
        <v>1</v>
      </c>
      <c r="H159" s="1" t="s">
        <v>26</v>
      </c>
      <c r="I159" s="1">
        <f>SUMIFS(ES_2[LENGTH_EX_SU],ES_2[STN],ES_2[[#This Row],[STN]],ES_2[DISCIPLINE_TYPE],"Out-of-School Suspension")+SUMIFS(ES_2[LENGTH_EX_SU],ES_2[STN],ES_2[[#This Row],[STN]],ES_2[DISCIPLINE_TYPE],"Expulsion")</f>
        <v>1</v>
      </c>
      <c r="J159" s="1">
        <f>IF(ES_2[[#This Row],[Count Exp/Sus]]&gt;10,1,0)</f>
        <v>0</v>
      </c>
      <c r="K159" s="1">
        <f t="shared" si="4"/>
        <v>0</v>
      </c>
      <c r="L159" s="1">
        <f>IF(J159=1,IF(COUNTIFS($A$3:A159,A159,$J$3:J159,1)=1,A159&amp;"-included",0),0)</f>
        <v>0</v>
      </c>
      <c r="M159" s="1" cm="1">
        <f t="array" ref="M159">IF(ES_2[[#This Row],[Included Exp/Sus]]=1,IF(SUMPRODUCT((ES_2[STN]=ES_2[[#This Row],[STN]])*(ES_2[Included Exp/Sus]=1)*(ROW(ES_2[STN])&lt;=ROW()))=1,1,0),0)</f>
        <v>0</v>
      </c>
      <c r="N159" s="1" t="str">
        <f>_xlfn.XLOOKUP(ES_2[[#This Row],[STN]],SE_2[STN],SE_2[Ethnicity],"",0)</f>
        <v>White</v>
      </c>
    </row>
    <row r="160" spans="1:14" ht="14.45">
      <c r="A160" s="1">
        <v>22915250</v>
      </c>
      <c r="B160" s="1">
        <v>2</v>
      </c>
      <c r="C160" s="2">
        <v>1</v>
      </c>
      <c r="D160" s="1" t="s">
        <v>24</v>
      </c>
      <c r="E160" s="2">
        <v>14</v>
      </c>
      <c r="F160" s="1" t="s">
        <v>32</v>
      </c>
      <c r="G160" s="2">
        <v>1</v>
      </c>
      <c r="H160" s="1" t="s">
        <v>26</v>
      </c>
      <c r="I160" s="1">
        <f>SUMIFS(ES_2[LENGTH_EX_SU],ES_2[STN],ES_2[[#This Row],[STN]],ES_2[DISCIPLINE_TYPE],"Out-of-School Suspension")+SUMIFS(ES_2[LENGTH_EX_SU],ES_2[STN],ES_2[[#This Row],[STN]],ES_2[DISCIPLINE_TYPE],"Expulsion")</f>
        <v>0</v>
      </c>
      <c r="J160" s="1">
        <f>IF(ES_2[[#This Row],[Count Exp/Sus]]&gt;10,1,0)</f>
        <v>0</v>
      </c>
      <c r="K160" s="1">
        <f t="shared" si="4"/>
        <v>0</v>
      </c>
      <c r="L160" s="1">
        <f>IF(J160=1,IF(COUNTIFS($A$3:A160,A160,$J$3:J160,1)=1,A160&amp;"-included",0),0)</f>
        <v>0</v>
      </c>
      <c r="M160" s="1" cm="1">
        <f t="array" ref="M160">IF(ES_2[[#This Row],[Included Exp/Sus]]=1,IF(SUMPRODUCT((ES_2[STN]=ES_2[[#This Row],[STN]])*(ES_2[Included Exp/Sus]=1)*(ROW(ES_2[STN])&lt;=ROW()))=1,1,0),0)</f>
        <v>0</v>
      </c>
      <c r="N160" s="1" t="str">
        <f>_xlfn.XLOOKUP(ES_2[[#This Row],[STN]],SE_2[STN],SE_2[Ethnicity],"",0)</f>
        <v>Black - African American</v>
      </c>
    </row>
    <row r="161" spans="1:14" ht="14.45">
      <c r="A161" s="1">
        <v>22915388</v>
      </c>
      <c r="B161" s="1">
        <v>5</v>
      </c>
      <c r="C161" s="2">
        <v>1</v>
      </c>
      <c r="D161" s="1" t="s">
        <v>24</v>
      </c>
      <c r="E161" s="2">
        <v>11</v>
      </c>
      <c r="F161" s="1" t="s">
        <v>36</v>
      </c>
      <c r="G161" s="2">
        <v>1</v>
      </c>
      <c r="H161" s="1" t="s">
        <v>26</v>
      </c>
      <c r="I161" s="1">
        <f>SUMIFS(ES_2[LENGTH_EX_SU],ES_2[STN],ES_2[[#This Row],[STN]],ES_2[DISCIPLINE_TYPE],"Out-of-School Suspension")+SUMIFS(ES_2[LENGTH_EX_SU],ES_2[STN],ES_2[[#This Row],[STN]],ES_2[DISCIPLINE_TYPE],"Expulsion")</f>
        <v>7</v>
      </c>
      <c r="J161" s="1">
        <f>IF(ES_2[[#This Row],[Count Exp/Sus]]&gt;10,1,0)</f>
        <v>0</v>
      </c>
      <c r="K161" s="1">
        <f t="shared" si="4"/>
        <v>0</v>
      </c>
      <c r="L161" s="1">
        <f>IF(J161=1,IF(COUNTIFS($A$3:A161,A161,$J$3:J161,1)=1,A161&amp;"-included",0),0)</f>
        <v>0</v>
      </c>
      <c r="M161" s="1" cm="1">
        <f t="array" ref="M161">IF(ES_2[[#This Row],[Included Exp/Sus]]=1,IF(SUMPRODUCT((ES_2[STN]=ES_2[[#This Row],[STN]])*(ES_2[Included Exp/Sus]=1)*(ROW(ES_2[STN])&lt;=ROW()))=1,1,0),0)</f>
        <v>0</v>
      </c>
      <c r="N161" s="1" t="str">
        <f>_xlfn.XLOOKUP(ES_2[[#This Row],[STN]],SE_2[STN],SE_2[Ethnicity],"",0)</f>
        <v>White</v>
      </c>
    </row>
    <row r="162" spans="1:14" ht="14.45">
      <c r="A162" s="1">
        <v>22915388</v>
      </c>
      <c r="B162" s="1">
        <v>4</v>
      </c>
      <c r="C162" s="2">
        <v>2</v>
      </c>
      <c r="D162" s="1" t="s">
        <v>31</v>
      </c>
      <c r="E162" s="2">
        <v>11</v>
      </c>
      <c r="F162" s="1" t="s">
        <v>36</v>
      </c>
      <c r="G162" s="2">
        <v>1</v>
      </c>
      <c r="H162" s="1" t="s">
        <v>26</v>
      </c>
      <c r="I162" s="1">
        <f>SUMIFS(ES_2[LENGTH_EX_SU],ES_2[STN],ES_2[[#This Row],[STN]],ES_2[DISCIPLINE_TYPE],"Out-of-School Suspension")+SUMIFS(ES_2[LENGTH_EX_SU],ES_2[STN],ES_2[[#This Row],[STN]],ES_2[DISCIPLINE_TYPE],"Expulsion")</f>
        <v>7</v>
      </c>
      <c r="J162" s="1">
        <f>IF(ES_2[[#This Row],[Count Exp/Sus]]&gt;10,1,0)</f>
        <v>0</v>
      </c>
      <c r="K162" s="1">
        <f t="shared" si="4"/>
        <v>0</v>
      </c>
      <c r="L162" s="1">
        <f>IF(J162=1,IF(COUNTIFS($A$3:A162,A162,$J$3:J162,1)=1,A162&amp;"-included",0),0)</f>
        <v>0</v>
      </c>
      <c r="M162" s="1" cm="1">
        <f t="array" ref="M162">IF(ES_2[[#This Row],[Included Exp/Sus]]=1,IF(SUMPRODUCT((ES_2[STN]=ES_2[[#This Row],[STN]])*(ES_2[Included Exp/Sus]=1)*(ROW(ES_2[STN])&lt;=ROW()))=1,1,0),0)</f>
        <v>0</v>
      </c>
      <c r="N162" s="1" t="str">
        <f>_xlfn.XLOOKUP(ES_2[[#This Row],[STN]],SE_2[STN],SE_2[Ethnicity],"",0)</f>
        <v>White</v>
      </c>
    </row>
    <row r="163" spans="1:14" ht="14.45">
      <c r="A163" s="1">
        <v>22915388</v>
      </c>
      <c r="B163" s="1">
        <v>4</v>
      </c>
      <c r="C163" s="2">
        <v>2</v>
      </c>
      <c r="D163" s="1" t="s">
        <v>31</v>
      </c>
      <c r="E163" s="2">
        <v>11</v>
      </c>
      <c r="F163" s="1" t="s">
        <v>36</v>
      </c>
      <c r="G163" s="2">
        <v>1</v>
      </c>
      <c r="H163" s="1" t="s">
        <v>26</v>
      </c>
      <c r="I163" s="1">
        <f>SUMIFS(ES_2[LENGTH_EX_SU],ES_2[STN],ES_2[[#This Row],[STN]],ES_2[DISCIPLINE_TYPE],"Out-of-School Suspension")+SUMIFS(ES_2[LENGTH_EX_SU],ES_2[STN],ES_2[[#This Row],[STN]],ES_2[DISCIPLINE_TYPE],"Expulsion")</f>
        <v>7</v>
      </c>
      <c r="J163" s="1">
        <f>IF(ES_2[[#This Row],[Count Exp/Sus]]&gt;10,1,0)</f>
        <v>0</v>
      </c>
      <c r="K163" s="1">
        <f t="shared" ref="K163:K183" si="5">IF(J163=1,A163 &amp;"-included",0)</f>
        <v>0</v>
      </c>
      <c r="L163" s="1">
        <f>IF(J163=1,IF(COUNTIFS($A$3:A163,A163,$J$3:J163,1)=1,A163&amp;"-included",0),0)</f>
        <v>0</v>
      </c>
      <c r="M163" s="1" cm="1">
        <f t="array" ref="M163">IF(ES_2[[#This Row],[Included Exp/Sus]]=1,IF(SUMPRODUCT((ES_2[STN]=ES_2[[#This Row],[STN]])*(ES_2[Included Exp/Sus]=1)*(ROW(ES_2[STN])&lt;=ROW()))=1,1,0),0)</f>
        <v>0</v>
      </c>
      <c r="N163" s="1" t="str">
        <f>_xlfn.XLOOKUP(ES_2[[#This Row],[STN]],SE_2[STN],SE_2[Ethnicity],"",0)</f>
        <v>White</v>
      </c>
    </row>
    <row r="164" spans="1:14" ht="14.45">
      <c r="A164" s="1">
        <v>22915388</v>
      </c>
      <c r="B164" s="1">
        <v>4</v>
      </c>
      <c r="C164" s="2">
        <v>2</v>
      </c>
      <c r="D164" s="1" t="s">
        <v>31</v>
      </c>
      <c r="E164" s="2">
        <v>11</v>
      </c>
      <c r="F164" s="1" t="s">
        <v>36</v>
      </c>
      <c r="G164" s="2">
        <v>5</v>
      </c>
      <c r="H164" s="1" t="s">
        <v>26</v>
      </c>
      <c r="I164" s="1">
        <f>SUMIFS(ES_2[LENGTH_EX_SU],ES_2[STN],ES_2[[#This Row],[STN]],ES_2[DISCIPLINE_TYPE],"Out-of-School Suspension")+SUMIFS(ES_2[LENGTH_EX_SU],ES_2[STN],ES_2[[#This Row],[STN]],ES_2[DISCIPLINE_TYPE],"Expulsion")</f>
        <v>7</v>
      </c>
      <c r="J164" s="1">
        <f>IF(ES_2[[#This Row],[Count Exp/Sus]]&gt;10,1,0)</f>
        <v>0</v>
      </c>
      <c r="K164" s="1">
        <f t="shared" si="5"/>
        <v>0</v>
      </c>
      <c r="L164" s="1">
        <f>IF(J164=1,IF(COUNTIFS($A$3:A164,A164,$J$3:J164,1)=1,A164&amp;"-included",0),0)</f>
        <v>0</v>
      </c>
      <c r="M164" s="1" cm="1">
        <f t="array" ref="M164">IF(ES_2[[#This Row],[Included Exp/Sus]]=1,IF(SUMPRODUCT((ES_2[STN]=ES_2[[#This Row],[STN]])*(ES_2[Included Exp/Sus]=1)*(ROW(ES_2[STN])&lt;=ROW()))=1,1,0),0)</f>
        <v>0</v>
      </c>
      <c r="N164" s="1" t="str">
        <f>_xlfn.XLOOKUP(ES_2[[#This Row],[STN]],SE_2[STN],SE_2[Ethnicity],"",0)</f>
        <v>White</v>
      </c>
    </row>
    <row r="165" spans="1:14" ht="14.45">
      <c r="A165" s="1">
        <v>22915531</v>
      </c>
      <c r="B165" s="1">
        <v>4</v>
      </c>
      <c r="C165" s="2">
        <v>2</v>
      </c>
      <c r="D165" s="1" t="s">
        <v>31</v>
      </c>
      <c r="E165" s="2">
        <v>11</v>
      </c>
      <c r="F165" s="1" t="s">
        <v>36</v>
      </c>
      <c r="G165" s="2">
        <v>1</v>
      </c>
      <c r="H165" s="1" t="s">
        <v>26</v>
      </c>
      <c r="I165" s="1">
        <f>SUMIFS(ES_2[LENGTH_EX_SU],ES_2[STN],ES_2[[#This Row],[STN]],ES_2[DISCIPLINE_TYPE],"Out-of-School Suspension")+SUMIFS(ES_2[LENGTH_EX_SU],ES_2[STN],ES_2[[#This Row],[STN]],ES_2[DISCIPLINE_TYPE],"Expulsion")</f>
        <v>2</v>
      </c>
      <c r="J165" s="1">
        <f>IF(ES_2[[#This Row],[Count Exp/Sus]]&gt;10,1,0)</f>
        <v>0</v>
      </c>
      <c r="K165" s="1">
        <f t="shared" si="5"/>
        <v>0</v>
      </c>
      <c r="L165" s="1">
        <f>IF(J165=1,IF(COUNTIFS($A$3:A165,A165,$J$3:J165,1)=1,A165&amp;"-included",0),0)</f>
        <v>0</v>
      </c>
      <c r="M165" s="1" cm="1">
        <f t="array" ref="M165">IF(ES_2[[#This Row],[Included Exp/Sus]]=1,IF(SUMPRODUCT((ES_2[STN]=ES_2[[#This Row],[STN]])*(ES_2[Included Exp/Sus]=1)*(ROW(ES_2[STN])&lt;=ROW()))=1,1,0),0)</f>
        <v>0</v>
      </c>
      <c r="N165" s="1" t="str">
        <f>_xlfn.XLOOKUP(ES_2[[#This Row],[STN]],SE_2[STN],SE_2[Ethnicity],"",0)</f>
        <v>White</v>
      </c>
    </row>
    <row r="166" spans="1:14" ht="14.45">
      <c r="A166" s="1">
        <v>22915531</v>
      </c>
      <c r="B166" s="1">
        <v>4</v>
      </c>
      <c r="C166" s="2">
        <v>2</v>
      </c>
      <c r="D166" s="1" t="s">
        <v>31</v>
      </c>
      <c r="E166" s="2">
        <v>11</v>
      </c>
      <c r="F166" s="1" t="s">
        <v>36</v>
      </c>
      <c r="G166" s="2">
        <v>1</v>
      </c>
      <c r="H166" s="1" t="s">
        <v>26</v>
      </c>
      <c r="I166" s="1">
        <f>SUMIFS(ES_2[LENGTH_EX_SU],ES_2[STN],ES_2[[#This Row],[STN]],ES_2[DISCIPLINE_TYPE],"Out-of-School Suspension")+SUMIFS(ES_2[LENGTH_EX_SU],ES_2[STN],ES_2[[#This Row],[STN]],ES_2[DISCIPLINE_TYPE],"Expulsion")</f>
        <v>2</v>
      </c>
      <c r="J166" s="1">
        <f>IF(ES_2[[#This Row],[Count Exp/Sus]]&gt;10,1,0)</f>
        <v>0</v>
      </c>
      <c r="K166" s="1">
        <f t="shared" si="5"/>
        <v>0</v>
      </c>
      <c r="L166" s="1">
        <f>IF(J166=1,IF(COUNTIFS($A$3:A166,A166,$J$3:J166,1)=1,A166&amp;"-included",0),0)</f>
        <v>0</v>
      </c>
      <c r="M166" s="1" cm="1">
        <f t="array" ref="M166">IF(ES_2[[#This Row],[Included Exp/Sus]]=1,IF(SUMPRODUCT((ES_2[STN]=ES_2[[#This Row],[STN]])*(ES_2[Included Exp/Sus]=1)*(ROW(ES_2[STN])&lt;=ROW()))=1,1,0),0)</f>
        <v>0</v>
      </c>
      <c r="N166" s="1" t="str">
        <f>_xlfn.XLOOKUP(ES_2[[#This Row],[STN]],SE_2[STN],SE_2[Ethnicity],"",0)</f>
        <v>White</v>
      </c>
    </row>
    <row r="167" spans="1:14" ht="14.45">
      <c r="A167" s="1">
        <v>22916047</v>
      </c>
      <c r="B167" s="1">
        <v>2</v>
      </c>
      <c r="C167" s="2">
        <v>2</v>
      </c>
      <c r="D167" s="1" t="s">
        <v>31</v>
      </c>
      <c r="E167" s="2">
        <v>10</v>
      </c>
      <c r="F167" s="1" t="s">
        <v>25</v>
      </c>
      <c r="G167" s="2">
        <v>1</v>
      </c>
      <c r="H167" s="1" t="s">
        <v>26</v>
      </c>
      <c r="I167" s="1">
        <f>SUMIFS(ES_2[LENGTH_EX_SU],ES_2[STN],ES_2[[#This Row],[STN]],ES_2[DISCIPLINE_TYPE],"Out-of-School Suspension")+SUMIFS(ES_2[LENGTH_EX_SU],ES_2[STN],ES_2[[#This Row],[STN]],ES_2[DISCIPLINE_TYPE],"Expulsion")</f>
        <v>1</v>
      </c>
      <c r="J167" s="1">
        <f>IF(ES_2[[#This Row],[Count Exp/Sus]]&gt;10,1,0)</f>
        <v>0</v>
      </c>
      <c r="K167" s="1">
        <f t="shared" si="5"/>
        <v>0</v>
      </c>
      <c r="L167" s="1">
        <f>IF(J167=1,IF(COUNTIFS($A$3:A167,A167,$J$3:J167,1)=1,A167&amp;"-included",0),0)</f>
        <v>0</v>
      </c>
      <c r="M167" s="1" cm="1">
        <f t="array" ref="M167">IF(ES_2[[#This Row],[Included Exp/Sus]]=1,IF(SUMPRODUCT((ES_2[STN]=ES_2[[#This Row],[STN]])*(ES_2[Included Exp/Sus]=1)*(ROW(ES_2[STN])&lt;=ROW()))=1,1,0),0)</f>
        <v>0</v>
      </c>
      <c r="N167" s="1" t="str">
        <f>_xlfn.XLOOKUP(ES_2[[#This Row],[STN]],SE_2[STN],SE_2[Ethnicity],"",0)</f>
        <v>Black - African American</v>
      </c>
    </row>
    <row r="168" spans="1:14" ht="14.45">
      <c r="A168" s="1">
        <v>22916139</v>
      </c>
      <c r="B168" s="1">
        <v>2</v>
      </c>
      <c r="C168" s="2">
        <v>1</v>
      </c>
      <c r="D168" s="1" t="s">
        <v>24</v>
      </c>
      <c r="E168" s="2">
        <v>15</v>
      </c>
      <c r="F168" s="1" t="s">
        <v>27</v>
      </c>
      <c r="G168" s="2">
        <v>1</v>
      </c>
      <c r="H168" s="1" t="s">
        <v>26</v>
      </c>
      <c r="I168" s="1">
        <f>SUMIFS(ES_2[LENGTH_EX_SU],ES_2[STN],ES_2[[#This Row],[STN]],ES_2[DISCIPLINE_TYPE],"Out-of-School Suspension")+SUMIFS(ES_2[LENGTH_EX_SU],ES_2[STN],ES_2[[#This Row],[STN]],ES_2[DISCIPLINE_TYPE],"Expulsion")</f>
        <v>2</v>
      </c>
      <c r="J168" s="1">
        <f>IF(ES_2[[#This Row],[Count Exp/Sus]]&gt;10,1,0)</f>
        <v>0</v>
      </c>
      <c r="K168" s="1">
        <f t="shared" si="5"/>
        <v>0</v>
      </c>
      <c r="L168" s="1">
        <f>IF(J168=1,IF(COUNTIFS($A$3:A168,A168,$J$3:J168,1)=1,A168&amp;"-included",0),0)</f>
        <v>0</v>
      </c>
      <c r="M168" s="1" cm="1">
        <f t="array" ref="M168">IF(ES_2[[#This Row],[Included Exp/Sus]]=1,IF(SUMPRODUCT((ES_2[STN]=ES_2[[#This Row],[STN]])*(ES_2[Included Exp/Sus]=1)*(ROW(ES_2[STN])&lt;=ROW()))=1,1,0),0)</f>
        <v>0</v>
      </c>
      <c r="N168" s="1" t="str">
        <f>_xlfn.XLOOKUP(ES_2[[#This Row],[STN]],SE_2[STN],SE_2[Ethnicity],"",0)</f>
        <v>White</v>
      </c>
    </row>
    <row r="169" spans="1:14" ht="14.45">
      <c r="A169" s="1">
        <v>22916139</v>
      </c>
      <c r="B169" s="1">
        <v>2</v>
      </c>
      <c r="C169" s="2">
        <v>1</v>
      </c>
      <c r="D169" s="1" t="s">
        <v>24</v>
      </c>
      <c r="E169" s="2">
        <v>10</v>
      </c>
      <c r="F169" s="1" t="s">
        <v>25</v>
      </c>
      <c r="G169" s="2">
        <v>1</v>
      </c>
      <c r="H169" s="1" t="s">
        <v>26</v>
      </c>
      <c r="I169" s="1">
        <f>SUMIFS(ES_2[LENGTH_EX_SU],ES_2[STN],ES_2[[#This Row],[STN]],ES_2[DISCIPLINE_TYPE],"Out-of-School Suspension")+SUMIFS(ES_2[LENGTH_EX_SU],ES_2[STN],ES_2[[#This Row],[STN]],ES_2[DISCIPLINE_TYPE],"Expulsion")</f>
        <v>2</v>
      </c>
      <c r="J169" s="1">
        <f>IF(ES_2[[#This Row],[Count Exp/Sus]]&gt;10,1,0)</f>
        <v>0</v>
      </c>
      <c r="K169" s="1">
        <f t="shared" si="5"/>
        <v>0</v>
      </c>
      <c r="L169" s="1">
        <f>IF(J169=1,IF(COUNTIFS($A$3:A169,A169,$J$3:J169,1)=1,A169&amp;"-included",0),0)</f>
        <v>0</v>
      </c>
      <c r="M169" s="1" cm="1">
        <f t="array" ref="M169">IF(ES_2[[#This Row],[Included Exp/Sus]]=1,IF(SUMPRODUCT((ES_2[STN]=ES_2[[#This Row],[STN]])*(ES_2[Included Exp/Sus]=1)*(ROW(ES_2[STN])&lt;=ROW()))=1,1,0),0)</f>
        <v>0</v>
      </c>
      <c r="N169" s="1" t="str">
        <f>_xlfn.XLOOKUP(ES_2[[#This Row],[STN]],SE_2[STN],SE_2[Ethnicity],"",0)</f>
        <v>White</v>
      </c>
    </row>
    <row r="170" spans="1:14" ht="14.45">
      <c r="A170" s="1">
        <v>22916139</v>
      </c>
      <c r="B170" s="1">
        <v>2</v>
      </c>
      <c r="C170" s="2">
        <v>2</v>
      </c>
      <c r="D170" s="1" t="s">
        <v>31</v>
      </c>
      <c r="E170" s="2">
        <v>15</v>
      </c>
      <c r="F170" s="1" t="s">
        <v>27</v>
      </c>
      <c r="G170" s="2">
        <v>1</v>
      </c>
      <c r="H170" s="1" t="s">
        <v>26</v>
      </c>
      <c r="I170" s="1">
        <f>SUMIFS(ES_2[LENGTH_EX_SU],ES_2[STN],ES_2[[#This Row],[STN]],ES_2[DISCIPLINE_TYPE],"Out-of-School Suspension")+SUMIFS(ES_2[LENGTH_EX_SU],ES_2[STN],ES_2[[#This Row],[STN]],ES_2[DISCIPLINE_TYPE],"Expulsion")</f>
        <v>2</v>
      </c>
      <c r="J170" s="1">
        <f>IF(ES_2[[#This Row],[Count Exp/Sus]]&gt;10,1,0)</f>
        <v>0</v>
      </c>
      <c r="K170" s="1">
        <f t="shared" si="5"/>
        <v>0</v>
      </c>
      <c r="L170" s="1">
        <f>IF(J170=1,IF(COUNTIFS($A$3:A170,A170,$J$3:J170,1)=1,A170&amp;"-included",0),0)</f>
        <v>0</v>
      </c>
      <c r="M170" s="1" cm="1">
        <f t="array" ref="M170">IF(ES_2[[#This Row],[Included Exp/Sus]]=1,IF(SUMPRODUCT((ES_2[STN]=ES_2[[#This Row],[STN]])*(ES_2[Included Exp/Sus]=1)*(ROW(ES_2[STN])&lt;=ROW()))=1,1,0),0)</f>
        <v>0</v>
      </c>
      <c r="N170" s="1" t="str">
        <f>_xlfn.XLOOKUP(ES_2[[#This Row],[STN]],SE_2[STN],SE_2[Ethnicity],"",0)</f>
        <v>White</v>
      </c>
    </row>
    <row r="171" spans="1:14" ht="14.45">
      <c r="A171" s="1">
        <v>22916139</v>
      </c>
      <c r="B171" s="1">
        <v>2</v>
      </c>
      <c r="C171" s="2">
        <v>2</v>
      </c>
      <c r="D171" s="1" t="s">
        <v>31</v>
      </c>
      <c r="E171" s="2">
        <v>15</v>
      </c>
      <c r="F171" s="1" t="s">
        <v>27</v>
      </c>
      <c r="G171" s="2">
        <v>1</v>
      </c>
      <c r="H171" s="1" t="s">
        <v>26</v>
      </c>
      <c r="I171" s="1">
        <f>SUMIFS(ES_2[LENGTH_EX_SU],ES_2[STN],ES_2[[#This Row],[STN]],ES_2[DISCIPLINE_TYPE],"Out-of-School Suspension")+SUMIFS(ES_2[LENGTH_EX_SU],ES_2[STN],ES_2[[#This Row],[STN]],ES_2[DISCIPLINE_TYPE],"Expulsion")</f>
        <v>2</v>
      </c>
      <c r="J171" s="1">
        <f>IF(ES_2[[#This Row],[Count Exp/Sus]]&gt;10,1,0)</f>
        <v>0</v>
      </c>
      <c r="K171" s="1">
        <f t="shared" si="5"/>
        <v>0</v>
      </c>
      <c r="L171" s="1">
        <f>IF(J171=1,IF(COUNTIFS($A$3:A171,A171,$J$3:J171,1)=1,A171&amp;"-included",0),0)</f>
        <v>0</v>
      </c>
      <c r="M171" s="1" cm="1">
        <f t="array" ref="M171">IF(ES_2[[#This Row],[Included Exp/Sus]]=1,IF(SUMPRODUCT((ES_2[STN]=ES_2[[#This Row],[STN]])*(ES_2[Included Exp/Sus]=1)*(ROW(ES_2[STN])&lt;=ROW()))=1,1,0),0)</f>
        <v>0</v>
      </c>
      <c r="N171" s="1" t="str">
        <f>_xlfn.XLOOKUP(ES_2[[#This Row],[STN]],SE_2[STN],SE_2[Ethnicity],"",0)</f>
        <v>White</v>
      </c>
    </row>
    <row r="172" spans="1:14" ht="14.45">
      <c r="A172" s="1">
        <v>22916139</v>
      </c>
      <c r="B172" s="1">
        <v>2</v>
      </c>
      <c r="C172" s="2">
        <v>1</v>
      </c>
      <c r="D172" s="1" t="s">
        <v>24</v>
      </c>
      <c r="E172" s="2">
        <v>10</v>
      </c>
      <c r="F172" s="1" t="s">
        <v>25</v>
      </c>
      <c r="G172" s="2">
        <v>1</v>
      </c>
      <c r="H172" s="1" t="s">
        <v>29</v>
      </c>
      <c r="I172" s="1">
        <f>SUMIFS(ES_2[LENGTH_EX_SU],ES_2[STN],ES_2[[#This Row],[STN]],ES_2[DISCIPLINE_TYPE],"Out-of-School Suspension")+SUMIFS(ES_2[LENGTH_EX_SU],ES_2[STN],ES_2[[#This Row],[STN]],ES_2[DISCIPLINE_TYPE],"Expulsion")</f>
        <v>2</v>
      </c>
      <c r="J172" s="1">
        <f>IF(ES_2[[#This Row],[Count Exp/Sus]]&gt;10,1,0)</f>
        <v>0</v>
      </c>
      <c r="K172" s="1">
        <f t="shared" si="5"/>
        <v>0</v>
      </c>
      <c r="L172" s="1">
        <f>IF(J172=1,IF(COUNTIFS($A$3:A172,A172,$J$3:J172,1)=1,A172&amp;"-included",0),0)</f>
        <v>0</v>
      </c>
      <c r="M172" s="1" cm="1">
        <f t="array" ref="M172">IF(ES_2[[#This Row],[Included Exp/Sus]]=1,IF(SUMPRODUCT((ES_2[STN]=ES_2[[#This Row],[STN]])*(ES_2[Included Exp/Sus]=1)*(ROW(ES_2[STN])&lt;=ROW()))=1,1,0),0)</f>
        <v>0</v>
      </c>
      <c r="N172" s="1" t="str">
        <f>_xlfn.XLOOKUP(ES_2[[#This Row],[STN]],SE_2[STN],SE_2[Ethnicity],"",0)</f>
        <v>White</v>
      </c>
    </row>
    <row r="173" spans="1:14" ht="14.45">
      <c r="A173" s="1">
        <v>22916139</v>
      </c>
      <c r="B173" s="1">
        <v>4</v>
      </c>
      <c r="C173" s="2">
        <v>1</v>
      </c>
      <c r="D173" s="1" t="s">
        <v>24</v>
      </c>
      <c r="E173" s="2">
        <v>11</v>
      </c>
      <c r="F173" s="1" t="s">
        <v>36</v>
      </c>
      <c r="G173" s="2">
        <v>1</v>
      </c>
      <c r="H173" s="1" t="s">
        <v>26</v>
      </c>
      <c r="I173" s="1">
        <f>SUMIFS(ES_2[LENGTH_EX_SU],ES_2[STN],ES_2[[#This Row],[STN]],ES_2[DISCIPLINE_TYPE],"Out-of-School Suspension")+SUMIFS(ES_2[LENGTH_EX_SU],ES_2[STN],ES_2[[#This Row],[STN]],ES_2[DISCIPLINE_TYPE],"Expulsion")</f>
        <v>2</v>
      </c>
      <c r="J173" s="1">
        <f>IF(ES_2[[#This Row],[Count Exp/Sus]]&gt;10,1,0)</f>
        <v>0</v>
      </c>
      <c r="K173" s="1">
        <f t="shared" si="5"/>
        <v>0</v>
      </c>
      <c r="L173" s="1">
        <f>IF(J173=1,IF(COUNTIFS($A$3:A173,A173,$J$3:J173,1)=1,A173&amp;"-included",0),0)</f>
        <v>0</v>
      </c>
      <c r="M173" s="1" cm="1">
        <f t="array" ref="M173">IF(ES_2[[#This Row],[Included Exp/Sus]]=1,IF(SUMPRODUCT((ES_2[STN]=ES_2[[#This Row],[STN]])*(ES_2[Included Exp/Sus]=1)*(ROW(ES_2[STN])&lt;=ROW()))=1,1,0),0)</f>
        <v>0</v>
      </c>
      <c r="N173" s="1" t="str">
        <f>_xlfn.XLOOKUP(ES_2[[#This Row],[STN]],SE_2[STN],SE_2[Ethnicity],"",0)</f>
        <v>White</v>
      </c>
    </row>
    <row r="174" spans="1:14" ht="14.45">
      <c r="A174" s="1">
        <v>22917214</v>
      </c>
      <c r="B174" s="1">
        <v>4</v>
      </c>
      <c r="C174" s="2">
        <v>1</v>
      </c>
      <c r="D174" s="1" t="s">
        <v>24</v>
      </c>
      <c r="E174" s="2">
        <v>15</v>
      </c>
      <c r="F174" s="1" t="s">
        <v>27</v>
      </c>
      <c r="G174" s="2">
        <v>1</v>
      </c>
      <c r="H174" s="1" t="s">
        <v>26</v>
      </c>
      <c r="I174" s="1">
        <f>SUMIFS(ES_2[LENGTH_EX_SU],ES_2[STN],ES_2[[#This Row],[STN]],ES_2[DISCIPLINE_TYPE],"Out-of-School Suspension")+SUMIFS(ES_2[LENGTH_EX_SU],ES_2[STN],ES_2[[#This Row],[STN]],ES_2[DISCIPLINE_TYPE],"Expulsion")</f>
        <v>3</v>
      </c>
      <c r="J174" s="1">
        <f>IF(ES_2[[#This Row],[Count Exp/Sus]]&gt;10,1,0)</f>
        <v>0</v>
      </c>
      <c r="K174" s="1">
        <f t="shared" si="5"/>
        <v>0</v>
      </c>
      <c r="L174" s="1">
        <f>IF(J174=1,IF(COUNTIFS($A$3:A174,A174,$J$3:J174,1)=1,A174&amp;"-included",0),0)</f>
        <v>0</v>
      </c>
      <c r="M174" s="1" cm="1">
        <f t="array" ref="M174">IF(ES_2[[#This Row],[Included Exp/Sus]]=1,IF(SUMPRODUCT((ES_2[STN]=ES_2[[#This Row],[STN]])*(ES_2[Included Exp/Sus]=1)*(ROW(ES_2[STN])&lt;=ROW()))=1,1,0),0)</f>
        <v>0</v>
      </c>
      <c r="N174" s="1" t="str">
        <f>_xlfn.XLOOKUP(ES_2[[#This Row],[STN]],SE_2[STN],SE_2[Ethnicity],"",0)</f>
        <v>Black - African American</v>
      </c>
    </row>
    <row r="175" spans="1:14" ht="14.45">
      <c r="A175" s="1">
        <v>22917214</v>
      </c>
      <c r="B175" s="1">
        <v>5</v>
      </c>
      <c r="C175" s="2">
        <v>2</v>
      </c>
      <c r="D175" s="1" t="s">
        <v>31</v>
      </c>
      <c r="E175" s="2">
        <v>19</v>
      </c>
      <c r="F175" s="1" t="s">
        <v>37</v>
      </c>
      <c r="G175" s="2">
        <v>3</v>
      </c>
      <c r="H175" s="1" t="s">
        <v>29</v>
      </c>
      <c r="I175" s="1">
        <f>SUMIFS(ES_2[LENGTH_EX_SU],ES_2[STN],ES_2[[#This Row],[STN]],ES_2[DISCIPLINE_TYPE],"Out-of-School Suspension")+SUMIFS(ES_2[LENGTH_EX_SU],ES_2[STN],ES_2[[#This Row],[STN]],ES_2[DISCIPLINE_TYPE],"Expulsion")</f>
        <v>3</v>
      </c>
      <c r="J175" s="1">
        <f>IF(ES_2[[#This Row],[Count Exp/Sus]]&gt;10,1,0)</f>
        <v>0</v>
      </c>
      <c r="K175" s="1">
        <f t="shared" si="5"/>
        <v>0</v>
      </c>
      <c r="L175" s="1">
        <f>IF(J175=1,IF(COUNTIFS($A$3:A175,A175,$J$3:J175,1)=1,A175&amp;"-included",0),0)</f>
        <v>0</v>
      </c>
      <c r="M175" s="1" cm="1">
        <f t="array" ref="M175">IF(ES_2[[#This Row],[Included Exp/Sus]]=1,IF(SUMPRODUCT((ES_2[STN]=ES_2[[#This Row],[STN]])*(ES_2[Included Exp/Sus]=1)*(ROW(ES_2[STN])&lt;=ROW()))=1,1,0),0)</f>
        <v>0</v>
      </c>
      <c r="N175" s="1" t="str">
        <f>_xlfn.XLOOKUP(ES_2[[#This Row],[STN]],SE_2[STN],SE_2[Ethnicity],"",0)</f>
        <v>Black - African American</v>
      </c>
    </row>
    <row r="176" spans="1:14" ht="14.45">
      <c r="A176" s="1">
        <v>22917216</v>
      </c>
      <c r="B176" s="1">
        <v>5</v>
      </c>
      <c r="C176" s="2">
        <v>2</v>
      </c>
      <c r="D176" s="1" t="s">
        <v>31</v>
      </c>
      <c r="E176" s="2">
        <v>11</v>
      </c>
      <c r="F176" s="1" t="s">
        <v>36</v>
      </c>
      <c r="G176" s="2">
        <v>4</v>
      </c>
      <c r="H176" s="1" t="s">
        <v>29</v>
      </c>
      <c r="I176" s="1">
        <f>SUMIFS(ES_2[LENGTH_EX_SU],ES_2[STN],ES_2[[#This Row],[STN]],ES_2[DISCIPLINE_TYPE],"Out-of-School Suspension")+SUMIFS(ES_2[LENGTH_EX_SU],ES_2[STN],ES_2[[#This Row],[STN]],ES_2[DISCIPLINE_TYPE],"Expulsion")</f>
        <v>4</v>
      </c>
      <c r="J176" s="1">
        <f>IF(ES_2[[#This Row],[Count Exp/Sus]]&gt;10,1,0)</f>
        <v>0</v>
      </c>
      <c r="K176" s="1">
        <f t="shared" si="5"/>
        <v>0</v>
      </c>
      <c r="L176" s="1">
        <f>IF(J176=1,IF(COUNTIFS($A$3:A176,A176,$J$3:J176,1)=1,A176&amp;"-included",0),0)</f>
        <v>0</v>
      </c>
      <c r="M176" s="1" cm="1">
        <f t="array" ref="M176">IF(ES_2[[#This Row],[Included Exp/Sus]]=1,IF(SUMPRODUCT((ES_2[STN]=ES_2[[#This Row],[STN]])*(ES_2[Included Exp/Sus]=1)*(ROW(ES_2[STN])&lt;=ROW()))=1,1,0),0)</f>
        <v>0</v>
      </c>
      <c r="N176" s="1" t="str">
        <f>_xlfn.XLOOKUP(ES_2[[#This Row],[STN]],SE_2[STN],SE_2[Ethnicity],"",0)</f>
        <v/>
      </c>
    </row>
    <row r="177" spans="1:14" ht="14.45">
      <c r="A177" s="1">
        <v>23315060</v>
      </c>
      <c r="B177" s="1">
        <v>4</v>
      </c>
      <c r="C177" s="2">
        <v>2</v>
      </c>
      <c r="D177" s="1" t="s">
        <v>31</v>
      </c>
      <c r="E177" s="2">
        <v>11</v>
      </c>
      <c r="F177" s="1" t="s">
        <v>36</v>
      </c>
      <c r="G177" s="2">
        <v>1</v>
      </c>
      <c r="H177" s="1" t="s">
        <v>26</v>
      </c>
      <c r="I177" s="1">
        <f>SUMIFS(ES_2[LENGTH_EX_SU],ES_2[STN],ES_2[[#This Row],[STN]],ES_2[DISCIPLINE_TYPE],"Out-of-School Suspension")+SUMIFS(ES_2[LENGTH_EX_SU],ES_2[STN],ES_2[[#This Row],[STN]],ES_2[DISCIPLINE_TYPE],"Expulsion")</f>
        <v>2</v>
      </c>
      <c r="J177" s="1">
        <f>IF(ES_2[[#This Row],[Count Exp/Sus]]&gt;10,1,0)</f>
        <v>0</v>
      </c>
      <c r="K177" s="1">
        <f t="shared" si="5"/>
        <v>0</v>
      </c>
      <c r="L177" s="1">
        <f>IF(J177=1,IF(COUNTIFS($A$3:A177,A177,$J$3:J177,1)=1,A177&amp;"-included",0),0)</f>
        <v>0</v>
      </c>
      <c r="M177" s="1" cm="1">
        <f t="array" ref="M177">IF(ES_2[[#This Row],[Included Exp/Sus]]=1,IF(SUMPRODUCT((ES_2[STN]=ES_2[[#This Row],[STN]])*(ES_2[Included Exp/Sus]=1)*(ROW(ES_2[STN])&lt;=ROW()))=1,1,0),0)</f>
        <v>0</v>
      </c>
      <c r="N177" s="1" t="str">
        <f>_xlfn.XLOOKUP(ES_2[[#This Row],[STN]],SE_2[STN],SE_2[Ethnicity],"",0)</f>
        <v>Hispanic Ethnicity and of any race</v>
      </c>
    </row>
    <row r="178" spans="1:14" ht="14.45">
      <c r="A178" s="1">
        <v>23315060</v>
      </c>
      <c r="B178" s="1">
        <v>4</v>
      </c>
      <c r="C178" s="2">
        <v>2</v>
      </c>
      <c r="D178" s="1" t="s">
        <v>31</v>
      </c>
      <c r="E178" s="2">
        <v>11</v>
      </c>
      <c r="F178" s="1" t="s">
        <v>36</v>
      </c>
      <c r="G178" s="2">
        <v>1</v>
      </c>
      <c r="H178" s="1" t="s">
        <v>26</v>
      </c>
      <c r="I178" s="1">
        <f>SUMIFS(ES_2[LENGTH_EX_SU],ES_2[STN],ES_2[[#This Row],[STN]],ES_2[DISCIPLINE_TYPE],"Out-of-School Suspension")+SUMIFS(ES_2[LENGTH_EX_SU],ES_2[STN],ES_2[[#This Row],[STN]],ES_2[DISCIPLINE_TYPE],"Expulsion")</f>
        <v>2</v>
      </c>
      <c r="J178" s="1">
        <f>IF(ES_2[[#This Row],[Count Exp/Sus]]&gt;10,1,0)</f>
        <v>0</v>
      </c>
      <c r="K178" s="1">
        <f t="shared" si="5"/>
        <v>0</v>
      </c>
      <c r="L178" s="1">
        <f>IF(J178=1,IF(COUNTIFS($A$3:A178,A178,$J$3:J178,1)=1,A178&amp;"-included",0),0)</f>
        <v>0</v>
      </c>
      <c r="M178" s="1" cm="1">
        <f t="array" ref="M178">IF(ES_2[[#This Row],[Included Exp/Sus]]=1,IF(SUMPRODUCT((ES_2[STN]=ES_2[[#This Row],[STN]])*(ES_2[Included Exp/Sus]=1)*(ROW(ES_2[STN])&lt;=ROW()))=1,1,0),0)</f>
        <v>0</v>
      </c>
      <c r="N178" s="1" t="str">
        <f>_xlfn.XLOOKUP(ES_2[[#This Row],[STN]],SE_2[STN],SE_2[Ethnicity],"",0)</f>
        <v>Hispanic Ethnicity and of any race</v>
      </c>
    </row>
    <row r="179" spans="1:14" ht="15.75" customHeight="1">
      <c r="A179" s="1">
        <v>23315069</v>
      </c>
      <c r="B179" s="1"/>
      <c r="C179" s="2"/>
      <c r="D179" s="1" t="s">
        <v>31</v>
      </c>
      <c r="E179" s="2"/>
      <c r="F179" s="1"/>
      <c r="G179" s="2">
        <v>19</v>
      </c>
      <c r="H179" s="1" t="s">
        <v>26</v>
      </c>
      <c r="I179" s="1">
        <f>SUMIFS(ES_2[LENGTH_EX_SU],ES_2[STN],ES_2[[#This Row],[STN]],ES_2[DISCIPLINE_TYPE],"Out-of-School Suspension")+SUMIFS(ES_2[LENGTH_EX_SU],ES_2[STN],ES_2[[#This Row],[STN]],ES_2[DISCIPLINE_TYPE],"Expulsion")</f>
        <v>29</v>
      </c>
      <c r="J179" s="1">
        <f>IF(ES_2[[#This Row],[Count Exp/Sus]]&gt;10,1,0)</f>
        <v>1</v>
      </c>
      <c r="K179" s="1" t="str">
        <f t="shared" si="5"/>
        <v>23315069-included</v>
      </c>
      <c r="L179" s="1" t="str">
        <f>IF(J179=1,IF(COUNTIFS($A$3:A179,A179,$J$3:J179,1)=1,A179&amp;"-included",0),0)</f>
        <v>23315069-included</v>
      </c>
      <c r="M179" s="1" cm="1">
        <f t="array" ref="M179">IF(ES_2[[#This Row],[Included Exp/Sus]]=1,IF(SUMPRODUCT((ES_2[STN]=ES_2[[#This Row],[STN]])*(ES_2[Included Exp/Sus]=1)*(ROW(ES_2[STN])&lt;=ROW()))=1,1,0),0)</f>
        <v>1</v>
      </c>
      <c r="N179" s="1" t="str">
        <f>_xlfn.XLOOKUP(ES_2[[#This Row],[STN]],SE_2[STN],SE_2[Ethnicity],"",0)</f>
        <v/>
      </c>
    </row>
    <row r="180" spans="1:14" ht="15.75" customHeight="1">
      <c r="A180" s="1">
        <v>23315069</v>
      </c>
      <c r="B180" s="1"/>
      <c r="C180" s="2"/>
      <c r="D180" s="1" t="s">
        <v>35</v>
      </c>
      <c r="E180" s="2"/>
      <c r="F180" s="1" t="s">
        <v>25</v>
      </c>
      <c r="G180" s="2">
        <v>10</v>
      </c>
      <c r="H180" s="1" t="s">
        <v>26</v>
      </c>
      <c r="I180" s="1">
        <f>SUMIFS(ES_2[LENGTH_EX_SU],ES_2[STN],ES_2[[#This Row],[STN]],ES_2[DISCIPLINE_TYPE],"Out-of-School Suspension")+SUMIFS(ES_2[LENGTH_EX_SU],ES_2[STN],ES_2[[#This Row],[STN]],ES_2[DISCIPLINE_TYPE],"Expulsion")</f>
        <v>29</v>
      </c>
      <c r="J180" s="1">
        <f>IF(ES_2[[#This Row],[Count Exp/Sus]]&gt;10,1,0)</f>
        <v>1</v>
      </c>
      <c r="K180" s="1" t="str">
        <f t="shared" si="5"/>
        <v>23315069-included</v>
      </c>
      <c r="L180">
        <f>IF(J180=1,IF(COUNTIFS($A$3:A184,A180,$J$3:J184,1)=1,A180&amp;"-included",0),0)</f>
        <v>0</v>
      </c>
      <c r="M180" cm="1">
        <f t="array" ref="M180">IF(ES_2[[#This Row],[Included Exp/Sus]]=1,IF(SUMPRODUCT((ES_2[STN]=ES_2[[#This Row],[STN]])*(ES_2[Included Exp/Sus]=1)*(ROW(ES_2[STN])&lt;=ROW()))=1,1,0),0)</f>
        <v>0</v>
      </c>
      <c r="N180" s="1" t="str">
        <f>_xlfn.XLOOKUP(ES_2[[#This Row],[STN]],SE_2[STN],SE_2[Ethnicity],"",0)</f>
        <v/>
      </c>
    </row>
    <row r="181" spans="1:14" ht="15.75" customHeight="1">
      <c r="A181" s="1">
        <v>23315070</v>
      </c>
      <c r="B181" s="1"/>
      <c r="C181" s="2"/>
      <c r="D181" s="1" t="s">
        <v>35</v>
      </c>
      <c r="E181" s="2"/>
      <c r="F181" s="1"/>
      <c r="G181" s="2">
        <v>11</v>
      </c>
      <c r="H181" s="1" t="s">
        <v>26</v>
      </c>
      <c r="I181" s="1">
        <f>SUMIFS(ES_2[LENGTH_EX_SU],ES_2[STN],ES_2[[#This Row],[STN]],ES_2[DISCIPLINE_TYPE],"Out-of-School Suspension")+SUMIFS(ES_2[LENGTH_EX_SU],ES_2[STN],ES_2[[#This Row],[STN]],ES_2[DISCIPLINE_TYPE],"Expulsion")</f>
        <v>11</v>
      </c>
      <c r="J181" s="1">
        <f>IF(ES_2[[#This Row],[Count Exp/Sus]]&gt;10,1,0)</f>
        <v>1</v>
      </c>
      <c r="K181" s="1" t="str">
        <f t="shared" si="5"/>
        <v>23315070-included</v>
      </c>
      <c r="L181" t="str">
        <f>IF(J181=1,IF(COUNTIFS($A$3:A184,A181,$J$3:J184,1)=1,A181&amp;"-included",0),0)</f>
        <v>23315070-included</v>
      </c>
      <c r="M181" s="1" cm="1">
        <f t="array" ref="M181">IF(ES_2[[#This Row],[Included Exp/Sus]]=1,IF(SUMPRODUCT((ES_2[STN]=ES_2[[#This Row],[STN]])*(ES_2[Included Exp/Sus]=1)*(ROW(ES_2[STN])&lt;=ROW()))=1,1,0),0)</f>
        <v>1</v>
      </c>
      <c r="N181" s="1" t="str">
        <f>_xlfn.XLOOKUP(ES_2[[#This Row],[STN]],SE_2[STN],SE_2[Ethnicity],"",0)</f>
        <v/>
      </c>
    </row>
    <row r="182" spans="1:14" ht="15.75" customHeight="1">
      <c r="A182" s="1">
        <v>12345678</v>
      </c>
      <c r="B182" s="1"/>
      <c r="C182" s="2"/>
      <c r="D182" s="1" t="s">
        <v>31</v>
      </c>
      <c r="E182" s="2"/>
      <c r="F182" s="1"/>
      <c r="G182" s="2">
        <v>21</v>
      </c>
      <c r="H182" s="1" t="s">
        <v>29</v>
      </c>
      <c r="I182" s="1">
        <f>SUMIFS(ES_2[LENGTH_EX_SU],ES_2[STN],ES_2[[#This Row],[STN]],ES_2[DISCIPLINE_TYPE],"Out-of-School Suspension")+SUMIFS(ES_2[LENGTH_EX_SU],ES_2[STN],ES_2[[#This Row],[STN]],ES_2[DISCIPLINE_TYPE],"Expulsion")</f>
        <v>42</v>
      </c>
      <c r="J182" s="1">
        <f>IF(ES_2[[#This Row],[Count Exp/Sus]]&gt;10,1,0)</f>
        <v>1</v>
      </c>
      <c r="K182" s="1" t="str">
        <f t="shared" si="5"/>
        <v>12345678-included</v>
      </c>
      <c r="L182">
        <f>IF(J182=1,IF(COUNTIFS($A$3:A184,A182,$J$3:J184,1)=1,A182&amp;"-included",0),0)</f>
        <v>0</v>
      </c>
      <c r="M182" cm="1">
        <f t="array" ref="M182">IF(ES_2[[#This Row],[Included Exp/Sus]]=1,IF(SUMPRODUCT((ES_2[STN]=ES_2[[#This Row],[STN]])*(ES_2[Included Exp/Sus]=1)*(ROW(ES_2[STN])&lt;=ROW()))=1,1,0),0)</f>
        <v>1</v>
      </c>
      <c r="N182" s="1" t="str">
        <f>_xlfn.XLOOKUP(ES_2[[#This Row],[STN]],SE_2[STN],SE_2[Ethnicity],"",0)</f>
        <v/>
      </c>
    </row>
    <row r="183" spans="1:14" ht="15.75" customHeight="1">
      <c r="A183" s="1">
        <v>12345678</v>
      </c>
      <c r="B183" s="1"/>
      <c r="C183" s="2"/>
      <c r="D183" s="1" t="s">
        <v>31</v>
      </c>
      <c r="E183" s="2"/>
      <c r="F183" s="1"/>
      <c r="G183" s="2">
        <v>21</v>
      </c>
      <c r="H183" s="1" t="s">
        <v>29</v>
      </c>
      <c r="I183" s="1">
        <f>SUMIFS(ES_2[LENGTH_EX_SU],ES_2[STN],ES_2[[#This Row],[STN]],ES_2[DISCIPLINE_TYPE],"Out-of-School Suspension")+SUMIFS(ES_2[LENGTH_EX_SU],ES_2[STN],ES_2[[#This Row],[STN]],ES_2[DISCIPLINE_TYPE],"Expulsion")</f>
        <v>42</v>
      </c>
      <c r="J183" s="1">
        <f>IF(ES_2[[#This Row],[Count Exp/Sus]]&gt;10,1,0)</f>
        <v>1</v>
      </c>
      <c r="K183" s="1" t="str">
        <f t="shared" si="5"/>
        <v>12345678-included</v>
      </c>
      <c r="L183">
        <f>IF(J183=1,IF(COUNTIFS($A$3:A184,A183,$J$3:J184,1)=1,A183&amp;"-included",0),0)</f>
        <v>0</v>
      </c>
      <c r="M183" cm="1">
        <f t="array" ref="M183">IF(ES_2[[#This Row],[Included Exp/Sus]]=1,IF(SUMPRODUCT((ES_2[STN]=ES_2[[#This Row],[STN]])*(ES_2[Included Exp/Sus]=1)*(ROW(ES_2[STN])&lt;=ROW()))=1,1,0),0)</f>
        <v>0</v>
      </c>
      <c r="N183" s="1" t="str">
        <f>_xlfn.XLOOKUP(ES_2[[#This Row],[STN]],SE_2[STN],SE_2[Ethnicity],"",0)</f>
        <v/>
      </c>
    </row>
    <row r="184" spans="1:14" ht="15.75" customHeight="1">
      <c r="A184" s="1">
        <v>12345689</v>
      </c>
      <c r="B184" s="1"/>
      <c r="C184" s="2"/>
      <c r="D184" s="1" t="s">
        <v>35</v>
      </c>
      <c r="E184" s="2"/>
      <c r="F184" s="1"/>
      <c r="G184" s="2">
        <v>12</v>
      </c>
      <c r="H184" s="1" t="s">
        <v>26</v>
      </c>
      <c r="I184" s="1">
        <f>SUMIFS(ES_2[LENGTH_EX_SU],ES_2[STN],ES_2[[#This Row],[STN]],ES_2[DISCIPLINE_TYPE],"Out-of-School Suspension")+SUMIFS(ES_2[LENGTH_EX_SU],ES_2[STN],ES_2[[#This Row],[STN]],ES_2[DISCIPLINE_TYPE],"Expulsion")</f>
        <v>12</v>
      </c>
      <c r="J184" s="1">
        <f>IF(ES_2[[#This Row],[Count Exp/Sus]]&gt;10,1,0)</f>
        <v>1</v>
      </c>
      <c r="K184" s="1" t="str">
        <f>IF(J184=1,A184 &amp;"-included",0)</f>
        <v>12345689-included</v>
      </c>
      <c r="L184" s="1" t="str">
        <f>IF(J184=1,IF(COUNTIFS($A$3:A184,A184,$J$3:J184,1)=1,A184&amp;"-included",0),0)</f>
        <v>12345689-included</v>
      </c>
      <c r="M184" cm="1">
        <f t="array" ref="M184">IF(ES_2[[#This Row],[Included Exp/Sus]]=1,IF(SUMPRODUCT((ES_2[STN]=ES_2[[#This Row],[STN]])*(ES_2[Included Exp/Sus]=1)*(ROW(ES_2[STN])&lt;=ROW()))=1,1,0),0)</f>
        <v>1</v>
      </c>
      <c r="N184" s="1" t="str">
        <f>_xlfn.XLOOKUP(ES_2[[#This Row],[STN]],SE_2[STN],SE_2[Ethnicity],"",0)</f>
        <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outlinePr summaryBelow="0" summaryRight="0"/>
  </sheetPr>
  <dimension ref="A2:N298"/>
  <sheetViews>
    <sheetView tabSelected="1" topLeftCell="C1" workbookViewId="0">
      <selection activeCell="K333" sqref="K333"/>
    </sheetView>
  </sheetViews>
  <sheetFormatPr defaultColWidth="12.5703125" defaultRowHeight="15.75" customHeight="1"/>
  <cols>
    <col min="2" max="2" width="15.140625" customWidth="1"/>
    <col min="3" max="3" width="14" customWidth="1"/>
    <col min="4" max="4" width="30.28515625" customWidth="1"/>
    <col min="5" max="5" width="23.85546875" customWidth="1"/>
    <col min="6" max="6" width="21" customWidth="1"/>
    <col min="7" max="7" width="16.7109375" customWidth="1"/>
    <col min="8" max="8" width="13.42578125" customWidth="1"/>
    <col min="9" max="9" width="18.5703125" customWidth="1"/>
    <col min="10" max="13" width="22.28515625" customWidth="1"/>
    <col min="14" max="14" width="12.5703125" customWidth="1"/>
    <col min="15" max="15" width="13.85546875" bestFit="1" customWidth="1"/>
    <col min="16" max="16" width="12.28515625" customWidth="1"/>
    <col min="17" max="17" width="12.140625" customWidth="1"/>
    <col min="18" max="18" width="12.5703125" customWidth="1"/>
    <col min="19" max="19" width="12.140625" customWidth="1"/>
    <col min="20" max="20" width="11.7109375" bestFit="1" customWidth="1"/>
  </cols>
  <sheetData>
    <row r="2" spans="1:14" ht="15.75" customHeight="1">
      <c r="A2" s="1" t="s">
        <v>10</v>
      </c>
      <c r="B2" s="1" t="s">
        <v>11</v>
      </c>
      <c r="C2" s="1" t="s">
        <v>12</v>
      </c>
      <c r="D2" s="1" t="s">
        <v>13</v>
      </c>
      <c r="E2" s="1" t="s">
        <v>14</v>
      </c>
      <c r="F2" s="1" t="s">
        <v>15</v>
      </c>
      <c r="G2" s="1" t="s">
        <v>16</v>
      </c>
      <c r="H2" s="1" t="s">
        <v>17</v>
      </c>
      <c r="I2" s="17" t="s">
        <v>18</v>
      </c>
      <c r="J2" s="17" t="s">
        <v>19</v>
      </c>
      <c r="K2" s="17" t="s">
        <v>20</v>
      </c>
      <c r="L2" s="17" t="s">
        <v>21</v>
      </c>
      <c r="M2" s="17" t="s">
        <v>22</v>
      </c>
      <c r="N2" s="15" t="s">
        <v>23</v>
      </c>
    </row>
    <row r="3" spans="1:14" ht="15.75" customHeight="1">
      <c r="A3" s="1">
        <v>342312206</v>
      </c>
      <c r="B3" s="1">
        <v>8</v>
      </c>
      <c r="C3" s="2">
        <v>1</v>
      </c>
      <c r="D3" s="1" t="s">
        <v>24</v>
      </c>
      <c r="E3" s="2">
        <v>15</v>
      </c>
      <c r="F3" s="1" t="s">
        <v>27</v>
      </c>
      <c r="G3" s="2">
        <v>1</v>
      </c>
      <c r="H3" s="1" t="s">
        <v>29</v>
      </c>
      <c r="I3" s="1">
        <f>SUMIFS(ES_3[LENGTH_EX_SU],ES_3[STN],ES_3[[#This Row],[STN]],ES_3[DISCIPLINE_TYPE],"Out-of-School Suspension")+SUMIFS(ES_3[LENGTH_EX_SU],ES_3[STN],ES_3[[#This Row],[STN]],ES_3[DISCIPLINE_TYPE],"Expulsion")</f>
        <v>0</v>
      </c>
      <c r="J3" s="1">
        <f>IF(ES_3[[#This Row],[Count Exp/Sus]]&gt;10,1,0)</f>
        <v>0</v>
      </c>
      <c r="K3" s="1">
        <f t="shared" ref="K3:K66" si="0">IF(J3=1,A3&amp;"-included",0)</f>
        <v>0</v>
      </c>
      <c r="L3" s="1">
        <f>IF(J3=1,IF(COUNTIFS($A$3:A3,A3,$J$3:J3,1)=1,A3&amp;"-included",0),0)</f>
        <v>0</v>
      </c>
      <c r="M3" s="1" cm="1">
        <f t="array" ref="M3">IF(ES_3[[#This Row],[Included Exp/Sus]]=1,IF(SUMPRODUCT((ES_3[STN]=ES_3[[#This Row],[STN]])*(ES_3[Included Exp/Sus]=1)*(ROW(ES_3[STN])&lt;=ROW()))=1,1,0),0)</f>
        <v>0</v>
      </c>
      <c r="N3" s="1" t="str">
        <f>_xlfn.XLOOKUP(ES_3[[#This Row],[STN]],SE_3[STN],SE_3[Ethnicity],"",0)</f>
        <v>White</v>
      </c>
    </row>
    <row r="4" spans="1:14" ht="15.75" customHeight="1">
      <c r="A4" s="1">
        <v>342314001</v>
      </c>
      <c r="B4" s="1">
        <v>5</v>
      </c>
      <c r="C4" s="2">
        <v>2</v>
      </c>
      <c r="D4" s="1" t="s">
        <v>31</v>
      </c>
      <c r="E4" s="2">
        <v>10</v>
      </c>
      <c r="F4" s="1" t="s">
        <v>25</v>
      </c>
      <c r="G4" s="2">
        <v>2</v>
      </c>
      <c r="H4" s="1" t="s">
        <v>29</v>
      </c>
      <c r="I4" s="1">
        <f>SUMIFS(ES_3[LENGTH_EX_SU],ES_3[STN],ES_3[[#This Row],[STN]],ES_3[DISCIPLINE_TYPE],"Out-of-School Suspension")+SUMIFS(ES_3[LENGTH_EX_SU],ES_3[STN],ES_3[[#This Row],[STN]],ES_3[DISCIPLINE_TYPE],"Expulsion")</f>
        <v>2</v>
      </c>
      <c r="J4" s="1">
        <f>IF(ES_3[[#This Row],[Count Exp/Sus]]&gt;10,1,0)</f>
        <v>0</v>
      </c>
      <c r="K4" s="1">
        <f t="shared" si="0"/>
        <v>0</v>
      </c>
      <c r="L4" s="1">
        <f>IF(J4=1,IF(COUNTIFS($A$3:A4,A4,$J$3:J4,1)=1,A4&amp;"-included",0),0)</f>
        <v>0</v>
      </c>
      <c r="M4" s="1" cm="1">
        <f t="array" ref="M4">IF(ES_3[[#This Row],[Included Exp/Sus]]=1,IF(SUMPRODUCT((ES_3[STN]=ES_3[[#This Row],[STN]])*(ES_3[Included Exp/Sus]=1)*(ROW(ES_3[STN])&lt;=ROW()))=1,1,0),0)</f>
        <v>0</v>
      </c>
      <c r="N4" s="1" t="str">
        <f>_xlfn.XLOOKUP(ES_3[[#This Row],[STN]],SE_3[STN],SE_3[Ethnicity],"",0)</f>
        <v>White</v>
      </c>
    </row>
    <row r="5" spans="1:14" ht="15.75" customHeight="1">
      <c r="A5" s="1">
        <v>342314001</v>
      </c>
      <c r="B5" s="1">
        <v>5</v>
      </c>
      <c r="C5" s="2">
        <v>1</v>
      </c>
      <c r="D5" s="1" t="s">
        <v>24</v>
      </c>
      <c r="E5" s="2">
        <v>10</v>
      </c>
      <c r="F5" s="1" t="s">
        <v>25</v>
      </c>
      <c r="G5" s="2">
        <v>1</v>
      </c>
      <c r="H5" s="1" t="s">
        <v>29</v>
      </c>
      <c r="I5" s="1">
        <f>SUMIFS(ES_3[LENGTH_EX_SU],ES_3[STN],ES_3[[#This Row],[STN]],ES_3[DISCIPLINE_TYPE],"Out-of-School Suspension")+SUMIFS(ES_3[LENGTH_EX_SU],ES_3[STN],ES_3[[#This Row],[STN]],ES_3[DISCIPLINE_TYPE],"Expulsion")</f>
        <v>2</v>
      </c>
      <c r="J5" s="1">
        <f>IF(ES_3[[#This Row],[Count Exp/Sus]]&gt;10,1,0)</f>
        <v>0</v>
      </c>
      <c r="K5" s="1">
        <f t="shared" si="0"/>
        <v>0</v>
      </c>
      <c r="L5" s="1">
        <f>IF(J5=1,IF(COUNTIFS($A$3:A5,A5,$J$3:J5,1)=1,A5&amp;"-included",0),0)</f>
        <v>0</v>
      </c>
      <c r="M5" s="1" cm="1">
        <f t="array" ref="M5">IF(ES_3[[#This Row],[Included Exp/Sus]]=1,IF(SUMPRODUCT((ES_3[STN]=ES_3[[#This Row],[STN]])*(ES_3[Included Exp/Sus]=1)*(ROW(ES_3[STN])&lt;=ROW()))=1,1,0),0)</f>
        <v>0</v>
      </c>
      <c r="N5" s="1" t="str">
        <f>_xlfn.XLOOKUP(ES_3[[#This Row],[STN]],SE_3[STN],SE_3[Ethnicity],"",0)</f>
        <v>White</v>
      </c>
    </row>
    <row r="6" spans="1:14" ht="15.75" customHeight="1">
      <c r="A6" s="1">
        <v>371414051</v>
      </c>
      <c r="B6" s="1">
        <v>7</v>
      </c>
      <c r="C6" s="2">
        <v>1</v>
      </c>
      <c r="D6" s="1" t="s">
        <v>24</v>
      </c>
      <c r="E6" s="2">
        <v>17</v>
      </c>
      <c r="F6" s="1" t="s">
        <v>45</v>
      </c>
      <c r="G6" s="2">
        <v>1</v>
      </c>
      <c r="H6" s="1" t="s">
        <v>29</v>
      </c>
      <c r="I6" s="1">
        <f>SUMIFS(ES_3[LENGTH_EX_SU],ES_3[STN],ES_3[[#This Row],[STN]],ES_3[DISCIPLINE_TYPE],"Out-of-School Suspension")+SUMIFS(ES_3[LENGTH_EX_SU],ES_3[STN],ES_3[[#This Row],[STN]],ES_3[DISCIPLINE_TYPE],"Expulsion")</f>
        <v>0</v>
      </c>
      <c r="J6" s="1">
        <f>IF(ES_3[[#This Row],[Count Exp/Sus]]&gt;10,1,0)</f>
        <v>0</v>
      </c>
      <c r="K6" s="1">
        <f t="shared" si="0"/>
        <v>0</v>
      </c>
      <c r="L6" s="1">
        <f>IF(J6=1,IF(COUNTIFS($A$3:A6,A6,$J$3:J6,1)=1,A6&amp;"-included",0),0)</f>
        <v>0</v>
      </c>
      <c r="M6" s="1" cm="1">
        <f t="array" ref="M6">IF(ES_3[[#This Row],[Included Exp/Sus]]=1,IF(SUMPRODUCT((ES_3[STN]=ES_3[[#This Row],[STN]])*(ES_3[Included Exp/Sus]=1)*(ROW(ES_3[STN])&lt;=ROW()))=1,1,0),0)</f>
        <v>0</v>
      </c>
      <c r="N6" s="1" t="str">
        <f>_xlfn.XLOOKUP(ES_3[[#This Row],[STN]],SE_3[STN],SE_3[Ethnicity],"",0)</f>
        <v>White</v>
      </c>
    </row>
    <row r="7" spans="1:14" ht="15.75" customHeight="1">
      <c r="A7" s="1">
        <v>533712014</v>
      </c>
      <c r="B7" s="1">
        <v>8</v>
      </c>
      <c r="C7" s="2">
        <v>1</v>
      </c>
      <c r="D7" s="1" t="s">
        <v>24</v>
      </c>
      <c r="E7" s="2">
        <v>10</v>
      </c>
      <c r="F7" s="1" t="s">
        <v>25</v>
      </c>
      <c r="G7" s="2">
        <v>1</v>
      </c>
      <c r="H7" s="1" t="s">
        <v>26</v>
      </c>
      <c r="I7" s="1">
        <f>SUMIFS(ES_3[LENGTH_EX_SU],ES_3[STN],ES_3[[#This Row],[STN]],ES_3[DISCIPLINE_TYPE],"Out-of-School Suspension")+SUMIFS(ES_3[LENGTH_EX_SU],ES_3[STN],ES_3[[#This Row],[STN]],ES_3[DISCIPLINE_TYPE],"Expulsion")</f>
        <v>0</v>
      </c>
      <c r="J7" s="1">
        <f>IF(ES_3[[#This Row],[Count Exp/Sus]]&gt;10,1,0)</f>
        <v>0</v>
      </c>
      <c r="K7" s="1">
        <f t="shared" si="0"/>
        <v>0</v>
      </c>
      <c r="L7" s="1">
        <f>IF(J7=1,IF(COUNTIFS($A$3:A7,A7,$J$3:J7,1)=1,A7&amp;"-included",0),0)</f>
        <v>0</v>
      </c>
      <c r="M7" s="1" cm="1">
        <f t="array" ref="M7">IF(ES_3[[#This Row],[Included Exp/Sus]]=1,IF(SUMPRODUCT((ES_3[STN]=ES_3[[#This Row],[STN]])*(ES_3[Included Exp/Sus]=1)*(ROW(ES_3[STN])&lt;=ROW()))=1,1,0),0)</f>
        <v>0</v>
      </c>
      <c r="N7" s="1" t="str">
        <f>_xlfn.XLOOKUP(ES_3[[#This Row],[STN]],SE_3[STN],SE_3[Ethnicity],"",0)</f>
        <v>White</v>
      </c>
    </row>
    <row r="8" spans="1:14" ht="15.75" customHeight="1">
      <c r="A8" s="1">
        <v>533712014</v>
      </c>
      <c r="B8" s="1">
        <v>8</v>
      </c>
      <c r="C8" s="2">
        <v>1</v>
      </c>
      <c r="D8" s="1" t="s">
        <v>24</v>
      </c>
      <c r="E8" s="2">
        <v>10</v>
      </c>
      <c r="F8" s="1" t="s">
        <v>25</v>
      </c>
      <c r="G8" s="2">
        <v>1</v>
      </c>
      <c r="H8" s="1" t="s">
        <v>26</v>
      </c>
      <c r="I8" s="1">
        <f>SUMIFS(ES_3[LENGTH_EX_SU],ES_3[STN],ES_3[[#This Row],[STN]],ES_3[DISCIPLINE_TYPE],"Out-of-School Suspension")+SUMIFS(ES_3[LENGTH_EX_SU],ES_3[STN],ES_3[[#This Row],[STN]],ES_3[DISCIPLINE_TYPE],"Expulsion")</f>
        <v>0</v>
      </c>
      <c r="J8" s="1">
        <f>IF(ES_3[[#This Row],[Count Exp/Sus]]&gt;10,1,0)</f>
        <v>0</v>
      </c>
      <c r="K8" s="1">
        <f t="shared" si="0"/>
        <v>0</v>
      </c>
      <c r="L8" s="1">
        <f>IF(J8=1,IF(COUNTIFS($A$3:A8,A8,$J$3:J8,1)=1,A8&amp;"-included",0),0)</f>
        <v>0</v>
      </c>
      <c r="M8" s="1" cm="1">
        <f t="array" ref="M8">IF(ES_3[[#This Row],[Included Exp/Sus]]=1,IF(SUMPRODUCT((ES_3[STN]=ES_3[[#This Row],[STN]])*(ES_3[Included Exp/Sus]=1)*(ROW(ES_3[STN])&lt;=ROW()))=1,1,0),0)</f>
        <v>0</v>
      </c>
      <c r="N8" s="1" t="str">
        <f>_xlfn.XLOOKUP(ES_3[[#This Row],[STN]],SE_3[STN],SE_3[Ethnicity],"",0)</f>
        <v>White</v>
      </c>
    </row>
    <row r="9" spans="1:14" ht="15.75" customHeight="1">
      <c r="A9" s="1">
        <v>533712014</v>
      </c>
      <c r="B9" s="1">
        <v>8</v>
      </c>
      <c r="C9" s="2">
        <v>1</v>
      </c>
      <c r="D9" s="1" t="s">
        <v>24</v>
      </c>
      <c r="E9" s="2">
        <v>10</v>
      </c>
      <c r="F9" s="1" t="s">
        <v>25</v>
      </c>
      <c r="G9" s="2">
        <v>1</v>
      </c>
      <c r="H9" s="1" t="s">
        <v>26</v>
      </c>
      <c r="I9" s="1">
        <f>SUMIFS(ES_3[LENGTH_EX_SU],ES_3[STN],ES_3[[#This Row],[STN]],ES_3[DISCIPLINE_TYPE],"Out-of-School Suspension")+SUMIFS(ES_3[LENGTH_EX_SU],ES_3[STN],ES_3[[#This Row],[STN]],ES_3[DISCIPLINE_TYPE],"Expulsion")</f>
        <v>0</v>
      </c>
      <c r="J9" s="1">
        <f>IF(ES_3[[#This Row],[Count Exp/Sus]]&gt;10,1,0)</f>
        <v>0</v>
      </c>
      <c r="K9" s="1">
        <f t="shared" si="0"/>
        <v>0</v>
      </c>
      <c r="L9" s="1">
        <f>IF(J9=1,IF(COUNTIFS($A$3:A9,A9,$J$3:J9,1)=1,A9&amp;"-included",0),0)</f>
        <v>0</v>
      </c>
      <c r="M9" s="1" cm="1">
        <f t="array" ref="M9">IF(ES_3[[#This Row],[Included Exp/Sus]]=1,IF(SUMPRODUCT((ES_3[STN]=ES_3[[#This Row],[STN]])*(ES_3[Included Exp/Sus]=1)*(ROW(ES_3[STN])&lt;=ROW()))=1,1,0),0)</f>
        <v>0</v>
      </c>
      <c r="N9" s="1" t="str">
        <f>_xlfn.XLOOKUP(ES_3[[#This Row],[STN]],SE_3[STN],SE_3[Ethnicity],"",0)</f>
        <v>White</v>
      </c>
    </row>
    <row r="10" spans="1:14" ht="15.75" customHeight="1">
      <c r="A10" s="1">
        <v>533713155</v>
      </c>
      <c r="B10" s="1">
        <v>4</v>
      </c>
      <c r="C10" s="2">
        <v>1</v>
      </c>
      <c r="D10" s="1" t="s">
        <v>24</v>
      </c>
      <c r="E10" s="2">
        <v>10</v>
      </c>
      <c r="F10" s="1" t="s">
        <v>25</v>
      </c>
      <c r="G10" s="2">
        <v>1</v>
      </c>
      <c r="H10" s="1" t="s">
        <v>26</v>
      </c>
      <c r="I10" s="1">
        <f>SUMIFS(ES_3[LENGTH_EX_SU],ES_3[STN],ES_3[[#This Row],[STN]],ES_3[DISCIPLINE_TYPE],"Out-of-School Suspension")+SUMIFS(ES_3[LENGTH_EX_SU],ES_3[STN],ES_3[[#This Row],[STN]],ES_3[DISCIPLINE_TYPE],"Expulsion")</f>
        <v>0</v>
      </c>
      <c r="J10" s="1">
        <f>IF(ES_3[[#This Row],[Count Exp/Sus]]&gt;10,1,0)</f>
        <v>0</v>
      </c>
      <c r="K10" s="1">
        <f t="shared" si="0"/>
        <v>0</v>
      </c>
      <c r="L10" s="1">
        <f>IF(J10=1,IF(COUNTIFS($A$3:A10,A10,$J$3:J10,1)=1,A10&amp;"-included",0),0)</f>
        <v>0</v>
      </c>
      <c r="M10" s="1" cm="1">
        <f t="array" ref="M10">IF(ES_3[[#This Row],[Included Exp/Sus]]=1,IF(SUMPRODUCT((ES_3[STN]=ES_3[[#This Row],[STN]])*(ES_3[Included Exp/Sus]=1)*(ROW(ES_3[STN])&lt;=ROW()))=1,1,0),0)</f>
        <v>0</v>
      </c>
      <c r="N10" s="1" t="str">
        <f>_xlfn.XLOOKUP(ES_3[[#This Row],[STN]],SE_3[STN],SE_3[Ethnicity],"",0)</f>
        <v>White</v>
      </c>
    </row>
    <row r="11" spans="1:14" ht="15.75" customHeight="1">
      <c r="A11" s="1">
        <v>533718007</v>
      </c>
      <c r="B11" s="1">
        <v>3</v>
      </c>
      <c r="C11" s="2">
        <v>2</v>
      </c>
      <c r="D11" s="1" t="s">
        <v>31</v>
      </c>
      <c r="E11" s="2">
        <v>11</v>
      </c>
      <c r="F11" s="1" t="s">
        <v>36</v>
      </c>
      <c r="G11" s="2">
        <v>2</v>
      </c>
      <c r="H11" s="1" t="s">
        <v>29</v>
      </c>
      <c r="I11" s="1">
        <f>SUMIFS(ES_3[LENGTH_EX_SU],ES_3[STN],ES_3[[#This Row],[STN]],ES_3[DISCIPLINE_TYPE],"Out-of-School Suspension")+SUMIFS(ES_3[LENGTH_EX_SU],ES_3[STN],ES_3[[#This Row],[STN]],ES_3[DISCIPLINE_TYPE],"Expulsion")</f>
        <v>2</v>
      </c>
      <c r="J11" s="1">
        <f>IF(ES_3[[#This Row],[Count Exp/Sus]]&gt;10,1,0)</f>
        <v>0</v>
      </c>
      <c r="K11" s="1">
        <f t="shared" si="0"/>
        <v>0</v>
      </c>
      <c r="L11" s="1">
        <f>IF(J11=1,IF(COUNTIFS($A$3:A11,A11,$J$3:J11,1)=1,A11&amp;"-included",0),0)</f>
        <v>0</v>
      </c>
      <c r="M11" s="1" cm="1">
        <f t="array" ref="M11">IF(ES_3[[#This Row],[Included Exp/Sus]]=1,IF(SUMPRODUCT((ES_3[STN]=ES_3[[#This Row],[STN]])*(ES_3[Included Exp/Sus]=1)*(ROW(ES_3[STN])&lt;=ROW()))=1,1,0),0)</f>
        <v>0</v>
      </c>
      <c r="N11" s="1" t="str">
        <f>_xlfn.XLOOKUP(ES_3[[#This Row],[STN]],SE_3[STN],SE_3[Ethnicity],"",0)</f>
        <v>White</v>
      </c>
    </row>
    <row r="12" spans="1:14" ht="15.75" customHeight="1">
      <c r="A12" s="1">
        <v>533718034</v>
      </c>
      <c r="B12" s="1">
        <v>3</v>
      </c>
      <c r="C12" s="2">
        <v>1</v>
      </c>
      <c r="D12" s="1" t="s">
        <v>24</v>
      </c>
      <c r="E12" s="2">
        <v>10</v>
      </c>
      <c r="F12" s="1" t="s">
        <v>25</v>
      </c>
      <c r="G12" s="2">
        <v>1</v>
      </c>
      <c r="H12" s="1" t="s">
        <v>26</v>
      </c>
      <c r="I12" s="1">
        <f>SUMIFS(ES_3[LENGTH_EX_SU],ES_3[STN],ES_3[[#This Row],[STN]],ES_3[DISCIPLINE_TYPE],"Out-of-School Suspension")+SUMIFS(ES_3[LENGTH_EX_SU],ES_3[STN],ES_3[[#This Row],[STN]],ES_3[DISCIPLINE_TYPE],"Expulsion")</f>
        <v>0</v>
      </c>
      <c r="J12" s="1">
        <f>IF(ES_3[[#This Row],[Count Exp/Sus]]&gt;10,1,0)</f>
        <v>0</v>
      </c>
      <c r="K12" s="1">
        <f t="shared" si="0"/>
        <v>0</v>
      </c>
      <c r="L12" s="1">
        <f>IF(J12=1,IF(COUNTIFS($A$3:A12,A12,$J$3:J12,1)=1,A12&amp;"-included",0),0)</f>
        <v>0</v>
      </c>
      <c r="M12" s="1" cm="1">
        <f t="array" ref="M12">IF(ES_3[[#This Row],[Included Exp/Sus]]=1,IF(SUMPRODUCT((ES_3[STN]=ES_3[[#This Row],[STN]])*(ES_3[Included Exp/Sus]=1)*(ROW(ES_3[STN])&lt;=ROW()))=1,1,0),0)</f>
        <v>0</v>
      </c>
      <c r="N12" s="1" t="str">
        <f>_xlfn.XLOOKUP(ES_3[[#This Row],[STN]],SE_3[STN],SE_3[Ethnicity],"",0)</f>
        <v>White</v>
      </c>
    </row>
    <row r="13" spans="1:14" ht="15.75" customHeight="1">
      <c r="A13" s="1">
        <v>533718111</v>
      </c>
      <c r="B13" s="1">
        <v>2</v>
      </c>
      <c r="C13" s="2">
        <v>2</v>
      </c>
      <c r="D13" s="1" t="s">
        <v>31</v>
      </c>
      <c r="E13" s="2">
        <v>14</v>
      </c>
      <c r="F13" s="1" t="s">
        <v>32</v>
      </c>
      <c r="G13" s="2">
        <v>1</v>
      </c>
      <c r="H13" s="1" t="s">
        <v>29</v>
      </c>
      <c r="I13" s="1">
        <f>SUMIFS(ES_3[LENGTH_EX_SU],ES_3[STN],ES_3[[#This Row],[STN]],ES_3[DISCIPLINE_TYPE],"Out-of-School Suspension")+SUMIFS(ES_3[LENGTH_EX_SU],ES_3[STN],ES_3[[#This Row],[STN]],ES_3[DISCIPLINE_TYPE],"Expulsion")</f>
        <v>1</v>
      </c>
      <c r="J13" s="1">
        <f>IF(ES_3[[#This Row],[Count Exp/Sus]]&gt;10,1,0)</f>
        <v>0</v>
      </c>
      <c r="K13" s="1">
        <f t="shared" si="0"/>
        <v>0</v>
      </c>
      <c r="L13" s="1">
        <f>IF(J13=1,IF(COUNTIFS($A$3:A13,A13,$J$3:J13,1)=1,A13&amp;"-included",0),0)</f>
        <v>0</v>
      </c>
      <c r="M13" s="1" cm="1">
        <f t="array" ref="M13">IF(ES_3[[#This Row],[Included Exp/Sus]]=1,IF(SUMPRODUCT((ES_3[STN]=ES_3[[#This Row],[STN]])*(ES_3[Included Exp/Sus]=1)*(ROW(ES_3[STN])&lt;=ROW()))=1,1,0),0)</f>
        <v>0</v>
      </c>
      <c r="N13" s="1" t="str">
        <f>_xlfn.XLOOKUP(ES_3[[#This Row],[STN]],SE_3[STN],SE_3[Ethnicity],"",0)</f>
        <v>White</v>
      </c>
    </row>
    <row r="14" spans="1:14" ht="15.75" customHeight="1">
      <c r="A14" s="1">
        <v>533718173</v>
      </c>
      <c r="B14" s="1">
        <v>2</v>
      </c>
      <c r="C14" s="2">
        <v>2</v>
      </c>
      <c r="D14" s="1" t="s">
        <v>31</v>
      </c>
      <c r="E14" s="2">
        <v>11</v>
      </c>
      <c r="F14" s="1" t="s">
        <v>36</v>
      </c>
      <c r="G14" s="2">
        <v>1</v>
      </c>
      <c r="H14" s="1" t="s">
        <v>29</v>
      </c>
      <c r="I14" s="1">
        <f>SUMIFS(ES_3[LENGTH_EX_SU],ES_3[STN],ES_3[[#This Row],[STN]],ES_3[DISCIPLINE_TYPE],"Out-of-School Suspension")+SUMIFS(ES_3[LENGTH_EX_SU],ES_3[STN],ES_3[[#This Row],[STN]],ES_3[DISCIPLINE_TYPE],"Expulsion")</f>
        <v>1</v>
      </c>
      <c r="J14" s="1">
        <f>IF(ES_3[[#This Row],[Count Exp/Sus]]&gt;10,1,0)</f>
        <v>0</v>
      </c>
      <c r="K14" s="1">
        <f t="shared" si="0"/>
        <v>0</v>
      </c>
      <c r="L14" s="1">
        <f>IF(J14=1,IF(COUNTIFS($A$3:A14,A14,$J$3:J14,1)=1,A14&amp;"-included",0),0)</f>
        <v>0</v>
      </c>
      <c r="M14" s="1" cm="1">
        <f t="array" ref="M14">IF(ES_3[[#This Row],[Included Exp/Sus]]=1,IF(SUMPRODUCT((ES_3[STN]=ES_3[[#This Row],[STN]])*(ES_3[Included Exp/Sus]=1)*(ROW(ES_3[STN])&lt;=ROW()))=1,1,0),0)</f>
        <v>0</v>
      </c>
      <c r="N14" s="1" t="str">
        <f>_xlfn.XLOOKUP(ES_3[[#This Row],[STN]],SE_3[STN],SE_3[Ethnicity],"",0)</f>
        <v>White</v>
      </c>
    </row>
    <row r="15" spans="1:14" ht="15.75" customHeight="1">
      <c r="A15" s="1">
        <v>533719067</v>
      </c>
      <c r="B15" s="1">
        <v>5</v>
      </c>
      <c r="C15" s="2">
        <v>1</v>
      </c>
      <c r="D15" s="1" t="s">
        <v>24</v>
      </c>
      <c r="E15" s="2">
        <v>10</v>
      </c>
      <c r="F15" s="1" t="s">
        <v>25</v>
      </c>
      <c r="G15" s="2">
        <v>1</v>
      </c>
      <c r="H15" s="1" t="s">
        <v>26</v>
      </c>
      <c r="I15" s="1">
        <f>SUMIFS(ES_3[LENGTH_EX_SU],ES_3[STN],ES_3[[#This Row],[STN]],ES_3[DISCIPLINE_TYPE],"Out-of-School Suspension")+SUMIFS(ES_3[LENGTH_EX_SU],ES_3[STN],ES_3[[#This Row],[STN]],ES_3[DISCIPLINE_TYPE],"Expulsion")</f>
        <v>0</v>
      </c>
      <c r="J15" s="1">
        <f>IF(ES_3[[#This Row],[Count Exp/Sus]]&gt;10,1,0)</f>
        <v>0</v>
      </c>
      <c r="K15" s="1">
        <f t="shared" si="0"/>
        <v>0</v>
      </c>
      <c r="L15" s="1">
        <f>IF(J15=1,IF(COUNTIFS($A$3:A15,A15,$J$3:J15,1)=1,A15&amp;"-included",0),0)</f>
        <v>0</v>
      </c>
      <c r="M15" s="1" cm="1">
        <f t="array" ref="M15">IF(ES_3[[#This Row],[Included Exp/Sus]]=1,IF(SUMPRODUCT((ES_3[STN]=ES_3[[#This Row],[STN]])*(ES_3[Included Exp/Sus]=1)*(ROW(ES_3[STN])&lt;=ROW()))=1,1,0),0)</f>
        <v>0</v>
      </c>
      <c r="N15" s="1" t="str">
        <f>_xlfn.XLOOKUP(ES_3[[#This Row],[STN]],SE_3[STN],SE_3[Ethnicity],"",0)</f>
        <v>White</v>
      </c>
    </row>
    <row r="16" spans="1:14" ht="15.75" customHeight="1">
      <c r="A16" s="1">
        <v>533820022</v>
      </c>
      <c r="B16" s="1">
        <v>1</v>
      </c>
      <c r="C16" s="2">
        <v>1</v>
      </c>
      <c r="D16" s="1" t="s">
        <v>24</v>
      </c>
      <c r="E16" s="2">
        <v>10</v>
      </c>
      <c r="F16" s="1" t="s">
        <v>25</v>
      </c>
      <c r="G16" s="2">
        <v>1</v>
      </c>
      <c r="H16" s="1" t="s">
        <v>26</v>
      </c>
      <c r="I16" s="1">
        <f>SUMIFS(ES_3[LENGTH_EX_SU],ES_3[STN],ES_3[[#This Row],[STN]],ES_3[DISCIPLINE_TYPE],"Out-of-School Suspension")+SUMIFS(ES_3[LENGTH_EX_SU],ES_3[STN],ES_3[[#This Row],[STN]],ES_3[DISCIPLINE_TYPE],"Expulsion")</f>
        <v>0</v>
      </c>
      <c r="J16" s="1">
        <f>IF(ES_3[[#This Row],[Count Exp/Sus]]&gt;10,1,0)</f>
        <v>0</v>
      </c>
      <c r="K16" s="1">
        <f t="shared" si="0"/>
        <v>0</v>
      </c>
      <c r="L16" s="1">
        <f>IF(J16=1,IF(COUNTIFS($A$3:A16,A16,$J$3:J16,1)=1,A16&amp;"-included",0),0)</f>
        <v>0</v>
      </c>
      <c r="M16" s="1" cm="1">
        <f t="array" ref="M16">IF(ES_3[[#This Row],[Included Exp/Sus]]=1,IF(SUMPRODUCT((ES_3[STN]=ES_3[[#This Row],[STN]])*(ES_3[Included Exp/Sus]=1)*(ROW(ES_3[STN])&lt;=ROW()))=1,1,0),0)</f>
        <v>0</v>
      </c>
      <c r="N16" s="1" t="str">
        <f>_xlfn.XLOOKUP(ES_3[[#This Row],[STN]],SE_3[STN],SE_3[Ethnicity],"",0)</f>
        <v>Multiracial (two or more races)</v>
      </c>
    </row>
    <row r="17" spans="1:14" ht="15.75" customHeight="1">
      <c r="A17" s="1">
        <v>533820227</v>
      </c>
      <c r="B17" s="1" t="s">
        <v>41</v>
      </c>
      <c r="C17" s="2">
        <v>2</v>
      </c>
      <c r="D17" s="1" t="s">
        <v>31</v>
      </c>
      <c r="E17" s="2">
        <v>2</v>
      </c>
      <c r="F17" s="1" t="s">
        <v>33</v>
      </c>
      <c r="G17" s="2">
        <v>2</v>
      </c>
      <c r="H17" s="1" t="s">
        <v>29</v>
      </c>
      <c r="I17" s="1">
        <f>SUMIFS(ES_3[LENGTH_EX_SU],ES_3[STN],ES_3[[#This Row],[STN]],ES_3[DISCIPLINE_TYPE],"Out-of-School Suspension")+SUMIFS(ES_3[LENGTH_EX_SU],ES_3[STN],ES_3[[#This Row],[STN]],ES_3[DISCIPLINE_TYPE],"Expulsion")</f>
        <v>2</v>
      </c>
      <c r="J17" s="1">
        <f>IF(ES_3[[#This Row],[Count Exp/Sus]]&gt;10,1,0)</f>
        <v>0</v>
      </c>
      <c r="K17" s="1">
        <f t="shared" si="0"/>
        <v>0</v>
      </c>
      <c r="L17" s="1">
        <f>IF(J17=1,IF(COUNTIFS($A$3:A17,A17,$J$3:J17,1)=1,A17&amp;"-included",0),0)</f>
        <v>0</v>
      </c>
      <c r="M17" s="1" cm="1">
        <f t="array" ref="M17">IF(ES_3[[#This Row],[Included Exp/Sus]]=1,IF(SUMPRODUCT((ES_3[STN]=ES_3[[#This Row],[STN]])*(ES_3[Included Exp/Sus]=1)*(ROW(ES_3[STN])&lt;=ROW()))=1,1,0),0)</f>
        <v>0</v>
      </c>
      <c r="N17" s="1" t="str">
        <f>_xlfn.XLOOKUP(ES_3[[#This Row],[STN]],SE_3[STN],SE_3[Ethnicity],"",0)</f>
        <v>Multiracial (two or more races)</v>
      </c>
    </row>
    <row r="18" spans="1:14" ht="15.75" customHeight="1">
      <c r="A18" s="1">
        <v>534711032</v>
      </c>
      <c r="B18" s="1">
        <v>10</v>
      </c>
      <c r="C18" s="2">
        <v>1</v>
      </c>
      <c r="D18" s="1" t="s">
        <v>24</v>
      </c>
      <c r="E18" s="2">
        <v>7</v>
      </c>
      <c r="F18" s="1" t="s">
        <v>30</v>
      </c>
      <c r="G18" s="2">
        <v>2</v>
      </c>
      <c r="H18" s="1" t="s">
        <v>29</v>
      </c>
      <c r="I18" s="1">
        <f>SUMIFS(ES_3[LENGTH_EX_SU],ES_3[STN],ES_3[[#This Row],[STN]],ES_3[DISCIPLINE_TYPE],"Out-of-School Suspension")+SUMIFS(ES_3[LENGTH_EX_SU],ES_3[STN],ES_3[[#This Row],[STN]],ES_3[DISCIPLINE_TYPE],"Expulsion")</f>
        <v>0</v>
      </c>
      <c r="J18" s="1">
        <f>IF(ES_3[[#This Row],[Count Exp/Sus]]&gt;10,1,0)</f>
        <v>0</v>
      </c>
      <c r="K18" s="1">
        <f t="shared" si="0"/>
        <v>0</v>
      </c>
      <c r="L18" s="1">
        <f>IF(J18=1,IF(COUNTIFS($A$3:A18,A18,$J$3:J18,1)=1,A18&amp;"-included",0),0)</f>
        <v>0</v>
      </c>
      <c r="M18" s="1" cm="1">
        <f t="array" ref="M18">IF(ES_3[[#This Row],[Included Exp/Sus]]=1,IF(SUMPRODUCT((ES_3[STN]=ES_3[[#This Row],[STN]])*(ES_3[Included Exp/Sus]=1)*(ROW(ES_3[STN])&lt;=ROW()))=1,1,0),0)</f>
        <v>0</v>
      </c>
      <c r="N18" s="1" t="str">
        <f>_xlfn.XLOOKUP(ES_3[[#This Row],[STN]],SE_3[STN],SE_3[Ethnicity],"",0)</f>
        <v>White</v>
      </c>
    </row>
    <row r="19" spans="1:14" ht="15.75" customHeight="1">
      <c r="A19" s="1">
        <v>534712125</v>
      </c>
      <c r="B19" s="1">
        <v>11</v>
      </c>
      <c r="C19" s="2">
        <v>2</v>
      </c>
      <c r="D19" s="1" t="s">
        <v>31</v>
      </c>
      <c r="E19" s="2">
        <v>7</v>
      </c>
      <c r="F19" s="1" t="s">
        <v>30</v>
      </c>
      <c r="G19" s="2">
        <v>10</v>
      </c>
      <c r="H19" s="1" t="s">
        <v>29</v>
      </c>
      <c r="I19" s="1">
        <f>SUMIFS(ES_3[LENGTH_EX_SU],ES_3[STN],ES_3[[#This Row],[STN]],ES_3[DISCIPLINE_TYPE],"Out-of-School Suspension")+SUMIFS(ES_3[LENGTH_EX_SU],ES_3[STN],ES_3[[#This Row],[STN]],ES_3[DISCIPLINE_TYPE],"Expulsion")</f>
        <v>10</v>
      </c>
      <c r="J19" s="1">
        <f>IF(ES_3[[#This Row],[Count Exp/Sus]]&gt;10,1,0)</f>
        <v>0</v>
      </c>
      <c r="K19" s="1">
        <f t="shared" si="0"/>
        <v>0</v>
      </c>
      <c r="L19" s="1">
        <f>IF(J19=1,IF(COUNTIFS($A$3:A19,A19,$J$3:J19,1)=1,A19&amp;"-included",0),0)</f>
        <v>0</v>
      </c>
      <c r="M19" s="1" cm="1">
        <f t="array" ref="M19">IF(ES_3[[#This Row],[Included Exp/Sus]]=1,IF(SUMPRODUCT((ES_3[STN]=ES_3[[#This Row],[STN]])*(ES_3[Included Exp/Sus]=1)*(ROW(ES_3[STN])&lt;=ROW()))=1,1,0),0)</f>
        <v>0</v>
      </c>
      <c r="N19" s="1" t="str">
        <f>_xlfn.XLOOKUP(ES_3[[#This Row],[STN]],SE_3[STN],SE_3[Ethnicity],"",0)</f>
        <v>White</v>
      </c>
    </row>
    <row r="20" spans="1:14" ht="15.75" customHeight="1">
      <c r="A20" s="1">
        <v>534712128</v>
      </c>
      <c r="B20" s="1">
        <v>8</v>
      </c>
      <c r="C20" s="2">
        <v>2</v>
      </c>
      <c r="D20" s="1" t="s">
        <v>31</v>
      </c>
      <c r="E20" s="2">
        <v>12</v>
      </c>
      <c r="F20" s="1" t="s">
        <v>46</v>
      </c>
      <c r="G20" s="2">
        <v>1</v>
      </c>
      <c r="H20" s="1" t="s">
        <v>29</v>
      </c>
      <c r="I20" s="1">
        <f>SUMIFS(ES_3[LENGTH_EX_SU],ES_3[STN],ES_3[[#This Row],[STN]],ES_3[DISCIPLINE_TYPE],"Out-of-School Suspension")+SUMIFS(ES_3[LENGTH_EX_SU],ES_3[STN],ES_3[[#This Row],[STN]],ES_3[DISCIPLINE_TYPE],"Expulsion")</f>
        <v>1</v>
      </c>
      <c r="J20" s="1">
        <f>IF(ES_3[[#This Row],[Count Exp/Sus]]&gt;10,1,0)</f>
        <v>0</v>
      </c>
      <c r="K20" s="1">
        <f t="shared" si="0"/>
        <v>0</v>
      </c>
      <c r="L20" s="1">
        <f>IF(J20=1,IF(COUNTIFS($A$3:A20,A20,$J$3:J20,1)=1,A20&amp;"-included",0),0)</f>
        <v>0</v>
      </c>
      <c r="M20" s="1" cm="1">
        <f t="array" ref="M20">IF(ES_3[[#This Row],[Included Exp/Sus]]=1,IF(SUMPRODUCT((ES_3[STN]=ES_3[[#This Row],[STN]])*(ES_3[Included Exp/Sus]=1)*(ROW(ES_3[STN])&lt;=ROW()))=1,1,0),0)</f>
        <v>0</v>
      </c>
      <c r="N20" s="1" t="str">
        <f>_xlfn.XLOOKUP(ES_3[[#This Row],[STN]],SE_3[STN],SE_3[Ethnicity],"",0)</f>
        <v>White</v>
      </c>
    </row>
    <row r="21" spans="1:14" ht="15.75" customHeight="1">
      <c r="A21" s="1">
        <v>534716126</v>
      </c>
      <c r="B21" s="1">
        <v>4</v>
      </c>
      <c r="C21" s="2">
        <v>2</v>
      </c>
      <c r="D21" s="1" t="s">
        <v>31</v>
      </c>
      <c r="E21" s="2">
        <v>11</v>
      </c>
      <c r="F21" s="1" t="s">
        <v>36</v>
      </c>
      <c r="G21" s="2">
        <v>1</v>
      </c>
      <c r="H21" s="1" t="s">
        <v>29</v>
      </c>
      <c r="I21" s="1">
        <f>SUMIFS(ES_3[LENGTH_EX_SU],ES_3[STN],ES_3[[#This Row],[STN]],ES_3[DISCIPLINE_TYPE],"Out-of-School Suspension")+SUMIFS(ES_3[LENGTH_EX_SU],ES_3[STN],ES_3[[#This Row],[STN]],ES_3[DISCIPLINE_TYPE],"Expulsion")</f>
        <v>1</v>
      </c>
      <c r="J21" s="1">
        <f>IF(ES_3[[#This Row],[Count Exp/Sus]]&gt;10,1,0)</f>
        <v>0</v>
      </c>
      <c r="K21" s="1">
        <f t="shared" si="0"/>
        <v>0</v>
      </c>
      <c r="L21" s="1">
        <f>IF(J21=1,IF(COUNTIFS($A$3:A21,A21,$J$3:J21,1)=1,A21&amp;"-included",0),0)</f>
        <v>0</v>
      </c>
      <c r="M21" s="1" cm="1">
        <f t="array" ref="M21">IF(ES_3[[#This Row],[Included Exp/Sus]]=1,IF(SUMPRODUCT((ES_3[STN]=ES_3[[#This Row],[STN]])*(ES_3[Included Exp/Sus]=1)*(ROW(ES_3[STN])&lt;=ROW()))=1,1,0),0)</f>
        <v>0</v>
      </c>
      <c r="N21" s="1" t="str">
        <f>_xlfn.XLOOKUP(ES_3[[#This Row],[STN]],SE_3[STN],SE_3[Ethnicity],"",0)</f>
        <v>White</v>
      </c>
    </row>
    <row r="22" spans="1:14" ht="15.75" customHeight="1">
      <c r="A22" s="1">
        <v>535116018</v>
      </c>
      <c r="B22" s="1">
        <v>5</v>
      </c>
      <c r="C22" s="2">
        <v>1</v>
      </c>
      <c r="D22" s="1" t="s">
        <v>24</v>
      </c>
      <c r="E22" s="2">
        <v>14</v>
      </c>
      <c r="F22" s="1" t="s">
        <v>32</v>
      </c>
      <c r="G22" s="2">
        <v>1</v>
      </c>
      <c r="H22" s="1" t="s">
        <v>29</v>
      </c>
      <c r="I22" s="1">
        <f>SUMIFS(ES_3[LENGTH_EX_SU],ES_3[STN],ES_3[[#This Row],[STN]],ES_3[DISCIPLINE_TYPE],"Out-of-School Suspension")+SUMIFS(ES_3[LENGTH_EX_SU],ES_3[STN],ES_3[[#This Row],[STN]],ES_3[DISCIPLINE_TYPE],"Expulsion")</f>
        <v>0</v>
      </c>
      <c r="J22" s="1">
        <f>IF(ES_3[[#This Row],[Count Exp/Sus]]&gt;10,1,0)</f>
        <v>0</v>
      </c>
      <c r="K22" s="1">
        <f t="shared" si="0"/>
        <v>0</v>
      </c>
      <c r="L22" s="1">
        <f>IF(J22=1,IF(COUNTIFS($A$3:A22,A22,$J$3:J22,1)=1,A22&amp;"-included",0),0)</f>
        <v>0</v>
      </c>
      <c r="M22" s="1" cm="1">
        <f t="array" ref="M22">IF(ES_3[[#This Row],[Included Exp/Sus]]=1,IF(SUMPRODUCT((ES_3[STN]=ES_3[[#This Row],[STN]])*(ES_3[Included Exp/Sus]=1)*(ROW(ES_3[STN])&lt;=ROW()))=1,1,0),0)</f>
        <v>0</v>
      </c>
      <c r="N22" s="1" t="str">
        <f>_xlfn.XLOOKUP(ES_3[[#This Row],[STN]],SE_3[STN],SE_3[Ethnicity],"",0)</f>
        <v>Multiracial (two or more races)</v>
      </c>
    </row>
    <row r="23" spans="1:14" ht="18" customHeight="1">
      <c r="A23" s="1">
        <v>535415073</v>
      </c>
      <c r="B23" s="1">
        <v>6</v>
      </c>
      <c r="C23" s="2">
        <v>1</v>
      </c>
      <c r="D23" s="1" t="s">
        <v>24</v>
      </c>
      <c r="E23" s="2">
        <v>11</v>
      </c>
      <c r="F23" s="1" t="s">
        <v>36</v>
      </c>
      <c r="G23" s="2">
        <v>2</v>
      </c>
      <c r="H23" s="1" t="s">
        <v>29</v>
      </c>
      <c r="I23" s="1">
        <f>SUMIFS(ES_3[LENGTH_EX_SU],ES_3[STN],ES_3[[#This Row],[STN]],ES_3[DISCIPLINE_TYPE],"Out-of-School Suspension")+SUMIFS(ES_3[LENGTH_EX_SU],ES_3[STN],ES_3[[#This Row],[STN]],ES_3[DISCIPLINE_TYPE],"Expulsion")</f>
        <v>0</v>
      </c>
      <c r="J23" s="1">
        <f>IF(ES_3[[#This Row],[Count Exp/Sus]]&gt;10,1,0)</f>
        <v>0</v>
      </c>
      <c r="K23" s="1">
        <f t="shared" si="0"/>
        <v>0</v>
      </c>
      <c r="L23" s="1">
        <f>IF(J23=1,IF(COUNTIFS($A$3:A23,A23,$J$3:J23,1)=1,A23&amp;"-included",0),0)</f>
        <v>0</v>
      </c>
      <c r="M23" s="1" cm="1">
        <f t="array" ref="M23">IF(ES_3[[#This Row],[Included Exp/Sus]]=1,IF(SUMPRODUCT((ES_3[STN]=ES_3[[#This Row],[STN]])*(ES_3[Included Exp/Sus]=1)*(ROW(ES_3[STN])&lt;=ROW()))=1,1,0),0)</f>
        <v>0</v>
      </c>
      <c r="N23" s="1" t="str">
        <f>_xlfn.XLOOKUP(ES_3[[#This Row],[STN]],SE_3[STN],SE_3[Ethnicity],"",0)</f>
        <v>White</v>
      </c>
    </row>
    <row r="24" spans="1:14" ht="14.45">
      <c r="A24" s="1">
        <v>535416021</v>
      </c>
      <c r="B24" s="1">
        <v>6</v>
      </c>
      <c r="C24" s="2">
        <v>2</v>
      </c>
      <c r="D24" s="1" t="s">
        <v>31</v>
      </c>
      <c r="E24" s="2">
        <v>11</v>
      </c>
      <c r="F24" s="1" t="s">
        <v>36</v>
      </c>
      <c r="G24" s="2">
        <v>1</v>
      </c>
      <c r="H24" s="1" t="s">
        <v>26</v>
      </c>
      <c r="I24" s="1">
        <f>SUMIFS(ES_3[LENGTH_EX_SU],ES_3[STN],ES_3[[#This Row],[STN]],ES_3[DISCIPLINE_TYPE],"Out-of-School Suspension")+SUMIFS(ES_3[LENGTH_EX_SU],ES_3[STN],ES_3[[#This Row],[STN]],ES_3[DISCIPLINE_TYPE],"Expulsion")</f>
        <v>3</v>
      </c>
      <c r="J24" s="1">
        <f>IF(ES_3[[#This Row],[Count Exp/Sus]]&gt;10,1,0)</f>
        <v>0</v>
      </c>
      <c r="K24" s="1">
        <f t="shared" si="0"/>
        <v>0</v>
      </c>
      <c r="L24" s="1">
        <f>IF(J24=1,IF(COUNTIFS($A$3:A24,A24,$J$3:J24,1)=1,A24&amp;"-included",0),0)</f>
        <v>0</v>
      </c>
      <c r="M24" s="1" cm="1">
        <f t="array" ref="M24">IF(ES_3[[#This Row],[Included Exp/Sus]]=1,IF(SUMPRODUCT((ES_3[STN]=ES_3[[#This Row],[STN]])*(ES_3[Included Exp/Sus]=1)*(ROW(ES_3[STN])&lt;=ROW()))=1,1,0),0)</f>
        <v>0</v>
      </c>
      <c r="N24" s="1" t="str">
        <f>_xlfn.XLOOKUP(ES_3[[#This Row],[STN]],SE_3[STN],SE_3[Ethnicity],"",0)</f>
        <v>White</v>
      </c>
    </row>
    <row r="25" spans="1:14" ht="14.45">
      <c r="A25" s="1">
        <v>535416021</v>
      </c>
      <c r="B25" s="1">
        <v>6</v>
      </c>
      <c r="C25" s="2">
        <v>2</v>
      </c>
      <c r="D25" s="1" t="s">
        <v>31</v>
      </c>
      <c r="E25" s="2">
        <v>11</v>
      </c>
      <c r="F25" s="1" t="s">
        <v>36</v>
      </c>
      <c r="G25" s="2">
        <v>2</v>
      </c>
      <c r="H25" s="1" t="s">
        <v>26</v>
      </c>
      <c r="I25" s="1">
        <f>SUMIFS(ES_3[LENGTH_EX_SU],ES_3[STN],ES_3[[#This Row],[STN]],ES_3[DISCIPLINE_TYPE],"Out-of-School Suspension")+SUMIFS(ES_3[LENGTH_EX_SU],ES_3[STN],ES_3[[#This Row],[STN]],ES_3[DISCIPLINE_TYPE],"Expulsion")</f>
        <v>3</v>
      </c>
      <c r="J25" s="1">
        <f>IF(ES_3[[#This Row],[Count Exp/Sus]]&gt;10,1,0)</f>
        <v>0</v>
      </c>
      <c r="K25" s="1">
        <f t="shared" si="0"/>
        <v>0</v>
      </c>
      <c r="L25" s="1">
        <f>IF(J25=1,IF(COUNTIFS($A$3:A25,A25,$J$3:J25,1)=1,A25&amp;"-included",0),0)</f>
        <v>0</v>
      </c>
      <c r="M25" s="1" cm="1">
        <f t="array" ref="M25">IF(ES_3[[#This Row],[Included Exp/Sus]]=1,IF(SUMPRODUCT((ES_3[STN]=ES_3[[#This Row],[STN]])*(ES_3[Included Exp/Sus]=1)*(ROW(ES_3[STN])&lt;=ROW()))=1,1,0),0)</f>
        <v>0</v>
      </c>
      <c r="N25" s="1" t="str">
        <f>_xlfn.XLOOKUP(ES_3[[#This Row],[STN]],SE_3[STN],SE_3[Ethnicity],"",0)</f>
        <v>White</v>
      </c>
    </row>
    <row r="26" spans="1:14" ht="14.45">
      <c r="A26" s="1">
        <v>535418069</v>
      </c>
      <c r="B26" s="1">
        <v>3</v>
      </c>
      <c r="C26" s="2">
        <v>2</v>
      </c>
      <c r="D26" s="1" t="s">
        <v>31</v>
      </c>
      <c r="E26" s="2">
        <v>11</v>
      </c>
      <c r="F26" s="1" t="s">
        <v>36</v>
      </c>
      <c r="G26" s="2">
        <v>1</v>
      </c>
      <c r="H26" s="1" t="s">
        <v>26</v>
      </c>
      <c r="I26" s="1">
        <f>SUMIFS(ES_3[LENGTH_EX_SU],ES_3[STN],ES_3[[#This Row],[STN]],ES_3[DISCIPLINE_TYPE],"Out-of-School Suspension")+SUMIFS(ES_3[LENGTH_EX_SU],ES_3[STN],ES_3[[#This Row],[STN]],ES_3[DISCIPLINE_TYPE],"Expulsion")</f>
        <v>1</v>
      </c>
      <c r="J26" s="1">
        <f>IF(ES_3[[#This Row],[Count Exp/Sus]]&gt;10,1,0)</f>
        <v>0</v>
      </c>
      <c r="K26" s="1">
        <f t="shared" si="0"/>
        <v>0</v>
      </c>
      <c r="L26" s="1">
        <f>IF(J26=1,IF(COUNTIFS($A$3:A26,A26,$J$3:J26,1)=1,A26&amp;"-included",0),0)</f>
        <v>0</v>
      </c>
      <c r="M26" s="1" cm="1">
        <f t="array" ref="M26">IF(ES_3[[#This Row],[Included Exp/Sus]]=1,IF(SUMPRODUCT((ES_3[STN]=ES_3[[#This Row],[STN]])*(ES_3[Included Exp/Sus]=1)*(ROW(ES_3[STN])&lt;=ROW()))=1,1,0),0)</f>
        <v>0</v>
      </c>
      <c r="N26" s="1" t="str">
        <f>_xlfn.XLOOKUP(ES_3[[#This Row],[STN]],SE_3[STN],SE_3[Ethnicity],"",0)</f>
        <v>Black - African American</v>
      </c>
    </row>
    <row r="27" spans="1:14" ht="14.45">
      <c r="A27" s="1">
        <v>535711125</v>
      </c>
      <c r="B27" s="1">
        <v>10</v>
      </c>
      <c r="C27" s="2">
        <v>2</v>
      </c>
      <c r="D27" s="1" t="s">
        <v>31</v>
      </c>
      <c r="E27" s="2">
        <v>2</v>
      </c>
      <c r="F27" s="1" t="s">
        <v>33</v>
      </c>
      <c r="G27" s="2">
        <v>3</v>
      </c>
      <c r="H27" s="1" t="s">
        <v>29</v>
      </c>
      <c r="I27" s="1">
        <f>SUMIFS(ES_3[LENGTH_EX_SU],ES_3[STN],ES_3[[#This Row],[STN]],ES_3[DISCIPLINE_TYPE],"Out-of-School Suspension")+SUMIFS(ES_3[LENGTH_EX_SU],ES_3[STN],ES_3[[#This Row],[STN]],ES_3[DISCIPLINE_TYPE],"Expulsion")</f>
        <v>3</v>
      </c>
      <c r="J27" s="1">
        <f>IF(ES_3[[#This Row],[Count Exp/Sus]]&gt;10,1,0)</f>
        <v>0</v>
      </c>
      <c r="K27" s="1">
        <f t="shared" si="0"/>
        <v>0</v>
      </c>
      <c r="L27" s="1">
        <f>IF(J27=1,IF(COUNTIFS($A$3:A27,A27,$J$3:J27,1)=1,A27&amp;"-included",0),0)</f>
        <v>0</v>
      </c>
      <c r="M27" s="1" cm="1">
        <f t="array" ref="M27">IF(ES_3[[#This Row],[Included Exp/Sus]]=1,IF(SUMPRODUCT((ES_3[STN]=ES_3[[#This Row],[STN]])*(ES_3[Included Exp/Sus]=1)*(ROW(ES_3[STN])&lt;=ROW()))=1,1,0),0)</f>
        <v>0</v>
      </c>
      <c r="N27" s="1" t="str">
        <f>_xlfn.XLOOKUP(ES_3[[#This Row],[STN]],SE_3[STN],SE_3[Ethnicity],"",0)</f>
        <v>White</v>
      </c>
    </row>
    <row r="28" spans="1:14" ht="14.45">
      <c r="A28" s="1">
        <v>535716082</v>
      </c>
      <c r="B28" s="1">
        <v>5</v>
      </c>
      <c r="C28" s="2">
        <v>2</v>
      </c>
      <c r="D28" s="1" t="s">
        <v>31</v>
      </c>
      <c r="E28" s="2">
        <v>10</v>
      </c>
      <c r="F28" s="1" t="s">
        <v>25</v>
      </c>
      <c r="G28" s="2">
        <v>1</v>
      </c>
      <c r="H28" s="1" t="s">
        <v>29</v>
      </c>
      <c r="I28" s="1">
        <f>SUMIFS(ES_3[LENGTH_EX_SU],ES_3[STN],ES_3[[#This Row],[STN]],ES_3[DISCIPLINE_TYPE],"Out-of-School Suspension")+SUMIFS(ES_3[LENGTH_EX_SU],ES_3[STN],ES_3[[#This Row],[STN]],ES_3[DISCIPLINE_TYPE],"Expulsion")</f>
        <v>1</v>
      </c>
      <c r="J28" s="1">
        <f>IF(ES_3[[#This Row],[Count Exp/Sus]]&gt;10,1,0)</f>
        <v>0</v>
      </c>
      <c r="K28" s="1">
        <f t="shared" si="0"/>
        <v>0</v>
      </c>
      <c r="L28" s="1">
        <f>IF(J28=1,IF(COUNTIFS($A$3:A28,A28,$J$3:J28,1)=1,A28&amp;"-included",0),0)</f>
        <v>0</v>
      </c>
      <c r="M28" s="1" cm="1">
        <f t="array" ref="M28">IF(ES_3[[#This Row],[Included Exp/Sus]]=1,IF(SUMPRODUCT((ES_3[STN]=ES_3[[#This Row],[STN]])*(ES_3[Included Exp/Sus]=1)*(ROW(ES_3[STN])&lt;=ROW()))=1,1,0),0)</f>
        <v>0</v>
      </c>
      <c r="N28" s="1" t="str">
        <f>_xlfn.XLOOKUP(ES_3[[#This Row],[STN]],SE_3[STN],SE_3[Ethnicity],"",0)</f>
        <v>White</v>
      </c>
    </row>
    <row r="29" spans="1:14" ht="14.45">
      <c r="A29" s="1">
        <v>535807899</v>
      </c>
      <c r="B29" s="1">
        <v>11</v>
      </c>
      <c r="C29" s="2">
        <v>2</v>
      </c>
      <c r="D29" s="1" t="s">
        <v>31</v>
      </c>
      <c r="E29" s="2">
        <v>3</v>
      </c>
      <c r="F29" s="1" t="s">
        <v>39</v>
      </c>
      <c r="G29" s="2">
        <v>10</v>
      </c>
      <c r="H29" s="1" t="s">
        <v>26</v>
      </c>
      <c r="I29" s="1">
        <f>SUMIFS(ES_3[LENGTH_EX_SU],ES_3[STN],ES_3[[#This Row],[STN]],ES_3[DISCIPLINE_TYPE],"Out-of-School Suspension")+SUMIFS(ES_3[LENGTH_EX_SU],ES_3[STN],ES_3[[#This Row],[STN]],ES_3[DISCIPLINE_TYPE],"Expulsion")</f>
        <v>27</v>
      </c>
      <c r="J29" s="1">
        <f>IF(ES_3[[#This Row],[Count Exp/Sus]]&gt;10,1,0)</f>
        <v>1</v>
      </c>
      <c r="K29" s="1" t="str">
        <f t="shared" si="0"/>
        <v>535807899-included</v>
      </c>
      <c r="L29" s="1" t="str">
        <f>IF(J29=1,IF(COUNTIFS($A$3:A29,A29,$J$3:J29,1)=1,A29&amp;"-included",0),0)</f>
        <v>535807899-included</v>
      </c>
      <c r="M29" s="1" cm="1">
        <f t="array" ref="M29">IF(ES_3[[#This Row],[Included Exp/Sus]]=1,IF(SUMPRODUCT((ES_3[STN]=ES_3[[#This Row],[STN]])*(ES_3[Included Exp/Sus]=1)*(ROW(ES_3[STN])&lt;=ROW()))=1,1,0),0)</f>
        <v>1</v>
      </c>
      <c r="N29" s="1" t="str">
        <f>_xlfn.XLOOKUP(ES_3[[#This Row],[STN]],SE_3[STN],SE_3[Ethnicity],"",0)</f>
        <v>Black - African American</v>
      </c>
    </row>
    <row r="30" spans="1:14" ht="14.45">
      <c r="A30" s="1">
        <v>535807899</v>
      </c>
      <c r="B30" s="1">
        <v>11</v>
      </c>
      <c r="C30" s="2">
        <v>3</v>
      </c>
      <c r="D30" s="1" t="s">
        <v>35</v>
      </c>
      <c r="E30" s="2">
        <v>3</v>
      </c>
      <c r="F30" s="1" t="s">
        <v>39</v>
      </c>
      <c r="G30" s="2">
        <v>17</v>
      </c>
      <c r="H30" s="1" t="s">
        <v>26</v>
      </c>
      <c r="I30" s="1">
        <f>SUMIFS(ES_3[LENGTH_EX_SU],ES_3[STN],ES_3[[#This Row],[STN]],ES_3[DISCIPLINE_TYPE],"Out-of-School Suspension")+SUMIFS(ES_3[LENGTH_EX_SU],ES_3[STN],ES_3[[#This Row],[STN]],ES_3[DISCIPLINE_TYPE],"Expulsion")</f>
        <v>27</v>
      </c>
      <c r="J30" s="1">
        <f>IF(ES_3[[#This Row],[Count Exp/Sus]]&gt;10,1,0)</f>
        <v>1</v>
      </c>
      <c r="K30" s="1" t="str">
        <f t="shared" si="0"/>
        <v>535807899-included</v>
      </c>
      <c r="L30" s="1">
        <f>IF(J30=1,IF(COUNTIFS($A$3:A30,A30,$J$3:J30,1)=1,A30&amp;"-included",0),0)</f>
        <v>0</v>
      </c>
      <c r="M30" s="1" cm="1">
        <f t="array" ref="M30">IF(ES_3[[#This Row],[Included Exp/Sus]]=1,IF(SUMPRODUCT((ES_3[STN]=ES_3[[#This Row],[STN]])*(ES_3[Included Exp/Sus]=1)*(ROW(ES_3[STN])&lt;=ROW()))=1,1,0),0)</f>
        <v>0</v>
      </c>
      <c r="N30" s="1" t="str">
        <f>_xlfn.XLOOKUP(ES_3[[#This Row],[STN]],SE_3[STN],SE_3[Ethnicity],"",0)</f>
        <v>Black - African American</v>
      </c>
    </row>
    <row r="31" spans="1:14" ht="14.45">
      <c r="A31" s="1">
        <v>536317088</v>
      </c>
      <c r="B31" s="1">
        <v>4</v>
      </c>
      <c r="C31" s="2">
        <v>1</v>
      </c>
      <c r="D31" s="1" t="s">
        <v>24</v>
      </c>
      <c r="E31" s="2">
        <v>15</v>
      </c>
      <c r="F31" s="1" t="s">
        <v>27</v>
      </c>
      <c r="G31" s="2">
        <v>1</v>
      </c>
      <c r="H31" s="1" t="s">
        <v>29</v>
      </c>
      <c r="I31" s="1">
        <f>SUMIFS(ES_3[LENGTH_EX_SU],ES_3[STN],ES_3[[#This Row],[STN]],ES_3[DISCIPLINE_TYPE],"Out-of-School Suspension")+SUMIFS(ES_3[LENGTH_EX_SU],ES_3[STN],ES_3[[#This Row],[STN]],ES_3[DISCIPLINE_TYPE],"Expulsion")</f>
        <v>0</v>
      </c>
      <c r="J31" s="1">
        <f>IF(ES_3[[#This Row],[Count Exp/Sus]]&gt;10,1,0)</f>
        <v>0</v>
      </c>
      <c r="K31" s="1">
        <f t="shared" si="0"/>
        <v>0</v>
      </c>
      <c r="L31" s="1">
        <f>IF(J31=1,IF(COUNTIFS($A$3:A31,A31,$J$3:J31,1)=1,A31&amp;"-included",0),0)</f>
        <v>0</v>
      </c>
      <c r="M31" s="1" cm="1">
        <f t="array" ref="M31">IF(ES_3[[#This Row],[Included Exp/Sus]]=1,IF(SUMPRODUCT((ES_3[STN]=ES_3[[#This Row],[STN]])*(ES_3[Included Exp/Sus]=1)*(ROW(ES_3[STN])&lt;=ROW()))=1,1,0),0)</f>
        <v>0</v>
      </c>
      <c r="N31" s="1" t="str">
        <f>_xlfn.XLOOKUP(ES_3[[#This Row],[STN]],SE_3[STN],SE_3[Ethnicity],"",0)</f>
        <v>White</v>
      </c>
    </row>
    <row r="32" spans="1:14" ht="14.45">
      <c r="A32" s="1">
        <v>536317133</v>
      </c>
      <c r="B32" s="1">
        <v>3</v>
      </c>
      <c r="C32" s="2">
        <v>2</v>
      </c>
      <c r="D32" s="1" t="s">
        <v>31</v>
      </c>
      <c r="E32" s="2">
        <v>10</v>
      </c>
      <c r="F32" s="1" t="s">
        <v>25</v>
      </c>
      <c r="G32" s="2">
        <v>1</v>
      </c>
      <c r="H32" s="1" t="s">
        <v>26</v>
      </c>
      <c r="I32" s="1">
        <f>SUMIFS(ES_3[LENGTH_EX_SU],ES_3[STN],ES_3[[#This Row],[STN]],ES_3[DISCIPLINE_TYPE],"Out-of-School Suspension")+SUMIFS(ES_3[LENGTH_EX_SU],ES_3[STN],ES_3[[#This Row],[STN]],ES_3[DISCIPLINE_TYPE],"Expulsion")</f>
        <v>9</v>
      </c>
      <c r="J32" s="1">
        <f>IF(ES_3[[#This Row],[Count Exp/Sus]]&gt;10,1,0)</f>
        <v>0</v>
      </c>
      <c r="K32" s="1">
        <f t="shared" si="0"/>
        <v>0</v>
      </c>
      <c r="L32" s="1">
        <f>IF(J32=1,IF(COUNTIFS($A$3:A32,A32,$J$3:J32,1)=1,A32&amp;"-included",0),0)</f>
        <v>0</v>
      </c>
      <c r="M32" s="1" cm="1">
        <f t="array" ref="M32">IF(ES_3[[#This Row],[Included Exp/Sus]]=1,IF(SUMPRODUCT((ES_3[STN]=ES_3[[#This Row],[STN]])*(ES_3[Included Exp/Sus]=1)*(ROW(ES_3[STN])&lt;=ROW()))=1,1,0),0)</f>
        <v>0</v>
      </c>
      <c r="N32" s="1" t="str">
        <f>_xlfn.XLOOKUP(ES_3[[#This Row],[STN]],SE_3[STN],SE_3[Ethnicity],"",0)</f>
        <v>White</v>
      </c>
    </row>
    <row r="33" spans="1:14" ht="14.45">
      <c r="A33" s="1">
        <v>536317133</v>
      </c>
      <c r="B33" s="1">
        <v>3</v>
      </c>
      <c r="C33" s="2">
        <v>2</v>
      </c>
      <c r="D33" s="1" t="s">
        <v>31</v>
      </c>
      <c r="E33" s="2">
        <v>10</v>
      </c>
      <c r="F33" s="1" t="s">
        <v>25</v>
      </c>
      <c r="G33" s="2">
        <v>2</v>
      </c>
      <c r="H33" s="1" t="s">
        <v>26</v>
      </c>
      <c r="I33" s="1">
        <f>SUMIFS(ES_3[LENGTH_EX_SU],ES_3[STN],ES_3[[#This Row],[STN]],ES_3[DISCIPLINE_TYPE],"Out-of-School Suspension")+SUMIFS(ES_3[LENGTH_EX_SU],ES_3[STN],ES_3[[#This Row],[STN]],ES_3[DISCIPLINE_TYPE],"Expulsion")</f>
        <v>9</v>
      </c>
      <c r="J33" s="1">
        <f>IF(ES_3[[#This Row],[Count Exp/Sus]]&gt;10,1,0)</f>
        <v>0</v>
      </c>
      <c r="K33" s="1">
        <f t="shared" si="0"/>
        <v>0</v>
      </c>
      <c r="L33" s="1">
        <f>IF(J33=1,IF(COUNTIFS($A$3:A33,A33,$J$3:J33,1)=1,A33&amp;"-included",0),0)</f>
        <v>0</v>
      </c>
      <c r="M33" s="1" cm="1">
        <f t="array" ref="M33">IF(ES_3[[#This Row],[Included Exp/Sus]]=1,IF(SUMPRODUCT((ES_3[STN]=ES_3[[#This Row],[STN]])*(ES_3[Included Exp/Sus]=1)*(ROW(ES_3[STN])&lt;=ROW()))=1,1,0),0)</f>
        <v>0</v>
      </c>
      <c r="N33" s="1" t="str">
        <f>_xlfn.XLOOKUP(ES_3[[#This Row],[STN]],SE_3[STN],SE_3[Ethnicity],"",0)</f>
        <v>White</v>
      </c>
    </row>
    <row r="34" spans="1:14" ht="14.45">
      <c r="A34" s="1">
        <v>536317133</v>
      </c>
      <c r="B34" s="1">
        <v>3</v>
      </c>
      <c r="C34" s="2">
        <v>2</v>
      </c>
      <c r="D34" s="1" t="s">
        <v>31</v>
      </c>
      <c r="E34" s="2">
        <v>11</v>
      </c>
      <c r="F34" s="1" t="s">
        <v>36</v>
      </c>
      <c r="G34" s="2">
        <v>2</v>
      </c>
      <c r="H34" s="1" t="s">
        <v>26</v>
      </c>
      <c r="I34" s="1">
        <f>SUMIFS(ES_3[LENGTH_EX_SU],ES_3[STN],ES_3[[#This Row],[STN]],ES_3[DISCIPLINE_TYPE],"Out-of-School Suspension")+SUMIFS(ES_3[LENGTH_EX_SU],ES_3[STN],ES_3[[#This Row],[STN]],ES_3[DISCIPLINE_TYPE],"Expulsion")</f>
        <v>9</v>
      </c>
      <c r="J34" s="1">
        <f>IF(ES_3[[#This Row],[Count Exp/Sus]]&gt;10,1,0)</f>
        <v>0</v>
      </c>
      <c r="K34" s="1">
        <f t="shared" si="0"/>
        <v>0</v>
      </c>
      <c r="L34" s="1">
        <f>IF(J34=1,IF(COUNTIFS($A$3:A34,A34,$J$3:J34,1)=1,A34&amp;"-included",0),0)</f>
        <v>0</v>
      </c>
      <c r="M34" s="1" cm="1">
        <f t="array" ref="M34">IF(ES_3[[#This Row],[Included Exp/Sus]]=1,IF(SUMPRODUCT((ES_3[STN]=ES_3[[#This Row],[STN]])*(ES_3[Included Exp/Sus]=1)*(ROW(ES_3[STN])&lt;=ROW()))=1,1,0),0)</f>
        <v>0</v>
      </c>
      <c r="N34" s="1" t="str">
        <f>_xlfn.XLOOKUP(ES_3[[#This Row],[STN]],SE_3[STN],SE_3[Ethnicity],"",0)</f>
        <v>White</v>
      </c>
    </row>
    <row r="35" spans="1:14" ht="14.45">
      <c r="A35" s="1">
        <v>536317133</v>
      </c>
      <c r="B35" s="1">
        <v>3</v>
      </c>
      <c r="C35" s="2">
        <v>2</v>
      </c>
      <c r="D35" s="1" t="s">
        <v>31</v>
      </c>
      <c r="E35" s="2">
        <v>10</v>
      </c>
      <c r="F35" s="1" t="s">
        <v>25</v>
      </c>
      <c r="G35" s="2">
        <v>1</v>
      </c>
      <c r="H35" s="1" t="s">
        <v>26</v>
      </c>
      <c r="I35" s="1">
        <f>SUMIFS(ES_3[LENGTH_EX_SU],ES_3[STN],ES_3[[#This Row],[STN]],ES_3[DISCIPLINE_TYPE],"Out-of-School Suspension")+SUMIFS(ES_3[LENGTH_EX_SU],ES_3[STN],ES_3[[#This Row],[STN]],ES_3[DISCIPLINE_TYPE],"Expulsion")</f>
        <v>9</v>
      </c>
      <c r="J35" s="1">
        <f>IF(ES_3[[#This Row],[Count Exp/Sus]]&gt;10,1,0)</f>
        <v>0</v>
      </c>
      <c r="K35" s="1">
        <f t="shared" si="0"/>
        <v>0</v>
      </c>
      <c r="L35" s="1">
        <f>IF(J35=1,IF(COUNTIFS($A$3:A35,A35,$J$3:J35,1)=1,A35&amp;"-included",0),0)</f>
        <v>0</v>
      </c>
      <c r="M35" s="1" cm="1">
        <f t="array" ref="M35">IF(ES_3[[#This Row],[Included Exp/Sus]]=1,IF(SUMPRODUCT((ES_3[STN]=ES_3[[#This Row],[STN]])*(ES_3[Included Exp/Sus]=1)*(ROW(ES_3[STN])&lt;=ROW()))=1,1,0),0)</f>
        <v>0</v>
      </c>
      <c r="N35" s="1" t="str">
        <f>_xlfn.XLOOKUP(ES_3[[#This Row],[STN]],SE_3[STN],SE_3[Ethnicity],"",0)</f>
        <v>White</v>
      </c>
    </row>
    <row r="36" spans="1:14" ht="14.45">
      <c r="A36" s="1">
        <v>536317133</v>
      </c>
      <c r="B36" s="1">
        <v>3</v>
      </c>
      <c r="C36" s="2">
        <v>2</v>
      </c>
      <c r="D36" s="1" t="s">
        <v>31</v>
      </c>
      <c r="E36" s="2">
        <v>11</v>
      </c>
      <c r="F36" s="1" t="s">
        <v>36</v>
      </c>
      <c r="G36" s="2">
        <v>2</v>
      </c>
      <c r="H36" s="1" t="s">
        <v>26</v>
      </c>
      <c r="I36" s="1">
        <f>SUMIFS(ES_3[LENGTH_EX_SU],ES_3[STN],ES_3[[#This Row],[STN]],ES_3[DISCIPLINE_TYPE],"Out-of-School Suspension")+SUMIFS(ES_3[LENGTH_EX_SU],ES_3[STN],ES_3[[#This Row],[STN]],ES_3[DISCIPLINE_TYPE],"Expulsion")</f>
        <v>9</v>
      </c>
      <c r="J36" s="1">
        <f>IF(ES_3[[#This Row],[Count Exp/Sus]]&gt;10,1,0)</f>
        <v>0</v>
      </c>
      <c r="K36" s="1">
        <f t="shared" si="0"/>
        <v>0</v>
      </c>
      <c r="L36" s="1">
        <f>IF(J36=1,IF(COUNTIFS($A$3:A36,A36,$J$3:J36,1)=1,A36&amp;"-included",0),0)</f>
        <v>0</v>
      </c>
      <c r="M36" s="1" cm="1">
        <f t="array" ref="M36">IF(ES_3[[#This Row],[Included Exp/Sus]]=1,IF(SUMPRODUCT((ES_3[STN]=ES_3[[#This Row],[STN]])*(ES_3[Included Exp/Sus]=1)*(ROW(ES_3[STN])&lt;=ROW()))=1,1,0),0)</f>
        <v>0</v>
      </c>
      <c r="N36" s="1" t="str">
        <f>_xlfn.XLOOKUP(ES_3[[#This Row],[STN]],SE_3[STN],SE_3[Ethnicity],"",0)</f>
        <v>White</v>
      </c>
    </row>
    <row r="37" spans="1:14" ht="14.45">
      <c r="A37" s="1">
        <v>536317133</v>
      </c>
      <c r="B37" s="1">
        <v>3</v>
      </c>
      <c r="C37" s="2">
        <v>2</v>
      </c>
      <c r="D37" s="1" t="s">
        <v>31</v>
      </c>
      <c r="E37" s="2">
        <v>11</v>
      </c>
      <c r="F37" s="1" t="s">
        <v>36</v>
      </c>
      <c r="G37" s="2">
        <v>1</v>
      </c>
      <c r="H37" s="1" t="s">
        <v>26</v>
      </c>
      <c r="I37" s="1">
        <f>SUMIFS(ES_3[LENGTH_EX_SU],ES_3[STN],ES_3[[#This Row],[STN]],ES_3[DISCIPLINE_TYPE],"Out-of-School Suspension")+SUMIFS(ES_3[LENGTH_EX_SU],ES_3[STN],ES_3[[#This Row],[STN]],ES_3[DISCIPLINE_TYPE],"Expulsion")</f>
        <v>9</v>
      </c>
      <c r="J37" s="1">
        <f>IF(ES_3[[#This Row],[Count Exp/Sus]]&gt;10,1,0)</f>
        <v>0</v>
      </c>
      <c r="K37" s="1">
        <f t="shared" si="0"/>
        <v>0</v>
      </c>
      <c r="L37" s="1">
        <f>IF(J37=1,IF(COUNTIFS($A$3:A37,A37,$J$3:J37,1)=1,A37&amp;"-included",0),0)</f>
        <v>0</v>
      </c>
      <c r="M37" s="1" cm="1">
        <f t="array" ref="M37">IF(ES_3[[#This Row],[Included Exp/Sus]]=1,IF(SUMPRODUCT((ES_3[STN]=ES_3[[#This Row],[STN]])*(ES_3[Included Exp/Sus]=1)*(ROW(ES_3[STN])&lt;=ROW()))=1,1,0),0)</f>
        <v>0</v>
      </c>
      <c r="N37" s="1" t="str">
        <f>_xlfn.XLOOKUP(ES_3[[#This Row],[STN]],SE_3[STN],SE_3[Ethnicity],"",0)</f>
        <v>White</v>
      </c>
    </row>
    <row r="38" spans="1:14" ht="14.45">
      <c r="A38" s="1">
        <v>536912979</v>
      </c>
      <c r="B38" s="1">
        <v>9</v>
      </c>
      <c r="C38" s="2">
        <v>2</v>
      </c>
      <c r="D38" s="1" t="s">
        <v>31</v>
      </c>
      <c r="E38" s="2">
        <v>14</v>
      </c>
      <c r="F38" s="1" t="s">
        <v>32</v>
      </c>
      <c r="G38" s="2">
        <v>1</v>
      </c>
      <c r="H38" s="1" t="s">
        <v>29</v>
      </c>
      <c r="I38" s="1">
        <f>SUMIFS(ES_3[LENGTH_EX_SU],ES_3[STN],ES_3[[#This Row],[STN]],ES_3[DISCIPLINE_TYPE],"Out-of-School Suspension")+SUMIFS(ES_3[LENGTH_EX_SU],ES_3[STN],ES_3[[#This Row],[STN]],ES_3[DISCIPLINE_TYPE],"Expulsion")</f>
        <v>1</v>
      </c>
      <c r="J38" s="1">
        <f>IF(ES_3[[#This Row],[Count Exp/Sus]]&gt;10,1,0)</f>
        <v>0</v>
      </c>
      <c r="K38" s="1">
        <f t="shared" si="0"/>
        <v>0</v>
      </c>
      <c r="L38" s="1">
        <f>IF(J38=1,IF(COUNTIFS($A$3:A38,A38,$J$3:J38,1)=1,A38&amp;"-included",0),0)</f>
        <v>0</v>
      </c>
      <c r="M38" s="1" cm="1">
        <f t="array" ref="M38">IF(ES_3[[#This Row],[Included Exp/Sus]]=1,IF(SUMPRODUCT((ES_3[STN]=ES_3[[#This Row],[STN]])*(ES_3[Included Exp/Sus]=1)*(ROW(ES_3[STN])&lt;=ROW()))=1,1,0),0)</f>
        <v>0</v>
      </c>
      <c r="N38" s="1" t="str">
        <f>_xlfn.XLOOKUP(ES_3[[#This Row],[STN]],SE_3[STN],SE_3[Ethnicity],"",0)</f>
        <v>White</v>
      </c>
    </row>
    <row r="39" spans="1:14" ht="14.45">
      <c r="A39" s="1">
        <v>536914037</v>
      </c>
      <c r="B39" s="1">
        <v>7</v>
      </c>
      <c r="C39" s="2">
        <v>2</v>
      </c>
      <c r="D39" s="1" t="s">
        <v>31</v>
      </c>
      <c r="E39" s="2">
        <v>7</v>
      </c>
      <c r="F39" s="1" t="s">
        <v>30</v>
      </c>
      <c r="G39" s="2">
        <v>3</v>
      </c>
      <c r="H39" s="1" t="s">
        <v>29</v>
      </c>
      <c r="I39" s="1">
        <f>SUMIFS(ES_3[LENGTH_EX_SU],ES_3[STN],ES_3[[#This Row],[STN]],ES_3[DISCIPLINE_TYPE],"Out-of-School Suspension")+SUMIFS(ES_3[LENGTH_EX_SU],ES_3[STN],ES_3[[#This Row],[STN]],ES_3[DISCIPLINE_TYPE],"Expulsion")</f>
        <v>3</v>
      </c>
      <c r="J39" s="1">
        <f>IF(ES_3[[#This Row],[Count Exp/Sus]]&gt;10,1,0)</f>
        <v>0</v>
      </c>
      <c r="K39" s="1">
        <f t="shared" si="0"/>
        <v>0</v>
      </c>
      <c r="L39" s="1">
        <f>IF(J39=1,IF(COUNTIFS($A$3:A39,A39,$J$3:J39,1)=1,A39&amp;"-included",0),0)</f>
        <v>0</v>
      </c>
      <c r="M39" s="1" cm="1">
        <f t="array" ref="M39">IF(ES_3[[#This Row],[Included Exp/Sus]]=1,IF(SUMPRODUCT((ES_3[STN]=ES_3[[#This Row],[STN]])*(ES_3[Included Exp/Sus]=1)*(ROW(ES_3[STN])&lt;=ROW()))=1,1,0),0)</f>
        <v>0</v>
      </c>
      <c r="N39" s="1" t="str">
        <f>_xlfn.XLOOKUP(ES_3[[#This Row],[STN]],SE_3[STN],SE_3[Ethnicity],"",0)</f>
        <v>White</v>
      </c>
    </row>
    <row r="40" spans="1:14" ht="14.45">
      <c r="A40" s="1">
        <v>536918032</v>
      </c>
      <c r="B40" s="1">
        <v>3</v>
      </c>
      <c r="C40" s="2">
        <v>2</v>
      </c>
      <c r="D40" s="1" t="s">
        <v>31</v>
      </c>
      <c r="E40" s="2">
        <v>12</v>
      </c>
      <c r="F40" s="1" t="s">
        <v>46</v>
      </c>
      <c r="G40" s="2">
        <v>3</v>
      </c>
      <c r="H40" s="1" t="s">
        <v>26</v>
      </c>
      <c r="I40" s="1">
        <f>SUMIFS(ES_3[LENGTH_EX_SU],ES_3[STN],ES_3[[#This Row],[STN]],ES_3[DISCIPLINE_TYPE],"Out-of-School Suspension")+SUMIFS(ES_3[LENGTH_EX_SU],ES_3[STN],ES_3[[#This Row],[STN]],ES_3[DISCIPLINE_TYPE],"Expulsion")</f>
        <v>5</v>
      </c>
      <c r="J40" s="1">
        <f>IF(ES_3[[#This Row],[Count Exp/Sus]]&gt;10,1,0)</f>
        <v>0</v>
      </c>
      <c r="K40" s="1">
        <f t="shared" si="0"/>
        <v>0</v>
      </c>
      <c r="L40" s="1">
        <f>IF(J40=1,IF(COUNTIFS($A$3:A40,A40,$J$3:J40,1)=1,A40&amp;"-included",0),0)</f>
        <v>0</v>
      </c>
      <c r="M40" s="1" cm="1">
        <f t="array" ref="M40">IF(ES_3[[#This Row],[Included Exp/Sus]]=1,IF(SUMPRODUCT((ES_3[STN]=ES_3[[#This Row],[STN]])*(ES_3[Included Exp/Sus]=1)*(ROW(ES_3[STN])&lt;=ROW()))=1,1,0),0)</f>
        <v>0</v>
      </c>
      <c r="N40" s="1" t="str">
        <f>_xlfn.XLOOKUP(ES_3[[#This Row],[STN]],SE_3[STN],SE_3[Ethnicity],"",0)</f>
        <v>White</v>
      </c>
    </row>
    <row r="41" spans="1:14" ht="14.45">
      <c r="A41" s="1">
        <v>536918032</v>
      </c>
      <c r="B41" s="1">
        <v>3</v>
      </c>
      <c r="C41" s="2">
        <v>2</v>
      </c>
      <c r="D41" s="1" t="s">
        <v>31</v>
      </c>
      <c r="E41" s="2">
        <v>12</v>
      </c>
      <c r="F41" s="1" t="s">
        <v>46</v>
      </c>
      <c r="G41" s="2">
        <v>2</v>
      </c>
      <c r="H41" s="1" t="s">
        <v>26</v>
      </c>
      <c r="I41" s="1">
        <f>SUMIFS(ES_3[LENGTH_EX_SU],ES_3[STN],ES_3[[#This Row],[STN]],ES_3[DISCIPLINE_TYPE],"Out-of-School Suspension")+SUMIFS(ES_3[LENGTH_EX_SU],ES_3[STN],ES_3[[#This Row],[STN]],ES_3[DISCIPLINE_TYPE],"Expulsion")</f>
        <v>5</v>
      </c>
      <c r="J41" s="1">
        <f>IF(ES_3[[#This Row],[Count Exp/Sus]]&gt;10,1,0)</f>
        <v>0</v>
      </c>
      <c r="K41" s="1">
        <f t="shared" si="0"/>
        <v>0</v>
      </c>
      <c r="L41" s="1">
        <f>IF(J41=1,IF(COUNTIFS($A$3:A41,A41,$J$3:J41,1)=1,A41&amp;"-included",0),0)</f>
        <v>0</v>
      </c>
      <c r="M41" s="1" cm="1">
        <f t="array" ref="M41">IF(ES_3[[#This Row],[Included Exp/Sus]]=1,IF(SUMPRODUCT((ES_3[STN]=ES_3[[#This Row],[STN]])*(ES_3[Included Exp/Sus]=1)*(ROW(ES_3[STN])&lt;=ROW()))=1,1,0),0)</f>
        <v>0</v>
      </c>
      <c r="N41" s="1" t="str">
        <f>_xlfn.XLOOKUP(ES_3[[#This Row],[STN]],SE_3[STN],SE_3[Ethnicity],"",0)</f>
        <v>White</v>
      </c>
    </row>
    <row r="42" spans="1:14" ht="14.45">
      <c r="A42" s="1">
        <v>537012061</v>
      </c>
      <c r="B42" s="1">
        <v>9</v>
      </c>
      <c r="C42" s="2">
        <v>2</v>
      </c>
      <c r="D42" s="1" t="s">
        <v>31</v>
      </c>
      <c r="E42" s="2">
        <v>11</v>
      </c>
      <c r="F42" s="1" t="s">
        <v>36</v>
      </c>
      <c r="G42" s="2">
        <v>3</v>
      </c>
      <c r="H42" s="1" t="s">
        <v>29</v>
      </c>
      <c r="I42" s="1">
        <f>SUMIFS(ES_3[LENGTH_EX_SU],ES_3[STN],ES_3[[#This Row],[STN]],ES_3[DISCIPLINE_TYPE],"Out-of-School Suspension")+SUMIFS(ES_3[LENGTH_EX_SU],ES_3[STN],ES_3[[#This Row],[STN]],ES_3[DISCIPLINE_TYPE],"Expulsion")</f>
        <v>10</v>
      </c>
      <c r="J42" s="1">
        <f>IF(ES_3[[#This Row],[Count Exp/Sus]]&gt;10,1,0)</f>
        <v>0</v>
      </c>
      <c r="K42" s="1">
        <f t="shared" si="0"/>
        <v>0</v>
      </c>
      <c r="L42" s="1">
        <f>IF(J42=1,IF(COUNTIFS($A$3:A42,A42,$J$3:J42,1)=1,A42&amp;"-included",0),0)</f>
        <v>0</v>
      </c>
      <c r="M42" s="1" cm="1">
        <f t="array" ref="M42">IF(ES_3[[#This Row],[Included Exp/Sus]]=1,IF(SUMPRODUCT((ES_3[STN]=ES_3[[#This Row],[STN]])*(ES_3[Included Exp/Sus]=1)*(ROW(ES_3[STN])&lt;=ROW()))=1,1,0),0)</f>
        <v>0</v>
      </c>
      <c r="N42" s="1" t="str">
        <f>_xlfn.XLOOKUP(ES_3[[#This Row],[STN]],SE_3[STN],SE_3[Ethnicity],"",0)</f>
        <v>Black - African American</v>
      </c>
    </row>
    <row r="43" spans="1:14" ht="14.45">
      <c r="A43" s="1">
        <v>537012061</v>
      </c>
      <c r="B43" s="1">
        <v>9</v>
      </c>
      <c r="C43" s="2">
        <v>2</v>
      </c>
      <c r="D43" s="1" t="s">
        <v>31</v>
      </c>
      <c r="E43" s="2">
        <v>11</v>
      </c>
      <c r="F43" s="1" t="s">
        <v>36</v>
      </c>
      <c r="G43" s="2">
        <v>7</v>
      </c>
      <c r="H43" s="1" t="s">
        <v>29</v>
      </c>
      <c r="I43" s="1">
        <f>SUMIFS(ES_3[LENGTH_EX_SU],ES_3[STN],ES_3[[#This Row],[STN]],ES_3[DISCIPLINE_TYPE],"Out-of-School Suspension")+SUMIFS(ES_3[LENGTH_EX_SU],ES_3[STN],ES_3[[#This Row],[STN]],ES_3[DISCIPLINE_TYPE],"Expulsion")</f>
        <v>10</v>
      </c>
      <c r="J43" s="1">
        <f>IF(ES_3[[#This Row],[Count Exp/Sus]]&gt;10,1,0)</f>
        <v>0</v>
      </c>
      <c r="K43" s="1">
        <f t="shared" si="0"/>
        <v>0</v>
      </c>
      <c r="L43" s="1">
        <f>IF(J43=1,IF(COUNTIFS($A$3:A43,A43,$J$3:J43,1)=1,A43&amp;"-included",0),0)</f>
        <v>0</v>
      </c>
      <c r="M43" s="1" cm="1">
        <f t="array" ref="M43">IF(ES_3[[#This Row],[Included Exp/Sus]]=1,IF(SUMPRODUCT((ES_3[STN]=ES_3[[#This Row],[STN]])*(ES_3[Included Exp/Sus]=1)*(ROW(ES_3[STN])&lt;=ROW()))=1,1,0),0)</f>
        <v>0</v>
      </c>
      <c r="N43" s="1" t="str">
        <f>_xlfn.XLOOKUP(ES_3[[#This Row],[STN]],SE_3[STN],SE_3[Ethnicity],"",0)</f>
        <v>Black - African American</v>
      </c>
    </row>
    <row r="44" spans="1:14" ht="14.45">
      <c r="A44" s="1">
        <v>537017031</v>
      </c>
      <c r="B44" s="1">
        <v>4</v>
      </c>
      <c r="C44" s="2">
        <v>2</v>
      </c>
      <c r="D44" s="1" t="s">
        <v>31</v>
      </c>
      <c r="E44" s="2">
        <v>21</v>
      </c>
      <c r="F44" s="1" t="s">
        <v>47</v>
      </c>
      <c r="G44" s="2">
        <v>3</v>
      </c>
      <c r="H44" s="1" t="s">
        <v>29</v>
      </c>
      <c r="I44" s="1">
        <f>SUMIFS(ES_3[LENGTH_EX_SU],ES_3[STN],ES_3[[#This Row],[STN]],ES_3[DISCIPLINE_TYPE],"Out-of-School Suspension")+SUMIFS(ES_3[LENGTH_EX_SU],ES_3[STN],ES_3[[#This Row],[STN]],ES_3[DISCIPLINE_TYPE],"Expulsion")</f>
        <v>3</v>
      </c>
      <c r="J44" s="1">
        <f>IF(ES_3[[#This Row],[Count Exp/Sus]]&gt;10,1,0)</f>
        <v>0</v>
      </c>
      <c r="K44" s="1">
        <f t="shared" si="0"/>
        <v>0</v>
      </c>
      <c r="L44" s="1">
        <f>IF(J44=1,IF(COUNTIFS($A$3:A44,A44,$J$3:J44,1)=1,A44&amp;"-included",0),0)</f>
        <v>0</v>
      </c>
      <c r="M44" s="1" cm="1">
        <f t="array" ref="M44">IF(ES_3[[#This Row],[Included Exp/Sus]]=1,IF(SUMPRODUCT((ES_3[STN]=ES_3[[#This Row],[STN]])*(ES_3[Included Exp/Sus]=1)*(ROW(ES_3[STN])&lt;=ROW()))=1,1,0),0)</f>
        <v>0</v>
      </c>
      <c r="N44" s="1" t="str">
        <f>_xlfn.XLOOKUP(ES_3[[#This Row],[STN]],SE_3[STN],SE_3[Ethnicity],"",0)</f>
        <v>White</v>
      </c>
    </row>
    <row r="45" spans="1:14" ht="14.45">
      <c r="A45" s="1">
        <v>537109065</v>
      </c>
      <c r="B45" s="1">
        <v>12</v>
      </c>
      <c r="C45" s="2">
        <v>1</v>
      </c>
      <c r="D45" s="1" t="s">
        <v>24</v>
      </c>
      <c r="E45" s="2">
        <v>15</v>
      </c>
      <c r="F45" s="1" t="s">
        <v>27</v>
      </c>
      <c r="G45" s="2">
        <v>1</v>
      </c>
      <c r="H45" s="1" t="s">
        <v>29</v>
      </c>
      <c r="I45" s="1">
        <f>SUMIFS(ES_3[LENGTH_EX_SU],ES_3[STN],ES_3[[#This Row],[STN]],ES_3[DISCIPLINE_TYPE],"Out-of-School Suspension")+SUMIFS(ES_3[LENGTH_EX_SU],ES_3[STN],ES_3[[#This Row],[STN]],ES_3[DISCIPLINE_TYPE],"Expulsion")</f>
        <v>0</v>
      </c>
      <c r="J45" s="1">
        <f>IF(ES_3[[#This Row],[Count Exp/Sus]]&gt;10,1,0)</f>
        <v>0</v>
      </c>
      <c r="K45" s="1">
        <f t="shared" si="0"/>
        <v>0</v>
      </c>
      <c r="L45" s="1">
        <f>IF(J45=1,IF(COUNTIFS($A$3:A45,A45,$J$3:J45,1)=1,A45&amp;"-included",0),0)</f>
        <v>0</v>
      </c>
      <c r="M45" s="1" cm="1">
        <f t="array" ref="M45">IF(ES_3[[#This Row],[Included Exp/Sus]]=1,IF(SUMPRODUCT((ES_3[STN]=ES_3[[#This Row],[STN]])*(ES_3[Included Exp/Sus]=1)*(ROW(ES_3[STN])&lt;=ROW()))=1,1,0),0)</f>
        <v>0</v>
      </c>
      <c r="N45" s="1" t="str">
        <f>_xlfn.XLOOKUP(ES_3[[#This Row],[STN]],SE_3[STN],SE_3[Ethnicity],"",0)</f>
        <v>Hispanic Ethnicity and of any race</v>
      </c>
    </row>
    <row r="46" spans="1:14" ht="14.45">
      <c r="A46" s="1">
        <v>537316039</v>
      </c>
      <c r="B46" s="1">
        <v>5</v>
      </c>
      <c r="C46" s="2">
        <v>1</v>
      </c>
      <c r="D46" s="1" t="s">
        <v>24</v>
      </c>
      <c r="E46" s="2">
        <v>12</v>
      </c>
      <c r="F46" s="1" t="s">
        <v>46</v>
      </c>
      <c r="G46" s="2">
        <v>1</v>
      </c>
      <c r="H46" s="1" t="s">
        <v>29</v>
      </c>
      <c r="I46" s="1">
        <f>SUMIFS(ES_3[LENGTH_EX_SU],ES_3[STN],ES_3[[#This Row],[STN]],ES_3[DISCIPLINE_TYPE],"Out-of-School Suspension")+SUMIFS(ES_3[LENGTH_EX_SU],ES_3[STN],ES_3[[#This Row],[STN]],ES_3[DISCIPLINE_TYPE],"Expulsion")</f>
        <v>0</v>
      </c>
      <c r="J46" s="1">
        <f>IF(ES_3[[#This Row],[Count Exp/Sus]]&gt;10,1,0)</f>
        <v>0</v>
      </c>
      <c r="K46" s="1">
        <f t="shared" si="0"/>
        <v>0</v>
      </c>
      <c r="L46" s="1">
        <f>IF(J46=1,IF(COUNTIFS($A$3:A46,A46,$J$3:J46,1)=1,A46&amp;"-included",0),0)</f>
        <v>0</v>
      </c>
      <c r="M46" s="1" cm="1">
        <f t="array" ref="M46">IF(ES_3[[#This Row],[Included Exp/Sus]]=1,IF(SUMPRODUCT((ES_3[STN]=ES_3[[#This Row],[STN]])*(ES_3[Included Exp/Sus]=1)*(ROW(ES_3[STN])&lt;=ROW()))=1,1,0),0)</f>
        <v>0</v>
      </c>
      <c r="N46" s="1" t="str">
        <f>_xlfn.XLOOKUP(ES_3[[#This Row],[STN]],SE_3[STN],SE_3[Ethnicity],"",0)</f>
        <v>Multiracial (two or more races)</v>
      </c>
    </row>
    <row r="47" spans="1:14" ht="14.45">
      <c r="A47" s="1">
        <v>537316039</v>
      </c>
      <c r="B47" s="1">
        <v>5</v>
      </c>
      <c r="C47" s="2">
        <v>1</v>
      </c>
      <c r="D47" s="1" t="s">
        <v>24</v>
      </c>
      <c r="E47" s="2">
        <v>11</v>
      </c>
      <c r="F47" s="1" t="s">
        <v>36</v>
      </c>
      <c r="G47" s="2">
        <v>1</v>
      </c>
      <c r="H47" s="1" t="s">
        <v>29</v>
      </c>
      <c r="I47" s="1">
        <f>SUMIFS(ES_3[LENGTH_EX_SU],ES_3[STN],ES_3[[#This Row],[STN]],ES_3[DISCIPLINE_TYPE],"Out-of-School Suspension")+SUMIFS(ES_3[LENGTH_EX_SU],ES_3[STN],ES_3[[#This Row],[STN]],ES_3[DISCIPLINE_TYPE],"Expulsion")</f>
        <v>0</v>
      </c>
      <c r="J47" s="1">
        <f>IF(ES_3[[#This Row],[Count Exp/Sus]]&gt;10,1,0)</f>
        <v>0</v>
      </c>
      <c r="K47" s="1">
        <f t="shared" si="0"/>
        <v>0</v>
      </c>
      <c r="L47" s="1">
        <f>IF(J47=1,IF(COUNTIFS($A$3:A47,A47,$J$3:J47,1)=1,A47&amp;"-included",0),0)</f>
        <v>0</v>
      </c>
      <c r="M47" s="1" cm="1">
        <f t="array" ref="M47">IF(ES_3[[#This Row],[Included Exp/Sus]]=1,IF(SUMPRODUCT((ES_3[STN]=ES_3[[#This Row],[STN]])*(ES_3[Included Exp/Sus]=1)*(ROW(ES_3[STN])&lt;=ROW()))=1,1,0),0)</f>
        <v>0</v>
      </c>
      <c r="N47" s="1" t="str">
        <f>_xlfn.XLOOKUP(ES_3[[#This Row],[STN]],SE_3[STN],SE_3[Ethnicity],"",0)</f>
        <v>Multiracial (two or more races)</v>
      </c>
    </row>
    <row r="48" spans="1:14" ht="14.45">
      <c r="A48" s="1">
        <v>537320019</v>
      </c>
      <c r="B48" s="1">
        <v>1</v>
      </c>
      <c r="C48" s="2">
        <v>2</v>
      </c>
      <c r="D48" s="1" t="s">
        <v>31</v>
      </c>
      <c r="E48" s="2">
        <v>10</v>
      </c>
      <c r="F48" s="1" t="s">
        <v>25</v>
      </c>
      <c r="G48" s="2">
        <v>2</v>
      </c>
      <c r="H48" s="1" t="s">
        <v>29</v>
      </c>
      <c r="I48" s="1">
        <f>SUMIFS(ES_3[LENGTH_EX_SU],ES_3[STN],ES_3[[#This Row],[STN]],ES_3[DISCIPLINE_TYPE],"Out-of-School Suspension")+SUMIFS(ES_3[LENGTH_EX_SU],ES_3[STN],ES_3[[#This Row],[STN]],ES_3[DISCIPLINE_TYPE],"Expulsion")</f>
        <v>3</v>
      </c>
      <c r="J48" s="1">
        <f>IF(ES_3[[#This Row],[Count Exp/Sus]]&gt;10,1,0)</f>
        <v>0</v>
      </c>
      <c r="K48" s="1">
        <f t="shared" si="0"/>
        <v>0</v>
      </c>
      <c r="L48" s="1">
        <f>IF(J48=1,IF(COUNTIFS($A$3:A48,A48,$J$3:J48,1)=1,A48&amp;"-included",0),0)</f>
        <v>0</v>
      </c>
      <c r="M48" s="1" cm="1">
        <f t="array" ref="M48">IF(ES_3[[#This Row],[Included Exp/Sus]]=1,IF(SUMPRODUCT((ES_3[STN]=ES_3[[#This Row],[STN]])*(ES_3[Included Exp/Sus]=1)*(ROW(ES_3[STN])&lt;=ROW()))=1,1,0),0)</f>
        <v>0</v>
      </c>
      <c r="N48" s="1" t="str">
        <f>_xlfn.XLOOKUP(ES_3[[#This Row],[STN]],SE_3[STN],SE_3[Ethnicity],"",0)</f>
        <v>White</v>
      </c>
    </row>
    <row r="49" spans="1:14" ht="14.45">
      <c r="A49" s="1">
        <v>537320019</v>
      </c>
      <c r="B49" s="1">
        <v>1</v>
      </c>
      <c r="C49" s="2">
        <v>2</v>
      </c>
      <c r="D49" s="1" t="s">
        <v>31</v>
      </c>
      <c r="E49" s="2">
        <v>12</v>
      </c>
      <c r="F49" s="1" t="s">
        <v>46</v>
      </c>
      <c r="G49" s="2">
        <v>1</v>
      </c>
      <c r="H49" s="1" t="s">
        <v>29</v>
      </c>
      <c r="I49" s="1">
        <f>SUMIFS(ES_3[LENGTH_EX_SU],ES_3[STN],ES_3[[#This Row],[STN]],ES_3[DISCIPLINE_TYPE],"Out-of-School Suspension")+SUMIFS(ES_3[LENGTH_EX_SU],ES_3[STN],ES_3[[#This Row],[STN]],ES_3[DISCIPLINE_TYPE],"Expulsion")</f>
        <v>3</v>
      </c>
      <c r="J49" s="1">
        <f>IF(ES_3[[#This Row],[Count Exp/Sus]]&gt;10,1,0)</f>
        <v>0</v>
      </c>
      <c r="K49" s="1">
        <f t="shared" si="0"/>
        <v>0</v>
      </c>
      <c r="L49" s="1">
        <f>IF(J49=1,IF(COUNTIFS($A$3:A49,A49,$J$3:J49,1)=1,A49&amp;"-included",0),0)</f>
        <v>0</v>
      </c>
      <c r="M49" s="1" cm="1">
        <f t="array" ref="M49">IF(ES_3[[#This Row],[Included Exp/Sus]]=1,IF(SUMPRODUCT((ES_3[STN]=ES_3[[#This Row],[STN]])*(ES_3[Included Exp/Sus]=1)*(ROW(ES_3[STN])&lt;=ROW()))=1,1,0),0)</f>
        <v>0</v>
      </c>
      <c r="N49" s="1" t="str">
        <f>_xlfn.XLOOKUP(ES_3[[#This Row],[STN]],SE_3[STN],SE_3[Ethnicity],"",0)</f>
        <v>White</v>
      </c>
    </row>
    <row r="50" spans="1:14" ht="14.45">
      <c r="A50" s="1">
        <v>537512073</v>
      </c>
      <c r="B50" s="1">
        <v>8</v>
      </c>
      <c r="C50" s="2">
        <v>2</v>
      </c>
      <c r="D50" s="1" t="s">
        <v>31</v>
      </c>
      <c r="E50" s="2">
        <v>10</v>
      </c>
      <c r="F50" s="1" t="s">
        <v>25</v>
      </c>
      <c r="G50" s="2">
        <v>3</v>
      </c>
      <c r="H50" s="1" t="s">
        <v>29</v>
      </c>
      <c r="I50" s="1">
        <f>SUMIFS(ES_3[LENGTH_EX_SU],ES_3[STN],ES_3[[#This Row],[STN]],ES_3[DISCIPLINE_TYPE],"Out-of-School Suspension")+SUMIFS(ES_3[LENGTH_EX_SU],ES_3[STN],ES_3[[#This Row],[STN]],ES_3[DISCIPLINE_TYPE],"Expulsion")</f>
        <v>3</v>
      </c>
      <c r="J50" s="1">
        <f>IF(ES_3[[#This Row],[Count Exp/Sus]]&gt;10,1,0)</f>
        <v>0</v>
      </c>
      <c r="K50" s="1">
        <f t="shared" si="0"/>
        <v>0</v>
      </c>
      <c r="L50" s="1">
        <f>IF(J50=1,IF(COUNTIFS($A$3:A50,A50,$J$3:J50,1)=1,A50&amp;"-included",0),0)</f>
        <v>0</v>
      </c>
      <c r="M50" s="1" cm="1">
        <f t="array" ref="M50">IF(ES_3[[#This Row],[Included Exp/Sus]]=1,IF(SUMPRODUCT((ES_3[STN]=ES_3[[#This Row],[STN]])*(ES_3[Included Exp/Sus]=1)*(ROW(ES_3[STN])&lt;=ROW()))=1,1,0),0)</f>
        <v>0</v>
      </c>
      <c r="N50" s="1" t="str">
        <f>_xlfn.XLOOKUP(ES_3[[#This Row],[STN]],SE_3[STN],SE_3[Ethnicity],"",0)</f>
        <v>Multiracial (two or more races)</v>
      </c>
    </row>
    <row r="51" spans="1:14" ht="14.45">
      <c r="A51" s="1">
        <v>537514058</v>
      </c>
      <c r="B51" s="1">
        <v>11</v>
      </c>
      <c r="C51" s="2">
        <v>2</v>
      </c>
      <c r="D51" s="1" t="s">
        <v>31</v>
      </c>
      <c r="E51" s="2">
        <v>32</v>
      </c>
      <c r="F51" s="1" t="s">
        <v>48</v>
      </c>
      <c r="G51" s="2">
        <v>3</v>
      </c>
      <c r="H51" s="1" t="s">
        <v>29</v>
      </c>
      <c r="I51" s="1">
        <f>SUMIFS(ES_3[LENGTH_EX_SU],ES_3[STN],ES_3[[#This Row],[STN]],ES_3[DISCIPLINE_TYPE],"Out-of-School Suspension")+SUMIFS(ES_3[LENGTH_EX_SU],ES_3[STN],ES_3[[#This Row],[STN]],ES_3[DISCIPLINE_TYPE],"Expulsion")</f>
        <v>3</v>
      </c>
      <c r="J51" s="1">
        <f>IF(ES_3[[#This Row],[Count Exp/Sus]]&gt;10,1,0)</f>
        <v>0</v>
      </c>
      <c r="K51" s="1">
        <f t="shared" si="0"/>
        <v>0</v>
      </c>
      <c r="L51" s="1">
        <f>IF(J51=1,IF(COUNTIFS($A$3:A51,A51,$J$3:J51,1)=1,A51&amp;"-included",0),0)</f>
        <v>0</v>
      </c>
      <c r="M51" s="1" cm="1">
        <f t="array" ref="M51">IF(ES_3[[#This Row],[Included Exp/Sus]]=1,IF(SUMPRODUCT((ES_3[STN]=ES_3[[#This Row],[STN]])*(ES_3[Included Exp/Sus]=1)*(ROW(ES_3[STN])&lt;=ROW()))=1,1,0),0)</f>
        <v>0</v>
      </c>
      <c r="N51" s="1" t="str">
        <f>_xlfn.XLOOKUP(ES_3[[#This Row],[STN]],SE_3[STN],SE_3[Ethnicity],"",0)</f>
        <v>White</v>
      </c>
    </row>
    <row r="52" spans="1:14" ht="14.45">
      <c r="A52" s="1">
        <v>537520042</v>
      </c>
      <c r="B52" s="1">
        <v>1</v>
      </c>
      <c r="C52" s="2">
        <v>2</v>
      </c>
      <c r="D52" s="1" t="s">
        <v>31</v>
      </c>
      <c r="E52" s="2">
        <v>12</v>
      </c>
      <c r="F52" s="1" t="s">
        <v>46</v>
      </c>
      <c r="G52" s="2">
        <v>1</v>
      </c>
      <c r="H52" s="1" t="s">
        <v>29</v>
      </c>
      <c r="I52" s="1">
        <f>SUMIFS(ES_3[LENGTH_EX_SU],ES_3[STN],ES_3[[#This Row],[STN]],ES_3[DISCIPLINE_TYPE],"Out-of-School Suspension")+SUMIFS(ES_3[LENGTH_EX_SU],ES_3[STN],ES_3[[#This Row],[STN]],ES_3[DISCIPLINE_TYPE],"Expulsion")</f>
        <v>1</v>
      </c>
      <c r="J52" s="1">
        <f>IF(ES_3[[#This Row],[Count Exp/Sus]]&gt;10,1,0)</f>
        <v>0</v>
      </c>
      <c r="K52" s="1">
        <f t="shared" si="0"/>
        <v>0</v>
      </c>
      <c r="L52" s="1">
        <f>IF(J52=1,IF(COUNTIFS($A$3:A52,A52,$J$3:J52,1)=1,A52&amp;"-included",0),0)</f>
        <v>0</v>
      </c>
      <c r="M52" s="1" cm="1">
        <f t="array" ref="M52">IF(ES_3[[#This Row],[Included Exp/Sus]]=1,IF(SUMPRODUCT((ES_3[STN]=ES_3[[#This Row],[STN]])*(ES_3[Included Exp/Sus]=1)*(ROW(ES_3[STN])&lt;=ROW()))=1,1,0),0)</f>
        <v>0</v>
      </c>
      <c r="N52" s="1" t="str">
        <f>_xlfn.XLOOKUP(ES_3[[#This Row],[STN]],SE_3[STN],SE_3[Ethnicity],"",0)</f>
        <v>White</v>
      </c>
    </row>
    <row r="53" spans="1:14" ht="14.45">
      <c r="A53" s="1">
        <v>537711024</v>
      </c>
      <c r="B53" s="1">
        <v>10</v>
      </c>
      <c r="C53" s="2">
        <v>2</v>
      </c>
      <c r="D53" s="1" t="s">
        <v>31</v>
      </c>
      <c r="E53" s="2">
        <v>2</v>
      </c>
      <c r="F53" s="1" t="s">
        <v>33</v>
      </c>
      <c r="G53" s="2">
        <v>4</v>
      </c>
      <c r="H53" s="1" t="s">
        <v>29</v>
      </c>
      <c r="I53" s="1">
        <f>SUMIFS(ES_3[LENGTH_EX_SU],ES_3[STN],ES_3[[#This Row],[STN]],ES_3[DISCIPLINE_TYPE],"Out-of-School Suspension")+SUMIFS(ES_3[LENGTH_EX_SU],ES_3[STN],ES_3[[#This Row],[STN]],ES_3[DISCIPLINE_TYPE],"Expulsion")</f>
        <v>4</v>
      </c>
      <c r="J53" s="1">
        <f>IF(ES_3[[#This Row],[Count Exp/Sus]]&gt;10,1,0)</f>
        <v>0</v>
      </c>
      <c r="K53" s="1">
        <f t="shared" si="0"/>
        <v>0</v>
      </c>
      <c r="L53" s="1">
        <f>IF(J53=1,IF(COUNTIFS($A$3:A53,A53,$J$3:J53,1)=1,A53&amp;"-included",0),0)</f>
        <v>0</v>
      </c>
      <c r="M53" s="1" cm="1">
        <f t="array" ref="M53">IF(ES_3[[#This Row],[Included Exp/Sus]]=1,IF(SUMPRODUCT((ES_3[STN]=ES_3[[#This Row],[STN]])*(ES_3[Included Exp/Sus]=1)*(ROW(ES_3[STN])&lt;=ROW()))=1,1,0),0)</f>
        <v>0</v>
      </c>
      <c r="N53" s="1" t="str">
        <f>_xlfn.XLOOKUP(ES_3[[#This Row],[STN]],SE_3[STN],SE_3[Ethnicity],"",0)</f>
        <v>White</v>
      </c>
    </row>
    <row r="54" spans="1:14" ht="14.45">
      <c r="A54" s="1">
        <v>537711738</v>
      </c>
      <c r="B54" s="1">
        <v>10</v>
      </c>
      <c r="C54" s="18">
        <v>2</v>
      </c>
      <c r="D54" s="1" t="s">
        <v>31</v>
      </c>
      <c r="E54" s="2">
        <v>11</v>
      </c>
      <c r="F54" s="1" t="s">
        <v>36</v>
      </c>
      <c r="G54" s="2">
        <v>4</v>
      </c>
      <c r="H54" s="1" t="s">
        <v>29</v>
      </c>
      <c r="I54" s="1">
        <f>SUMIFS(ES_3[LENGTH_EX_SU],ES_3[STN],ES_3[[#This Row],[STN]],ES_3[DISCIPLINE_TYPE],"Out-of-School Suspension")+SUMIFS(ES_3[LENGTH_EX_SU],ES_3[STN],ES_3[[#This Row],[STN]],ES_3[DISCIPLINE_TYPE],"Expulsion")</f>
        <v>4</v>
      </c>
      <c r="J54" s="1">
        <f>IF(ES_3[[#This Row],[Count Exp/Sus]]&gt;10,1,0)</f>
        <v>0</v>
      </c>
      <c r="K54" s="1">
        <f t="shared" si="0"/>
        <v>0</v>
      </c>
      <c r="L54" s="1">
        <f>IF(J54=1,IF(COUNTIFS($A$3:A54,A54,$J$3:J54,1)=1,A54&amp;"-included",0),0)</f>
        <v>0</v>
      </c>
      <c r="M54" s="1" cm="1">
        <f t="array" ref="M54">IF(ES_3[[#This Row],[Included Exp/Sus]]=1,IF(SUMPRODUCT((ES_3[STN]=ES_3[[#This Row],[STN]])*(ES_3[Included Exp/Sus]=1)*(ROW(ES_3[STN])&lt;=ROW()))=1,1,0),0)</f>
        <v>0</v>
      </c>
      <c r="N54" s="1" t="str">
        <f>_xlfn.XLOOKUP(ES_3[[#This Row],[STN]],SE_3[STN],SE_3[Ethnicity],"",0)</f>
        <v>White</v>
      </c>
    </row>
    <row r="55" spans="1:14" ht="14.45">
      <c r="A55" s="1">
        <v>537714086</v>
      </c>
      <c r="B55" s="1">
        <v>7</v>
      </c>
      <c r="C55" s="2">
        <v>2</v>
      </c>
      <c r="D55" s="1" t="s">
        <v>31</v>
      </c>
      <c r="E55" s="2">
        <v>11</v>
      </c>
      <c r="F55" s="1" t="s">
        <v>36</v>
      </c>
      <c r="G55" s="2">
        <v>10</v>
      </c>
      <c r="H55" s="1" t="s">
        <v>29</v>
      </c>
      <c r="I55" s="1">
        <f>SUMIFS(ES_3[LENGTH_EX_SU],ES_3[STN],ES_3[[#This Row],[STN]],ES_3[DISCIPLINE_TYPE],"Out-of-School Suspension")+SUMIFS(ES_3[LENGTH_EX_SU],ES_3[STN],ES_3[[#This Row],[STN]],ES_3[DISCIPLINE_TYPE],"Expulsion")</f>
        <v>10</v>
      </c>
      <c r="J55" s="1">
        <f>IF(ES_3[[#This Row],[Count Exp/Sus]]&gt;10,1,0)</f>
        <v>0</v>
      </c>
      <c r="K55" s="1">
        <f t="shared" si="0"/>
        <v>0</v>
      </c>
      <c r="L55" s="1">
        <f>IF(J55=1,IF(COUNTIFS($A$3:A55,A55,$J$3:J55,1)=1,A55&amp;"-included",0),0)</f>
        <v>0</v>
      </c>
      <c r="M55" s="1" cm="1">
        <f t="array" ref="M55">IF(ES_3[[#This Row],[Included Exp/Sus]]=1,IF(SUMPRODUCT((ES_3[STN]=ES_3[[#This Row],[STN]])*(ES_3[Included Exp/Sus]=1)*(ROW(ES_3[STN])&lt;=ROW()))=1,1,0),0)</f>
        <v>0</v>
      </c>
      <c r="N55" s="1" t="str">
        <f>_xlfn.XLOOKUP(ES_3[[#This Row],[STN]],SE_3[STN],SE_3[Ethnicity],"",0)</f>
        <v>White</v>
      </c>
    </row>
    <row r="56" spans="1:14" ht="14.45">
      <c r="A56" s="1">
        <v>538110109</v>
      </c>
      <c r="B56" s="1">
        <v>11</v>
      </c>
      <c r="C56" s="2">
        <v>2</v>
      </c>
      <c r="D56" s="1" t="s">
        <v>31</v>
      </c>
      <c r="E56" s="2">
        <v>2</v>
      </c>
      <c r="F56" s="1" t="s">
        <v>33</v>
      </c>
      <c r="G56" s="11">
        <v>5</v>
      </c>
      <c r="H56" s="1" t="s">
        <v>29</v>
      </c>
      <c r="I56" s="1">
        <f>SUMIFS(ES_3[LENGTH_EX_SU],ES_3[STN],ES_3[[#This Row],[STN]],ES_3[DISCIPLINE_TYPE],"Out-of-School Suspension")+SUMIFS(ES_3[LENGTH_EX_SU],ES_3[STN],ES_3[[#This Row],[STN]],ES_3[DISCIPLINE_TYPE],"Expulsion")</f>
        <v>7</v>
      </c>
      <c r="J56" s="1">
        <f>IF(ES_3[[#This Row],[Count Exp/Sus]]&gt;10,1,0)</f>
        <v>0</v>
      </c>
      <c r="K56" s="1">
        <f t="shared" si="0"/>
        <v>0</v>
      </c>
      <c r="L56" s="1">
        <f>IF(J56=1,IF(COUNTIFS($A$3:A56,A56,$J$3:J56,1)=1,A56&amp;"-included",0),0)</f>
        <v>0</v>
      </c>
      <c r="M56" s="1" cm="1">
        <f t="array" ref="M56">IF(ES_3[[#This Row],[Included Exp/Sus]]=1,IF(SUMPRODUCT((ES_3[STN]=ES_3[[#This Row],[STN]])*(ES_3[Included Exp/Sus]=1)*(ROW(ES_3[STN])&lt;=ROW()))=1,1,0),0)</f>
        <v>0</v>
      </c>
      <c r="N56" s="1" t="str">
        <f>_xlfn.XLOOKUP(ES_3[[#This Row],[STN]],SE_3[STN],SE_3[Ethnicity],"",0)</f>
        <v>White</v>
      </c>
    </row>
    <row r="57" spans="1:14" ht="14.45">
      <c r="A57" s="1">
        <v>538110109</v>
      </c>
      <c r="B57" s="1">
        <v>11</v>
      </c>
      <c r="C57" s="2">
        <v>2</v>
      </c>
      <c r="D57" s="1" t="s">
        <v>31</v>
      </c>
      <c r="E57" s="2">
        <v>18</v>
      </c>
      <c r="F57" s="1" t="s">
        <v>38</v>
      </c>
      <c r="G57" s="11">
        <v>2</v>
      </c>
      <c r="H57" s="1" t="s">
        <v>29</v>
      </c>
      <c r="I57" s="1">
        <f>SUMIFS(ES_3[LENGTH_EX_SU],ES_3[STN],ES_3[[#This Row],[STN]],ES_3[DISCIPLINE_TYPE],"Out-of-School Suspension")+SUMIFS(ES_3[LENGTH_EX_SU],ES_3[STN],ES_3[[#This Row],[STN]],ES_3[DISCIPLINE_TYPE],"Expulsion")</f>
        <v>7</v>
      </c>
      <c r="J57" s="1">
        <f>IF(ES_3[[#This Row],[Count Exp/Sus]]&gt;10,1,0)</f>
        <v>0</v>
      </c>
      <c r="K57" s="1">
        <f t="shared" si="0"/>
        <v>0</v>
      </c>
      <c r="L57" s="1">
        <f>IF(J57=1,IF(COUNTIFS($A$3:A57,A57,$J$3:J57,1)=1,A57&amp;"-included",0),0)</f>
        <v>0</v>
      </c>
      <c r="M57" s="1" cm="1">
        <f t="array" ref="M57">IF(ES_3[[#This Row],[Included Exp/Sus]]=1,IF(SUMPRODUCT((ES_3[STN]=ES_3[[#This Row],[STN]])*(ES_3[Included Exp/Sus]=1)*(ROW(ES_3[STN])&lt;=ROW()))=1,1,0),0)</f>
        <v>0</v>
      </c>
      <c r="N57" s="1" t="str">
        <f>_xlfn.XLOOKUP(ES_3[[#This Row],[STN]],SE_3[STN],SE_3[Ethnicity],"",0)</f>
        <v>White</v>
      </c>
    </row>
    <row r="58" spans="1:14" ht="14.45">
      <c r="A58" s="1">
        <v>538611691</v>
      </c>
      <c r="B58" s="1">
        <v>8</v>
      </c>
      <c r="C58" s="2">
        <v>2</v>
      </c>
      <c r="D58" s="1" t="s">
        <v>31</v>
      </c>
      <c r="E58" s="2">
        <v>10</v>
      </c>
      <c r="F58" s="1" t="s">
        <v>25</v>
      </c>
      <c r="G58" s="2">
        <v>1</v>
      </c>
      <c r="H58" s="1" t="s">
        <v>29</v>
      </c>
      <c r="I58" s="1">
        <f>SUMIFS(ES_3[LENGTH_EX_SU],ES_3[STN],ES_3[[#This Row],[STN]],ES_3[DISCIPLINE_TYPE],"Out-of-School Suspension")+SUMIFS(ES_3[LENGTH_EX_SU],ES_3[STN],ES_3[[#This Row],[STN]],ES_3[DISCIPLINE_TYPE],"Expulsion")</f>
        <v>1</v>
      </c>
      <c r="J58" s="1">
        <f>IF(ES_3[[#This Row],[Count Exp/Sus]]&gt;10,1,0)</f>
        <v>0</v>
      </c>
      <c r="K58" s="1">
        <f t="shared" si="0"/>
        <v>0</v>
      </c>
      <c r="L58" s="1">
        <f>IF(J58=1,IF(COUNTIFS($A$3:A58,A58,$J$3:J58,1)=1,A58&amp;"-included",0),0)</f>
        <v>0</v>
      </c>
      <c r="M58" s="1" cm="1">
        <f t="array" ref="M58">IF(ES_3[[#This Row],[Included Exp/Sus]]=1,IF(SUMPRODUCT((ES_3[STN]=ES_3[[#This Row],[STN]])*(ES_3[Included Exp/Sus]=1)*(ROW(ES_3[STN])&lt;=ROW()))=1,1,0),0)</f>
        <v>0</v>
      </c>
      <c r="N58" s="1" t="str">
        <f>_xlfn.XLOOKUP(ES_3[[#This Row],[STN]],SE_3[STN],SE_3[Ethnicity],"",0)</f>
        <v>Hispanic Ethnicity and of any race</v>
      </c>
    </row>
    <row r="59" spans="1:14" ht="14.45">
      <c r="A59" s="1">
        <v>538611871</v>
      </c>
      <c r="B59" s="1">
        <v>10</v>
      </c>
      <c r="C59" s="2">
        <v>2</v>
      </c>
      <c r="D59" s="1" t="s">
        <v>31</v>
      </c>
      <c r="E59" s="2">
        <v>10</v>
      </c>
      <c r="F59" s="1" t="s">
        <v>25</v>
      </c>
      <c r="G59" s="11">
        <v>1</v>
      </c>
      <c r="H59" s="1" t="s">
        <v>26</v>
      </c>
      <c r="I59" s="1">
        <f>SUMIFS(ES_3[LENGTH_EX_SU],ES_3[STN],ES_3[[#This Row],[STN]],ES_3[DISCIPLINE_TYPE],"Out-of-School Suspension")+SUMIFS(ES_3[LENGTH_EX_SU],ES_3[STN],ES_3[[#This Row],[STN]],ES_3[DISCIPLINE_TYPE],"Expulsion")</f>
        <v>5</v>
      </c>
      <c r="J59" s="1">
        <f>IF(ES_3[[#This Row],[Count Exp/Sus]]&gt;10,1,0)</f>
        <v>0</v>
      </c>
      <c r="K59" s="1">
        <f t="shared" si="0"/>
        <v>0</v>
      </c>
      <c r="L59" s="1">
        <f>IF(J59=1,IF(COUNTIFS($A$3:A59,A59,$J$3:J59,1)=1,A59&amp;"-included",0),0)</f>
        <v>0</v>
      </c>
      <c r="M59" s="1" cm="1">
        <f t="array" ref="M59">IF(ES_3[[#This Row],[Included Exp/Sus]]=1,IF(SUMPRODUCT((ES_3[STN]=ES_3[[#This Row],[STN]])*(ES_3[Included Exp/Sus]=1)*(ROW(ES_3[STN])&lt;=ROW()))=1,1,0),0)</f>
        <v>0</v>
      </c>
      <c r="N59" s="1" t="str">
        <f>_xlfn.XLOOKUP(ES_3[[#This Row],[STN]],SE_3[STN],SE_3[Ethnicity],"",0)</f>
        <v>White</v>
      </c>
    </row>
    <row r="60" spans="1:14" ht="14.45">
      <c r="A60" s="1">
        <v>538611871</v>
      </c>
      <c r="B60" s="1">
        <v>10</v>
      </c>
      <c r="C60" s="2">
        <v>2</v>
      </c>
      <c r="D60" s="1" t="s">
        <v>31</v>
      </c>
      <c r="E60" s="2">
        <v>2</v>
      </c>
      <c r="F60" s="1" t="s">
        <v>33</v>
      </c>
      <c r="G60" s="2">
        <v>3</v>
      </c>
      <c r="H60" s="1" t="s">
        <v>26</v>
      </c>
      <c r="I60" s="1">
        <f>SUMIFS(ES_3[LENGTH_EX_SU],ES_3[STN],ES_3[[#This Row],[STN]],ES_3[DISCIPLINE_TYPE],"Out-of-School Suspension")+SUMIFS(ES_3[LENGTH_EX_SU],ES_3[STN],ES_3[[#This Row],[STN]],ES_3[DISCIPLINE_TYPE],"Expulsion")</f>
        <v>5</v>
      </c>
      <c r="J60" s="1">
        <f>IF(ES_3[[#This Row],[Count Exp/Sus]]&gt;10,1,0)</f>
        <v>0</v>
      </c>
      <c r="K60" s="1">
        <f t="shared" si="0"/>
        <v>0</v>
      </c>
      <c r="L60" s="1">
        <f>IF(J60=1,IF(COUNTIFS($A$3:A60,A60,$J$3:J60,1)=1,A60&amp;"-included",0),0)</f>
        <v>0</v>
      </c>
      <c r="M60" s="1" cm="1">
        <f t="array" ref="M60">IF(ES_3[[#This Row],[Included Exp/Sus]]=1,IF(SUMPRODUCT((ES_3[STN]=ES_3[[#This Row],[STN]])*(ES_3[Included Exp/Sus]=1)*(ROW(ES_3[STN])&lt;=ROW()))=1,1,0),0)</f>
        <v>0</v>
      </c>
      <c r="N60" s="1" t="str">
        <f>_xlfn.XLOOKUP(ES_3[[#This Row],[STN]],SE_3[STN],SE_3[Ethnicity],"",0)</f>
        <v>White</v>
      </c>
    </row>
    <row r="61" spans="1:14" ht="14.45">
      <c r="A61" s="1">
        <v>538611871</v>
      </c>
      <c r="B61" s="1">
        <v>10</v>
      </c>
      <c r="C61" s="2">
        <v>2</v>
      </c>
      <c r="D61" s="1" t="s">
        <v>31</v>
      </c>
      <c r="E61" s="2">
        <v>15</v>
      </c>
      <c r="F61" s="1" t="s">
        <v>27</v>
      </c>
      <c r="G61" s="2">
        <v>1</v>
      </c>
      <c r="H61" s="1" t="s">
        <v>26</v>
      </c>
      <c r="I61" s="1">
        <f>SUMIFS(ES_3[LENGTH_EX_SU],ES_3[STN],ES_3[[#This Row],[STN]],ES_3[DISCIPLINE_TYPE],"Out-of-School Suspension")+SUMIFS(ES_3[LENGTH_EX_SU],ES_3[STN],ES_3[[#This Row],[STN]],ES_3[DISCIPLINE_TYPE],"Expulsion")</f>
        <v>5</v>
      </c>
      <c r="J61" s="1">
        <f>IF(ES_3[[#This Row],[Count Exp/Sus]]&gt;10,1,0)</f>
        <v>0</v>
      </c>
      <c r="K61" s="1">
        <f t="shared" si="0"/>
        <v>0</v>
      </c>
      <c r="L61" s="1">
        <f>IF(J61=1,IF(COUNTIFS($A$3:A61,A61,$J$3:J61,1)=1,A61&amp;"-included",0),0)</f>
        <v>0</v>
      </c>
      <c r="M61" s="1" cm="1">
        <f t="array" ref="M61">IF(ES_3[[#This Row],[Included Exp/Sus]]=1,IF(SUMPRODUCT((ES_3[STN]=ES_3[[#This Row],[STN]])*(ES_3[Included Exp/Sus]=1)*(ROW(ES_3[STN])&lt;=ROW()))=1,1,0),0)</f>
        <v>0</v>
      </c>
      <c r="N61" s="1" t="str">
        <f>_xlfn.XLOOKUP(ES_3[[#This Row],[STN]],SE_3[STN],SE_3[Ethnicity],"",0)</f>
        <v>White</v>
      </c>
    </row>
    <row r="62" spans="1:14" ht="14.45">
      <c r="A62" s="1">
        <v>538612110</v>
      </c>
      <c r="B62" s="1">
        <v>9</v>
      </c>
      <c r="C62" s="2">
        <v>2</v>
      </c>
      <c r="D62" s="1" t="s">
        <v>31</v>
      </c>
      <c r="E62" s="2">
        <v>20</v>
      </c>
      <c r="F62" s="1" t="s">
        <v>42</v>
      </c>
      <c r="G62" s="2">
        <v>1</v>
      </c>
      <c r="H62" s="1" t="s">
        <v>29</v>
      </c>
      <c r="I62" s="1">
        <f>SUMIFS(ES_3[LENGTH_EX_SU],ES_3[STN],ES_3[[#This Row],[STN]],ES_3[DISCIPLINE_TYPE],"Out-of-School Suspension")+SUMIFS(ES_3[LENGTH_EX_SU],ES_3[STN],ES_3[[#This Row],[STN]],ES_3[DISCIPLINE_TYPE],"Expulsion")</f>
        <v>1</v>
      </c>
      <c r="J62" s="1">
        <f>IF(ES_3[[#This Row],[Count Exp/Sus]]&gt;10,1,0)</f>
        <v>0</v>
      </c>
      <c r="K62" s="1">
        <f t="shared" si="0"/>
        <v>0</v>
      </c>
      <c r="L62" s="1">
        <f>IF(J62=1,IF(COUNTIFS($A$3:A62,A62,$J$3:J62,1)=1,A62&amp;"-included",0),0)</f>
        <v>0</v>
      </c>
      <c r="M62" s="1" cm="1">
        <f t="array" ref="M62">IF(ES_3[[#This Row],[Included Exp/Sus]]=1,IF(SUMPRODUCT((ES_3[STN]=ES_3[[#This Row],[STN]])*(ES_3[Included Exp/Sus]=1)*(ROW(ES_3[STN])&lt;=ROW()))=1,1,0),0)</f>
        <v>0</v>
      </c>
      <c r="N62" s="1" t="str">
        <f>_xlfn.XLOOKUP(ES_3[[#This Row],[STN]],SE_3[STN],SE_3[Ethnicity],"",0)</f>
        <v>White</v>
      </c>
    </row>
    <row r="63" spans="1:14" ht="14.45">
      <c r="A63" s="1">
        <v>538612160</v>
      </c>
      <c r="B63" s="1">
        <v>9</v>
      </c>
      <c r="C63" s="2">
        <v>2</v>
      </c>
      <c r="D63" s="1" t="s">
        <v>31</v>
      </c>
      <c r="E63" s="2">
        <v>10</v>
      </c>
      <c r="F63" s="1" t="s">
        <v>25</v>
      </c>
      <c r="G63" s="2">
        <v>1</v>
      </c>
      <c r="H63" s="1" t="s">
        <v>29</v>
      </c>
      <c r="I63" s="1">
        <f>SUMIFS(ES_3[LENGTH_EX_SU],ES_3[STN],ES_3[[#This Row],[STN]],ES_3[DISCIPLINE_TYPE],"Out-of-School Suspension")+SUMIFS(ES_3[LENGTH_EX_SU],ES_3[STN],ES_3[[#This Row],[STN]],ES_3[DISCIPLINE_TYPE],"Expulsion")</f>
        <v>1</v>
      </c>
      <c r="J63" s="1">
        <f>IF(ES_3[[#This Row],[Count Exp/Sus]]&gt;10,1,0)</f>
        <v>0</v>
      </c>
      <c r="K63" s="1">
        <f t="shared" si="0"/>
        <v>0</v>
      </c>
      <c r="L63" s="1">
        <f>IF(J63=1,IF(COUNTIFS($A$3:A63,A63,$J$3:J63,1)=1,A63&amp;"-included",0),0)</f>
        <v>0</v>
      </c>
      <c r="M63" s="1" cm="1">
        <f t="array" ref="M63">IF(ES_3[[#This Row],[Included Exp/Sus]]=1,IF(SUMPRODUCT((ES_3[STN]=ES_3[[#This Row],[STN]])*(ES_3[Included Exp/Sus]=1)*(ROW(ES_3[STN])&lt;=ROW()))=1,1,0),0)</f>
        <v>0</v>
      </c>
      <c r="N63" s="1" t="str">
        <f>_xlfn.XLOOKUP(ES_3[[#This Row],[STN]],SE_3[STN],SE_3[Ethnicity],"",0)</f>
        <v>White</v>
      </c>
    </row>
    <row r="64" spans="1:14" ht="14.45">
      <c r="A64" s="1">
        <v>538614067</v>
      </c>
      <c r="B64" s="1">
        <v>6</v>
      </c>
      <c r="C64" s="2">
        <v>2</v>
      </c>
      <c r="D64" s="1" t="s">
        <v>31</v>
      </c>
      <c r="E64" s="2">
        <v>30</v>
      </c>
      <c r="F64" s="1" t="s">
        <v>44</v>
      </c>
      <c r="G64" s="2">
        <v>10</v>
      </c>
      <c r="H64" s="1" t="s">
        <v>29</v>
      </c>
      <c r="I64" s="1">
        <f>SUMIFS(ES_3[LENGTH_EX_SU],ES_3[STN],ES_3[[#This Row],[STN]],ES_3[DISCIPLINE_TYPE],"Out-of-School Suspension")+SUMIFS(ES_3[LENGTH_EX_SU],ES_3[STN],ES_3[[#This Row],[STN]],ES_3[DISCIPLINE_TYPE],"Expulsion")</f>
        <v>10</v>
      </c>
      <c r="J64" s="1">
        <f>IF(ES_3[[#This Row],[Count Exp/Sus]]&gt;10,1,0)</f>
        <v>0</v>
      </c>
      <c r="K64" s="1">
        <f t="shared" si="0"/>
        <v>0</v>
      </c>
      <c r="L64" s="1">
        <f>IF(J64=1,IF(COUNTIFS($A$3:A64,A64,$J$3:J64,1)=1,A64&amp;"-included",0),0)</f>
        <v>0</v>
      </c>
      <c r="M64" s="1" cm="1">
        <f t="array" ref="M64">IF(ES_3[[#This Row],[Included Exp/Sus]]=1,IF(SUMPRODUCT((ES_3[STN]=ES_3[[#This Row],[STN]])*(ES_3[Included Exp/Sus]=1)*(ROW(ES_3[STN])&lt;=ROW()))=1,1,0),0)</f>
        <v>0</v>
      </c>
      <c r="N64" s="1" t="str">
        <f>_xlfn.XLOOKUP(ES_3[[#This Row],[STN]],SE_3[STN],SE_3[Ethnicity],"",0)</f>
        <v>White</v>
      </c>
    </row>
    <row r="65" spans="1:14" ht="14.45">
      <c r="A65" s="1">
        <v>538614068</v>
      </c>
      <c r="B65" s="1">
        <v>6</v>
      </c>
      <c r="C65" s="2">
        <v>2</v>
      </c>
      <c r="D65" s="1" t="s">
        <v>31</v>
      </c>
      <c r="E65" s="2">
        <v>11</v>
      </c>
      <c r="F65" s="1" t="s">
        <v>36</v>
      </c>
      <c r="G65" s="2">
        <v>2</v>
      </c>
      <c r="H65" s="1" t="s">
        <v>29</v>
      </c>
      <c r="I65" s="1">
        <f>SUMIFS(ES_3[LENGTH_EX_SU],ES_3[STN],ES_3[[#This Row],[STN]],ES_3[DISCIPLINE_TYPE],"Out-of-School Suspension")+SUMIFS(ES_3[LENGTH_EX_SU],ES_3[STN],ES_3[[#This Row],[STN]],ES_3[DISCIPLINE_TYPE],"Expulsion")</f>
        <v>2</v>
      </c>
      <c r="J65" s="1">
        <f>IF(ES_3[[#This Row],[Count Exp/Sus]]&gt;10,1,0)</f>
        <v>0</v>
      </c>
      <c r="K65" s="1">
        <f t="shared" si="0"/>
        <v>0</v>
      </c>
      <c r="L65" s="1">
        <f>IF(J65=1,IF(COUNTIFS($A$3:A65,A65,$J$3:J65,1)=1,A65&amp;"-included",0),0)</f>
        <v>0</v>
      </c>
      <c r="M65" s="1" cm="1">
        <f t="array" ref="M65">IF(ES_3[[#This Row],[Included Exp/Sus]]=1,IF(SUMPRODUCT((ES_3[STN]=ES_3[[#This Row],[STN]])*(ES_3[Included Exp/Sus]=1)*(ROW(ES_3[STN])&lt;=ROW()))=1,1,0),0)</f>
        <v>0</v>
      </c>
      <c r="N65" s="1" t="str">
        <f>_xlfn.XLOOKUP(ES_3[[#This Row],[STN]],SE_3[STN],SE_3[Ethnicity],"",0)</f>
        <v>White</v>
      </c>
    </row>
    <row r="66" spans="1:14" ht="14.45">
      <c r="A66" s="1">
        <v>538615070</v>
      </c>
      <c r="B66" s="1">
        <v>6</v>
      </c>
      <c r="C66" s="2">
        <v>2</v>
      </c>
      <c r="D66" s="1" t="s">
        <v>31</v>
      </c>
      <c r="E66" s="2">
        <v>13</v>
      </c>
      <c r="F66" s="1" t="s">
        <v>34</v>
      </c>
      <c r="G66" s="2">
        <v>3</v>
      </c>
      <c r="H66" s="1" t="s">
        <v>29</v>
      </c>
      <c r="I66" s="1">
        <f>SUMIFS(ES_3[LENGTH_EX_SU],ES_3[STN],ES_3[[#This Row],[STN]],ES_3[DISCIPLINE_TYPE],"Out-of-School Suspension")+SUMIFS(ES_3[LENGTH_EX_SU],ES_3[STN],ES_3[[#This Row],[STN]],ES_3[DISCIPLINE_TYPE],"Expulsion")</f>
        <v>5</v>
      </c>
      <c r="J66" s="1">
        <f>IF(ES_3[[#This Row],[Count Exp/Sus]]&gt;10,1,0)</f>
        <v>0</v>
      </c>
      <c r="K66" s="1">
        <f t="shared" si="0"/>
        <v>0</v>
      </c>
      <c r="L66" s="1">
        <f>IF(J66=1,IF(COUNTIFS($A$3:A66,A66,$J$3:J66,1)=1,A66&amp;"-included",0),0)</f>
        <v>0</v>
      </c>
      <c r="M66" s="1" cm="1">
        <f t="array" ref="M66">IF(ES_3[[#This Row],[Included Exp/Sus]]=1,IF(SUMPRODUCT((ES_3[STN]=ES_3[[#This Row],[STN]])*(ES_3[Included Exp/Sus]=1)*(ROW(ES_3[STN])&lt;=ROW()))=1,1,0),0)</f>
        <v>0</v>
      </c>
      <c r="N66" s="1" t="str">
        <f>_xlfn.XLOOKUP(ES_3[[#This Row],[STN]],SE_3[STN],SE_3[Ethnicity],"",0)</f>
        <v>White</v>
      </c>
    </row>
    <row r="67" spans="1:14" ht="14.45">
      <c r="A67" s="1">
        <v>538615070</v>
      </c>
      <c r="B67" s="1">
        <v>6</v>
      </c>
      <c r="C67" s="2">
        <v>2</v>
      </c>
      <c r="D67" s="1" t="s">
        <v>31</v>
      </c>
      <c r="E67" s="2">
        <v>15</v>
      </c>
      <c r="F67" s="1" t="s">
        <v>27</v>
      </c>
      <c r="G67" s="2">
        <v>2</v>
      </c>
      <c r="H67" s="1" t="s">
        <v>29</v>
      </c>
      <c r="I67" s="1">
        <f>SUMIFS(ES_3[LENGTH_EX_SU],ES_3[STN],ES_3[[#This Row],[STN]],ES_3[DISCIPLINE_TYPE],"Out-of-School Suspension")+SUMIFS(ES_3[LENGTH_EX_SU],ES_3[STN],ES_3[[#This Row],[STN]],ES_3[DISCIPLINE_TYPE],"Expulsion")</f>
        <v>5</v>
      </c>
      <c r="J67" s="1">
        <f>IF(ES_3[[#This Row],[Count Exp/Sus]]&gt;10,1,0)</f>
        <v>0</v>
      </c>
      <c r="K67" s="1">
        <f t="shared" ref="K67:K130" si="1">IF(J67=1,A67&amp;"-included",0)</f>
        <v>0</v>
      </c>
      <c r="L67" s="1">
        <f>IF(J67=1,IF(COUNTIFS($A$3:A67,A67,$J$3:J67,1)=1,A67&amp;"-included",0),0)</f>
        <v>0</v>
      </c>
      <c r="M67" s="1" cm="1">
        <f t="array" ref="M67">IF(ES_3[[#This Row],[Included Exp/Sus]]=1,IF(SUMPRODUCT((ES_3[STN]=ES_3[[#This Row],[STN]])*(ES_3[Included Exp/Sus]=1)*(ROW(ES_3[STN])&lt;=ROW()))=1,1,0),0)</f>
        <v>0</v>
      </c>
      <c r="N67" s="1" t="str">
        <f>_xlfn.XLOOKUP(ES_3[[#This Row],[STN]],SE_3[STN],SE_3[Ethnicity],"",0)</f>
        <v>White</v>
      </c>
    </row>
    <row r="68" spans="1:14" ht="14.45">
      <c r="A68" s="1">
        <v>538616045</v>
      </c>
      <c r="B68" s="1">
        <v>5</v>
      </c>
      <c r="C68" s="2">
        <v>1</v>
      </c>
      <c r="D68" s="1" t="s">
        <v>24</v>
      </c>
      <c r="E68" s="2">
        <v>11</v>
      </c>
      <c r="F68" s="1" t="s">
        <v>36</v>
      </c>
      <c r="G68" s="2">
        <v>3</v>
      </c>
      <c r="H68" s="1" t="s">
        <v>29</v>
      </c>
      <c r="I68" s="1">
        <f>SUMIFS(ES_3[LENGTH_EX_SU],ES_3[STN],ES_3[[#This Row],[STN]],ES_3[DISCIPLINE_TYPE],"Out-of-School Suspension")+SUMIFS(ES_3[LENGTH_EX_SU],ES_3[STN],ES_3[[#This Row],[STN]],ES_3[DISCIPLINE_TYPE],"Expulsion")</f>
        <v>0</v>
      </c>
      <c r="J68" s="1">
        <f>IF(ES_3[[#This Row],[Count Exp/Sus]]&gt;10,1,0)</f>
        <v>0</v>
      </c>
      <c r="K68" s="1">
        <f t="shared" si="1"/>
        <v>0</v>
      </c>
      <c r="L68" s="1">
        <f>IF(J68=1,IF(COUNTIFS($A$3:A68,A68,$J$3:J68,1)=1,A68&amp;"-included",0),0)</f>
        <v>0</v>
      </c>
      <c r="M68" s="1" cm="1">
        <f t="array" ref="M68">IF(ES_3[[#This Row],[Included Exp/Sus]]=1,IF(SUMPRODUCT((ES_3[STN]=ES_3[[#This Row],[STN]])*(ES_3[Included Exp/Sus]=1)*(ROW(ES_3[STN])&lt;=ROW()))=1,1,0),0)</f>
        <v>0</v>
      </c>
      <c r="N68" s="1" t="str">
        <f>_xlfn.XLOOKUP(ES_3[[#This Row],[STN]],SE_3[STN],SE_3[Ethnicity],"",0)</f>
        <v>White</v>
      </c>
    </row>
    <row r="69" spans="1:14" ht="14.45">
      <c r="A69" s="1">
        <v>538919019</v>
      </c>
      <c r="B69" s="1">
        <v>2</v>
      </c>
      <c r="C69" s="2">
        <v>2</v>
      </c>
      <c r="D69" s="1" t="s">
        <v>31</v>
      </c>
      <c r="E69" s="2">
        <v>15</v>
      </c>
      <c r="F69" s="1" t="s">
        <v>27</v>
      </c>
      <c r="G69" s="2">
        <v>3</v>
      </c>
      <c r="H69" s="1" t="s">
        <v>29</v>
      </c>
      <c r="I69" s="1">
        <f>SUMIFS(ES_3[LENGTH_EX_SU],ES_3[STN],ES_3[[#This Row],[STN]],ES_3[DISCIPLINE_TYPE],"Out-of-School Suspension")+SUMIFS(ES_3[LENGTH_EX_SU],ES_3[STN],ES_3[[#This Row],[STN]],ES_3[DISCIPLINE_TYPE],"Expulsion")</f>
        <v>3</v>
      </c>
      <c r="J69" s="1">
        <f>IF(ES_3[[#This Row],[Count Exp/Sus]]&gt;10,1,0)</f>
        <v>0</v>
      </c>
      <c r="K69" s="1">
        <f t="shared" si="1"/>
        <v>0</v>
      </c>
      <c r="L69" s="1">
        <f>IF(J69=1,IF(COUNTIFS($A$3:A69,A69,$J$3:J69,1)=1,A69&amp;"-included",0),0)</f>
        <v>0</v>
      </c>
      <c r="M69" s="1" cm="1">
        <f t="array" ref="M69">IF(ES_3[[#This Row],[Included Exp/Sus]]=1,IF(SUMPRODUCT((ES_3[STN]=ES_3[[#This Row],[STN]])*(ES_3[Included Exp/Sus]=1)*(ROW(ES_3[STN])&lt;=ROW()))=1,1,0),0)</f>
        <v>0</v>
      </c>
      <c r="N69" s="1" t="str">
        <f>_xlfn.XLOOKUP(ES_3[[#This Row],[STN]],SE_3[STN],SE_3[Ethnicity],"",0)</f>
        <v>White</v>
      </c>
    </row>
    <row r="70" spans="1:14" ht="14.45">
      <c r="A70" s="1">
        <v>538919030</v>
      </c>
      <c r="B70" s="1">
        <v>2</v>
      </c>
      <c r="C70" s="2">
        <v>2</v>
      </c>
      <c r="D70" s="1" t="s">
        <v>31</v>
      </c>
      <c r="E70" s="2">
        <v>12</v>
      </c>
      <c r="F70" s="1" t="s">
        <v>46</v>
      </c>
      <c r="G70" s="2">
        <v>1</v>
      </c>
      <c r="H70" s="1" t="s">
        <v>29</v>
      </c>
      <c r="I70" s="1">
        <f>SUMIFS(ES_3[LENGTH_EX_SU],ES_3[STN],ES_3[[#This Row],[STN]],ES_3[DISCIPLINE_TYPE],"Out-of-School Suspension")+SUMIFS(ES_3[LENGTH_EX_SU],ES_3[STN],ES_3[[#This Row],[STN]],ES_3[DISCIPLINE_TYPE],"Expulsion")</f>
        <v>1</v>
      </c>
      <c r="J70" s="1">
        <f>IF(ES_3[[#This Row],[Count Exp/Sus]]&gt;10,1,0)</f>
        <v>0</v>
      </c>
      <c r="K70" s="1">
        <f t="shared" si="1"/>
        <v>0</v>
      </c>
      <c r="L70" s="1">
        <f>IF(J70=1,IF(COUNTIFS($A$3:A70,A70,$J$3:J70,1)=1,A70&amp;"-included",0),0)</f>
        <v>0</v>
      </c>
      <c r="M70" s="1" cm="1">
        <f t="array" ref="M70">IF(ES_3[[#This Row],[Included Exp/Sus]]=1,IF(SUMPRODUCT((ES_3[STN]=ES_3[[#This Row],[STN]])*(ES_3[Included Exp/Sus]=1)*(ROW(ES_3[STN])&lt;=ROW()))=1,1,0),0)</f>
        <v>0</v>
      </c>
      <c r="N70" s="1" t="str">
        <f>_xlfn.XLOOKUP(ES_3[[#This Row],[STN]],SE_3[STN],SE_3[Ethnicity],"",0)</f>
        <v>Multiracial (two or more races)</v>
      </c>
    </row>
    <row r="71" spans="1:14" ht="14.45">
      <c r="A71" s="1">
        <v>539112111</v>
      </c>
      <c r="B71" s="1">
        <v>9</v>
      </c>
      <c r="C71" s="2">
        <v>2</v>
      </c>
      <c r="D71" s="1" t="s">
        <v>31</v>
      </c>
      <c r="E71" s="2">
        <v>7</v>
      </c>
      <c r="F71" s="1" t="s">
        <v>30</v>
      </c>
      <c r="G71" s="2">
        <v>15</v>
      </c>
      <c r="H71" s="1" t="s">
        <v>29</v>
      </c>
      <c r="I71" s="1">
        <f>SUMIFS(ES_3[LENGTH_EX_SU],ES_3[STN],ES_3[[#This Row],[STN]],ES_3[DISCIPLINE_TYPE],"Out-of-School Suspension")+SUMIFS(ES_3[LENGTH_EX_SU],ES_3[STN],ES_3[[#This Row],[STN]],ES_3[DISCIPLINE_TYPE],"Expulsion")</f>
        <v>15</v>
      </c>
      <c r="J71" s="1">
        <f>IF(ES_3[[#This Row],[Count Exp/Sus]]&gt;10,1,0)</f>
        <v>1</v>
      </c>
      <c r="K71" s="1" t="str">
        <f t="shared" si="1"/>
        <v>539112111-included</v>
      </c>
      <c r="L71" s="1" t="str">
        <f>IF(J71=1,IF(COUNTIFS($A$3:A71,A71,$J$3:J71,1)=1,A71&amp;"-included",0),0)</f>
        <v>539112111-included</v>
      </c>
      <c r="M71" s="1" cm="1">
        <f t="array" ref="M71">IF(ES_3[[#This Row],[Included Exp/Sus]]=1,IF(SUMPRODUCT((ES_3[STN]=ES_3[[#This Row],[STN]])*(ES_3[Included Exp/Sus]=1)*(ROW(ES_3[STN])&lt;=ROW()))=1,1,0),0)</f>
        <v>1</v>
      </c>
      <c r="N71" s="1" t="str">
        <f>_xlfn.XLOOKUP(ES_3[[#This Row],[STN]],SE_3[STN],SE_3[Ethnicity],"",0)</f>
        <v>White</v>
      </c>
    </row>
    <row r="72" spans="1:14" ht="14.45">
      <c r="A72" s="1">
        <v>539116031</v>
      </c>
      <c r="B72" s="1">
        <v>4</v>
      </c>
      <c r="C72" s="2">
        <v>4</v>
      </c>
      <c r="D72" s="1" t="s">
        <v>49</v>
      </c>
      <c r="E72" s="2">
        <v>34</v>
      </c>
      <c r="F72" s="1" t="s">
        <v>50</v>
      </c>
      <c r="G72" s="2">
        <v>0</v>
      </c>
      <c r="H72" s="1" t="s">
        <v>29</v>
      </c>
      <c r="I72" s="1">
        <f>SUMIFS(ES_3[LENGTH_EX_SU],ES_3[STN],ES_3[[#This Row],[STN]],ES_3[DISCIPLINE_TYPE],"Out-of-School Suspension")+SUMIFS(ES_3[LENGTH_EX_SU],ES_3[STN],ES_3[[#This Row],[STN]],ES_3[DISCIPLINE_TYPE],"Expulsion")</f>
        <v>1</v>
      </c>
      <c r="J72" s="1">
        <f>IF(ES_3[[#This Row],[Count Exp/Sus]]&gt;10,1,0)</f>
        <v>0</v>
      </c>
      <c r="K72" s="1">
        <f t="shared" si="1"/>
        <v>0</v>
      </c>
      <c r="L72" s="1">
        <f>IF(J72=1,IF(COUNTIFS($A$3:A72,A72,$J$3:J72,1)=1,A72&amp;"-included",0),0)</f>
        <v>0</v>
      </c>
      <c r="M72" s="1" cm="1">
        <f t="array" ref="M72">IF(ES_3[[#This Row],[Included Exp/Sus]]=1,IF(SUMPRODUCT((ES_3[STN]=ES_3[[#This Row],[STN]])*(ES_3[Included Exp/Sus]=1)*(ROW(ES_3[STN])&lt;=ROW()))=1,1,0),0)</f>
        <v>0</v>
      </c>
      <c r="N72" s="1" t="str">
        <f>_xlfn.XLOOKUP(ES_3[[#This Row],[STN]],SE_3[STN],SE_3[Ethnicity],"",0)</f>
        <v>White</v>
      </c>
    </row>
    <row r="73" spans="1:14" ht="14.45">
      <c r="A73" s="1">
        <v>539116031</v>
      </c>
      <c r="B73" s="1">
        <v>4</v>
      </c>
      <c r="C73" s="2">
        <v>2</v>
      </c>
      <c r="D73" s="1" t="s">
        <v>31</v>
      </c>
      <c r="E73" s="2">
        <v>10</v>
      </c>
      <c r="F73" s="1" t="s">
        <v>25</v>
      </c>
      <c r="G73" s="2">
        <v>1</v>
      </c>
      <c r="H73" s="1" t="s">
        <v>29</v>
      </c>
      <c r="I73" s="1">
        <f>SUMIFS(ES_3[LENGTH_EX_SU],ES_3[STN],ES_3[[#This Row],[STN]],ES_3[DISCIPLINE_TYPE],"Out-of-School Suspension")+SUMIFS(ES_3[LENGTH_EX_SU],ES_3[STN],ES_3[[#This Row],[STN]],ES_3[DISCIPLINE_TYPE],"Expulsion")</f>
        <v>1</v>
      </c>
      <c r="J73" s="1">
        <f>IF(ES_3[[#This Row],[Count Exp/Sus]]&gt;10,1,0)</f>
        <v>0</v>
      </c>
      <c r="K73" s="1">
        <f t="shared" si="1"/>
        <v>0</v>
      </c>
      <c r="L73" s="1">
        <f>IF(J73=1,IF(COUNTIFS($A$3:A73,A73,$J$3:J73,1)=1,A73&amp;"-included",0),0)</f>
        <v>0</v>
      </c>
      <c r="M73" s="1" cm="1">
        <f t="array" ref="M73">IF(ES_3[[#This Row],[Included Exp/Sus]]=1,IF(SUMPRODUCT((ES_3[STN]=ES_3[[#This Row],[STN]])*(ES_3[Included Exp/Sus]=1)*(ROW(ES_3[STN])&lt;=ROW()))=1,1,0),0)</f>
        <v>0</v>
      </c>
      <c r="N73" s="1" t="str">
        <f>_xlfn.XLOOKUP(ES_3[[#This Row],[STN]],SE_3[STN],SE_3[Ethnicity],"",0)</f>
        <v>White</v>
      </c>
    </row>
    <row r="74" spans="1:14" ht="14.45">
      <c r="A74" s="1">
        <v>539117039</v>
      </c>
      <c r="B74" s="1">
        <v>4</v>
      </c>
      <c r="C74" s="2">
        <v>2</v>
      </c>
      <c r="D74" s="1" t="s">
        <v>31</v>
      </c>
      <c r="E74" s="2">
        <v>12</v>
      </c>
      <c r="F74" s="1" t="s">
        <v>46</v>
      </c>
      <c r="G74" s="2">
        <v>1</v>
      </c>
      <c r="H74" s="1" t="s">
        <v>29</v>
      </c>
      <c r="I74" s="1">
        <f>SUMIFS(ES_3[LENGTH_EX_SU],ES_3[STN],ES_3[[#This Row],[STN]],ES_3[DISCIPLINE_TYPE],"Out-of-School Suspension")+SUMIFS(ES_3[LENGTH_EX_SU],ES_3[STN],ES_3[[#This Row],[STN]],ES_3[DISCIPLINE_TYPE],"Expulsion")</f>
        <v>1</v>
      </c>
      <c r="J74" s="1">
        <f>IF(ES_3[[#This Row],[Count Exp/Sus]]&gt;10,1,0)</f>
        <v>0</v>
      </c>
      <c r="K74" s="1">
        <f t="shared" si="1"/>
        <v>0</v>
      </c>
      <c r="L74" s="1">
        <f>IF(J74=1,IF(COUNTIFS($A$3:A74,A74,$J$3:J74,1)=1,A74&amp;"-included",0),0)</f>
        <v>0</v>
      </c>
      <c r="M74" s="1" cm="1">
        <f t="array" ref="M74">IF(ES_3[[#This Row],[Included Exp/Sus]]=1,IF(SUMPRODUCT((ES_3[STN]=ES_3[[#This Row],[STN]])*(ES_3[Included Exp/Sus]=1)*(ROW(ES_3[STN])&lt;=ROW()))=1,1,0),0)</f>
        <v>0</v>
      </c>
      <c r="N74" s="1" t="str">
        <f>_xlfn.XLOOKUP(ES_3[[#This Row],[STN]],SE_3[STN],SE_3[Ethnicity],"",0)</f>
        <v>White</v>
      </c>
    </row>
    <row r="75" spans="1:14" ht="14.45">
      <c r="A75" s="1">
        <v>539118048</v>
      </c>
      <c r="B75" s="1">
        <v>2</v>
      </c>
      <c r="C75" s="2">
        <v>2</v>
      </c>
      <c r="D75" s="1" t="s">
        <v>31</v>
      </c>
      <c r="E75" s="2">
        <v>10</v>
      </c>
      <c r="F75" s="1" t="s">
        <v>25</v>
      </c>
      <c r="G75" s="2">
        <v>1</v>
      </c>
      <c r="H75" s="1" t="s">
        <v>29</v>
      </c>
      <c r="I75" s="1">
        <f>SUMIFS(ES_3[LENGTH_EX_SU],ES_3[STN],ES_3[[#This Row],[STN]],ES_3[DISCIPLINE_TYPE],"Out-of-School Suspension")+SUMIFS(ES_3[LENGTH_EX_SU],ES_3[STN],ES_3[[#This Row],[STN]],ES_3[DISCIPLINE_TYPE],"Expulsion")</f>
        <v>9</v>
      </c>
      <c r="J75" s="1">
        <f>IF(ES_3[[#This Row],[Count Exp/Sus]]&gt;10,1,0)</f>
        <v>0</v>
      </c>
      <c r="K75" s="1">
        <f t="shared" si="1"/>
        <v>0</v>
      </c>
      <c r="L75" s="1">
        <f>IF(J75=1,IF(COUNTIFS($A$3:A75,A75,$J$3:J75,1)=1,A75&amp;"-included",0),0)</f>
        <v>0</v>
      </c>
      <c r="M75" s="1" cm="1">
        <f t="array" ref="M75">IF(ES_3[[#This Row],[Included Exp/Sus]]=1,IF(SUMPRODUCT((ES_3[STN]=ES_3[[#This Row],[STN]])*(ES_3[Included Exp/Sus]=1)*(ROW(ES_3[STN])&lt;=ROW()))=1,1,0),0)</f>
        <v>0</v>
      </c>
      <c r="N75" s="1" t="str">
        <f>_xlfn.XLOOKUP(ES_3[[#This Row],[STN]],SE_3[STN],SE_3[Ethnicity],"",0)</f>
        <v>White</v>
      </c>
    </row>
    <row r="76" spans="1:14" ht="14.45">
      <c r="A76" s="1">
        <v>539118048</v>
      </c>
      <c r="B76" s="1">
        <v>2</v>
      </c>
      <c r="C76" s="2">
        <v>2</v>
      </c>
      <c r="D76" s="1" t="s">
        <v>31</v>
      </c>
      <c r="E76" s="2">
        <v>12</v>
      </c>
      <c r="F76" s="1" t="s">
        <v>46</v>
      </c>
      <c r="G76" s="2">
        <v>1</v>
      </c>
      <c r="H76" s="1" t="s">
        <v>26</v>
      </c>
      <c r="I76" s="1">
        <f>SUMIFS(ES_3[LENGTH_EX_SU],ES_3[STN],ES_3[[#This Row],[STN]],ES_3[DISCIPLINE_TYPE],"Out-of-School Suspension")+SUMIFS(ES_3[LENGTH_EX_SU],ES_3[STN],ES_3[[#This Row],[STN]],ES_3[DISCIPLINE_TYPE],"Expulsion")</f>
        <v>9</v>
      </c>
      <c r="J76" s="1">
        <f>IF(ES_3[[#This Row],[Count Exp/Sus]]&gt;10,1,0)</f>
        <v>0</v>
      </c>
      <c r="K76" s="1">
        <f t="shared" si="1"/>
        <v>0</v>
      </c>
      <c r="L76" s="1">
        <f>IF(J76=1,IF(COUNTIFS($A$3:A76,A76,$J$3:J76,1)=1,A76&amp;"-included",0),0)</f>
        <v>0</v>
      </c>
      <c r="M76" s="1" cm="1">
        <f t="array" ref="M76">IF(ES_3[[#This Row],[Included Exp/Sus]]=1,IF(SUMPRODUCT((ES_3[STN]=ES_3[[#This Row],[STN]])*(ES_3[Included Exp/Sus]=1)*(ROW(ES_3[STN])&lt;=ROW()))=1,1,0),0)</f>
        <v>0</v>
      </c>
      <c r="N76" s="1" t="str">
        <f>_xlfn.XLOOKUP(ES_3[[#This Row],[STN]],SE_3[STN],SE_3[Ethnicity],"",0)</f>
        <v>White</v>
      </c>
    </row>
    <row r="77" spans="1:14" ht="14.45">
      <c r="A77" s="1">
        <v>539118048</v>
      </c>
      <c r="B77" s="1">
        <v>2</v>
      </c>
      <c r="C77" s="2">
        <v>2</v>
      </c>
      <c r="D77" s="1" t="s">
        <v>31</v>
      </c>
      <c r="E77" s="2">
        <v>10</v>
      </c>
      <c r="F77" s="1" t="s">
        <v>25</v>
      </c>
      <c r="G77" s="2">
        <v>1</v>
      </c>
      <c r="H77" s="1" t="s">
        <v>26</v>
      </c>
      <c r="I77" s="1">
        <f>SUMIFS(ES_3[LENGTH_EX_SU],ES_3[STN],ES_3[[#This Row],[STN]],ES_3[DISCIPLINE_TYPE],"Out-of-School Suspension")+SUMIFS(ES_3[LENGTH_EX_SU],ES_3[STN],ES_3[[#This Row],[STN]],ES_3[DISCIPLINE_TYPE],"Expulsion")</f>
        <v>9</v>
      </c>
      <c r="J77" s="1">
        <f>IF(ES_3[[#This Row],[Count Exp/Sus]]&gt;10,1,0)</f>
        <v>0</v>
      </c>
      <c r="K77" s="1">
        <f t="shared" si="1"/>
        <v>0</v>
      </c>
      <c r="L77" s="1">
        <f>IF(J77=1,IF(COUNTIFS($A$3:A77,A77,$J$3:J77,1)=1,A77&amp;"-included",0),0)</f>
        <v>0</v>
      </c>
      <c r="M77" s="1" cm="1">
        <f t="array" ref="M77">IF(ES_3[[#This Row],[Included Exp/Sus]]=1,IF(SUMPRODUCT((ES_3[STN]=ES_3[[#This Row],[STN]])*(ES_3[Included Exp/Sus]=1)*(ROW(ES_3[STN])&lt;=ROW()))=1,1,0),0)</f>
        <v>0</v>
      </c>
      <c r="N77" s="1" t="str">
        <f>_xlfn.XLOOKUP(ES_3[[#This Row],[STN]],SE_3[STN],SE_3[Ethnicity],"",0)</f>
        <v>White</v>
      </c>
    </row>
    <row r="78" spans="1:14" ht="14.45">
      <c r="A78" s="1">
        <v>539118048</v>
      </c>
      <c r="B78" s="1">
        <v>2</v>
      </c>
      <c r="C78" s="2">
        <v>2</v>
      </c>
      <c r="D78" s="1" t="s">
        <v>31</v>
      </c>
      <c r="E78" s="2">
        <v>12</v>
      </c>
      <c r="F78" s="1" t="s">
        <v>46</v>
      </c>
      <c r="G78" s="2">
        <v>1</v>
      </c>
      <c r="H78" s="1" t="s">
        <v>26</v>
      </c>
      <c r="I78" s="1">
        <f>SUMIFS(ES_3[LENGTH_EX_SU],ES_3[STN],ES_3[[#This Row],[STN]],ES_3[DISCIPLINE_TYPE],"Out-of-School Suspension")+SUMIFS(ES_3[LENGTH_EX_SU],ES_3[STN],ES_3[[#This Row],[STN]],ES_3[DISCIPLINE_TYPE],"Expulsion")</f>
        <v>9</v>
      </c>
      <c r="J78" s="1">
        <f>IF(ES_3[[#This Row],[Count Exp/Sus]]&gt;10,1,0)</f>
        <v>0</v>
      </c>
      <c r="K78" s="1">
        <f t="shared" si="1"/>
        <v>0</v>
      </c>
      <c r="L78" s="1">
        <f>IF(J78=1,IF(COUNTIFS($A$3:A78,A78,$J$3:J78,1)=1,A78&amp;"-included",0),0)</f>
        <v>0</v>
      </c>
      <c r="M78" s="1" cm="1">
        <f t="array" ref="M78">IF(ES_3[[#This Row],[Included Exp/Sus]]=1,IF(SUMPRODUCT((ES_3[STN]=ES_3[[#This Row],[STN]])*(ES_3[Included Exp/Sus]=1)*(ROW(ES_3[STN])&lt;=ROW()))=1,1,0),0)</f>
        <v>0</v>
      </c>
      <c r="N78" s="1" t="str">
        <f>_xlfn.XLOOKUP(ES_3[[#This Row],[STN]],SE_3[STN],SE_3[Ethnicity],"",0)</f>
        <v>White</v>
      </c>
    </row>
    <row r="79" spans="1:14" ht="14.45">
      <c r="A79" s="1">
        <v>539118048</v>
      </c>
      <c r="B79" s="1">
        <v>2</v>
      </c>
      <c r="C79" s="2">
        <v>2</v>
      </c>
      <c r="D79" s="1" t="s">
        <v>31</v>
      </c>
      <c r="E79" s="2">
        <v>12</v>
      </c>
      <c r="F79" s="1" t="s">
        <v>46</v>
      </c>
      <c r="G79" s="2">
        <v>1</v>
      </c>
      <c r="H79" s="1" t="s">
        <v>26</v>
      </c>
      <c r="I79" s="1">
        <f>SUMIFS(ES_3[LENGTH_EX_SU],ES_3[STN],ES_3[[#This Row],[STN]],ES_3[DISCIPLINE_TYPE],"Out-of-School Suspension")+SUMIFS(ES_3[LENGTH_EX_SU],ES_3[STN],ES_3[[#This Row],[STN]],ES_3[DISCIPLINE_TYPE],"Expulsion")</f>
        <v>9</v>
      </c>
      <c r="J79" s="1">
        <f>IF(ES_3[[#This Row],[Count Exp/Sus]]&gt;10,1,0)</f>
        <v>0</v>
      </c>
      <c r="K79" s="1">
        <f t="shared" si="1"/>
        <v>0</v>
      </c>
      <c r="L79" s="1">
        <f>IF(J79=1,IF(COUNTIFS($A$3:A79,A79,$J$3:J79,1)=1,A79&amp;"-included",0),0)</f>
        <v>0</v>
      </c>
      <c r="M79" s="1" cm="1">
        <f t="array" ref="M79">IF(ES_3[[#This Row],[Included Exp/Sus]]=1,IF(SUMPRODUCT((ES_3[STN]=ES_3[[#This Row],[STN]])*(ES_3[Included Exp/Sus]=1)*(ROW(ES_3[STN])&lt;=ROW()))=1,1,0),0)</f>
        <v>0</v>
      </c>
      <c r="N79" s="1" t="str">
        <f>_xlfn.XLOOKUP(ES_3[[#This Row],[STN]],SE_3[STN],SE_3[Ethnicity],"",0)</f>
        <v>White</v>
      </c>
    </row>
    <row r="80" spans="1:14" ht="14.45">
      <c r="A80" s="1">
        <v>539118048</v>
      </c>
      <c r="B80" s="1">
        <v>2</v>
      </c>
      <c r="C80" s="2">
        <v>2</v>
      </c>
      <c r="D80" s="1" t="s">
        <v>31</v>
      </c>
      <c r="E80" s="2">
        <v>12</v>
      </c>
      <c r="F80" s="1" t="s">
        <v>46</v>
      </c>
      <c r="G80" s="2">
        <v>1</v>
      </c>
      <c r="H80" s="1" t="s">
        <v>26</v>
      </c>
      <c r="I80" s="1">
        <f>SUMIFS(ES_3[LENGTH_EX_SU],ES_3[STN],ES_3[[#This Row],[STN]],ES_3[DISCIPLINE_TYPE],"Out-of-School Suspension")+SUMIFS(ES_3[LENGTH_EX_SU],ES_3[STN],ES_3[[#This Row],[STN]],ES_3[DISCIPLINE_TYPE],"Expulsion")</f>
        <v>9</v>
      </c>
      <c r="J80" s="1">
        <f>IF(ES_3[[#This Row],[Count Exp/Sus]]&gt;10,1,0)</f>
        <v>0</v>
      </c>
      <c r="K80" s="1">
        <f t="shared" si="1"/>
        <v>0</v>
      </c>
      <c r="L80" s="1">
        <f>IF(J80=1,IF(COUNTIFS($A$3:A80,A80,$J$3:J80,1)=1,A80&amp;"-included",0),0)</f>
        <v>0</v>
      </c>
      <c r="M80" s="1" cm="1">
        <f t="array" ref="M80">IF(ES_3[[#This Row],[Included Exp/Sus]]=1,IF(SUMPRODUCT((ES_3[STN]=ES_3[[#This Row],[STN]])*(ES_3[Included Exp/Sus]=1)*(ROW(ES_3[STN])&lt;=ROW()))=1,1,0),0)</f>
        <v>0</v>
      </c>
      <c r="N80" s="1" t="str">
        <f>_xlfn.XLOOKUP(ES_3[[#This Row],[STN]],SE_3[STN],SE_3[Ethnicity],"",0)</f>
        <v>White</v>
      </c>
    </row>
    <row r="81" spans="1:14" ht="14.45">
      <c r="A81" s="1">
        <v>539118048</v>
      </c>
      <c r="B81" s="1">
        <v>2</v>
      </c>
      <c r="C81" s="2">
        <v>2</v>
      </c>
      <c r="D81" s="1" t="s">
        <v>31</v>
      </c>
      <c r="E81" s="2">
        <v>12</v>
      </c>
      <c r="F81" s="1" t="s">
        <v>46</v>
      </c>
      <c r="G81" s="2">
        <v>1</v>
      </c>
      <c r="H81" s="1" t="s">
        <v>26</v>
      </c>
      <c r="I81" s="1">
        <f>SUMIFS(ES_3[LENGTH_EX_SU],ES_3[STN],ES_3[[#This Row],[STN]],ES_3[DISCIPLINE_TYPE],"Out-of-School Suspension")+SUMIFS(ES_3[LENGTH_EX_SU],ES_3[STN],ES_3[[#This Row],[STN]],ES_3[DISCIPLINE_TYPE],"Expulsion")</f>
        <v>9</v>
      </c>
      <c r="J81" s="1">
        <f>IF(ES_3[[#This Row],[Count Exp/Sus]]&gt;10,1,0)</f>
        <v>0</v>
      </c>
      <c r="K81" s="1">
        <f t="shared" si="1"/>
        <v>0</v>
      </c>
      <c r="L81" s="1">
        <f>IF(J81=1,IF(COUNTIFS($A$3:A81,A81,$J$3:J81,1)=1,A81&amp;"-included",0),0)</f>
        <v>0</v>
      </c>
      <c r="M81" s="1" cm="1">
        <f t="array" ref="M81">IF(ES_3[[#This Row],[Included Exp/Sus]]=1,IF(SUMPRODUCT((ES_3[STN]=ES_3[[#This Row],[STN]])*(ES_3[Included Exp/Sus]=1)*(ROW(ES_3[STN])&lt;=ROW()))=1,1,0),0)</f>
        <v>0</v>
      </c>
      <c r="N81" s="1" t="str">
        <f>_xlfn.XLOOKUP(ES_3[[#This Row],[STN]],SE_3[STN],SE_3[Ethnicity],"",0)</f>
        <v>White</v>
      </c>
    </row>
    <row r="82" spans="1:14" ht="14.45">
      <c r="A82" s="1">
        <v>539118048</v>
      </c>
      <c r="B82" s="1">
        <v>2</v>
      </c>
      <c r="C82" s="2">
        <v>2</v>
      </c>
      <c r="D82" s="1" t="s">
        <v>31</v>
      </c>
      <c r="E82" s="2">
        <v>12</v>
      </c>
      <c r="F82" s="1" t="s">
        <v>46</v>
      </c>
      <c r="G82" s="2">
        <v>1</v>
      </c>
      <c r="H82" s="1" t="s">
        <v>26</v>
      </c>
      <c r="I82" s="1">
        <f>SUMIFS(ES_3[LENGTH_EX_SU],ES_3[STN],ES_3[[#This Row],[STN]],ES_3[DISCIPLINE_TYPE],"Out-of-School Suspension")+SUMIFS(ES_3[LENGTH_EX_SU],ES_3[STN],ES_3[[#This Row],[STN]],ES_3[DISCIPLINE_TYPE],"Expulsion")</f>
        <v>9</v>
      </c>
      <c r="J82" s="1">
        <f>IF(ES_3[[#This Row],[Count Exp/Sus]]&gt;10,1,0)</f>
        <v>0</v>
      </c>
      <c r="K82" s="1">
        <f t="shared" si="1"/>
        <v>0</v>
      </c>
      <c r="L82" s="1">
        <f>IF(J82=1,IF(COUNTIFS($A$3:A82,A82,$J$3:J82,1)=1,A82&amp;"-included",0),0)</f>
        <v>0</v>
      </c>
      <c r="M82" s="1" cm="1">
        <f t="array" ref="M82">IF(ES_3[[#This Row],[Included Exp/Sus]]=1,IF(SUMPRODUCT((ES_3[STN]=ES_3[[#This Row],[STN]])*(ES_3[Included Exp/Sus]=1)*(ROW(ES_3[STN])&lt;=ROW()))=1,1,0),0)</f>
        <v>0</v>
      </c>
      <c r="N82" s="1" t="str">
        <f>_xlfn.XLOOKUP(ES_3[[#This Row],[STN]],SE_3[STN],SE_3[Ethnicity],"",0)</f>
        <v>White</v>
      </c>
    </row>
    <row r="83" spans="1:14" ht="14.45">
      <c r="A83" s="1">
        <v>539118048</v>
      </c>
      <c r="B83" s="1">
        <v>2</v>
      </c>
      <c r="C83" s="2">
        <v>2</v>
      </c>
      <c r="D83" s="1" t="s">
        <v>31</v>
      </c>
      <c r="E83" s="2">
        <v>12</v>
      </c>
      <c r="F83" s="1" t="s">
        <v>46</v>
      </c>
      <c r="G83" s="2">
        <v>1</v>
      </c>
      <c r="H83" s="1" t="s">
        <v>26</v>
      </c>
      <c r="I83" s="1">
        <f>SUMIFS(ES_3[LENGTH_EX_SU],ES_3[STN],ES_3[[#This Row],[STN]],ES_3[DISCIPLINE_TYPE],"Out-of-School Suspension")+SUMIFS(ES_3[LENGTH_EX_SU],ES_3[STN],ES_3[[#This Row],[STN]],ES_3[DISCIPLINE_TYPE],"Expulsion")</f>
        <v>9</v>
      </c>
      <c r="J83" s="1">
        <f>IF(ES_3[[#This Row],[Count Exp/Sus]]&gt;10,1,0)</f>
        <v>0</v>
      </c>
      <c r="K83" s="1">
        <f t="shared" si="1"/>
        <v>0</v>
      </c>
      <c r="L83" s="1">
        <f>IF(J83=1,IF(COUNTIFS($A$3:A83,A83,$J$3:J83,1)=1,A83&amp;"-included",0),0)</f>
        <v>0</v>
      </c>
      <c r="M83" s="1" cm="1">
        <f t="array" ref="M83">IF(ES_3[[#This Row],[Included Exp/Sus]]=1,IF(SUMPRODUCT((ES_3[STN]=ES_3[[#This Row],[STN]])*(ES_3[Included Exp/Sus]=1)*(ROW(ES_3[STN])&lt;=ROW()))=1,1,0),0)</f>
        <v>0</v>
      </c>
      <c r="N83" s="1" t="str">
        <f>_xlfn.XLOOKUP(ES_3[[#This Row],[STN]],SE_3[STN],SE_3[Ethnicity],"",0)</f>
        <v>White</v>
      </c>
    </row>
    <row r="84" spans="1:14" ht="14.45">
      <c r="A84" s="1">
        <v>539119024</v>
      </c>
      <c r="B84" s="1">
        <v>2</v>
      </c>
      <c r="C84" s="2">
        <v>2</v>
      </c>
      <c r="D84" s="1" t="s">
        <v>31</v>
      </c>
      <c r="E84" s="2">
        <v>34</v>
      </c>
      <c r="F84" s="1" t="s">
        <v>50</v>
      </c>
      <c r="G84" s="2">
        <v>1</v>
      </c>
      <c r="H84" s="1" t="s">
        <v>29</v>
      </c>
      <c r="I84" s="1">
        <f>SUMIFS(ES_3[LENGTH_EX_SU],ES_3[STN],ES_3[[#This Row],[STN]],ES_3[DISCIPLINE_TYPE],"Out-of-School Suspension")+SUMIFS(ES_3[LENGTH_EX_SU],ES_3[STN],ES_3[[#This Row],[STN]],ES_3[DISCIPLINE_TYPE],"Expulsion")</f>
        <v>1</v>
      </c>
      <c r="J84" s="1">
        <f>IF(ES_3[[#This Row],[Count Exp/Sus]]&gt;10,1,0)</f>
        <v>0</v>
      </c>
      <c r="K84" s="1">
        <f t="shared" si="1"/>
        <v>0</v>
      </c>
      <c r="L84" s="1">
        <f>IF(J84=1,IF(COUNTIFS($A$3:A84,A84,$J$3:J84,1)=1,A84&amp;"-included",0),0)</f>
        <v>0</v>
      </c>
      <c r="M84" s="1" cm="1">
        <f t="array" ref="M84">IF(ES_3[[#This Row],[Included Exp/Sus]]=1,IF(SUMPRODUCT((ES_3[STN]=ES_3[[#This Row],[STN]])*(ES_3[Included Exp/Sus]=1)*(ROW(ES_3[STN])&lt;=ROW()))=1,1,0),0)</f>
        <v>0</v>
      </c>
      <c r="N84" s="1" t="str">
        <f>_xlfn.XLOOKUP(ES_3[[#This Row],[STN]],SE_3[STN],SE_3[Ethnicity],"",0)</f>
        <v>White</v>
      </c>
    </row>
    <row r="85" spans="1:14" ht="14.45">
      <c r="A85" s="1">
        <v>539120042</v>
      </c>
      <c r="B85" s="1">
        <v>1</v>
      </c>
      <c r="C85" s="2">
        <v>2</v>
      </c>
      <c r="D85" s="1" t="s">
        <v>31</v>
      </c>
      <c r="E85" s="2">
        <v>12</v>
      </c>
      <c r="F85" s="1" t="s">
        <v>46</v>
      </c>
      <c r="G85" s="2">
        <v>2</v>
      </c>
      <c r="H85" s="1" t="s">
        <v>29</v>
      </c>
      <c r="I85" s="1">
        <f>SUMIFS(ES_3[LENGTH_EX_SU],ES_3[STN],ES_3[[#This Row],[STN]],ES_3[DISCIPLINE_TYPE],"Out-of-School Suspension")+SUMIFS(ES_3[LENGTH_EX_SU],ES_3[STN],ES_3[[#This Row],[STN]],ES_3[DISCIPLINE_TYPE],"Expulsion")</f>
        <v>5</v>
      </c>
      <c r="J85" s="1">
        <f>IF(ES_3[[#This Row],[Count Exp/Sus]]&gt;10,1,0)</f>
        <v>0</v>
      </c>
      <c r="K85" s="1">
        <f t="shared" si="1"/>
        <v>0</v>
      </c>
      <c r="L85" s="1">
        <f>IF(J85=1,IF(COUNTIFS($A$3:A85,A85,$J$3:J85,1)=1,A85&amp;"-included",0),0)</f>
        <v>0</v>
      </c>
      <c r="M85" s="1" cm="1">
        <f t="array" ref="M85">IF(ES_3[[#This Row],[Included Exp/Sus]]=1,IF(SUMPRODUCT((ES_3[STN]=ES_3[[#This Row],[STN]])*(ES_3[Included Exp/Sus]=1)*(ROW(ES_3[STN])&lt;=ROW()))=1,1,0),0)</f>
        <v>0</v>
      </c>
      <c r="N85" s="1" t="str">
        <f>_xlfn.XLOOKUP(ES_3[[#This Row],[STN]],SE_3[STN],SE_3[Ethnicity],"",0)</f>
        <v>White</v>
      </c>
    </row>
    <row r="86" spans="1:14" ht="14.45">
      <c r="A86" s="1">
        <v>539120042</v>
      </c>
      <c r="B86" s="1">
        <v>1</v>
      </c>
      <c r="C86" s="2">
        <v>2</v>
      </c>
      <c r="D86" s="1" t="s">
        <v>31</v>
      </c>
      <c r="E86" s="2">
        <v>12</v>
      </c>
      <c r="F86" s="1" t="s">
        <v>46</v>
      </c>
      <c r="G86" s="2">
        <v>1</v>
      </c>
      <c r="H86" s="1" t="s">
        <v>29</v>
      </c>
      <c r="I86" s="1">
        <f>SUMIFS(ES_3[LENGTH_EX_SU],ES_3[STN],ES_3[[#This Row],[STN]],ES_3[DISCIPLINE_TYPE],"Out-of-School Suspension")+SUMIFS(ES_3[LENGTH_EX_SU],ES_3[STN],ES_3[[#This Row],[STN]],ES_3[DISCIPLINE_TYPE],"Expulsion")</f>
        <v>5</v>
      </c>
      <c r="J86" s="1">
        <f>IF(ES_3[[#This Row],[Count Exp/Sus]]&gt;10,1,0)</f>
        <v>0</v>
      </c>
      <c r="K86" s="1">
        <f t="shared" si="1"/>
        <v>0</v>
      </c>
      <c r="L86" s="1">
        <f>IF(J86=1,IF(COUNTIFS($A$3:A86,A86,$J$3:J86,1)=1,A86&amp;"-included",0),0)</f>
        <v>0</v>
      </c>
      <c r="M86" s="1" cm="1">
        <f t="array" ref="M86">IF(ES_3[[#This Row],[Included Exp/Sus]]=1,IF(SUMPRODUCT((ES_3[STN]=ES_3[[#This Row],[STN]])*(ES_3[Included Exp/Sus]=1)*(ROW(ES_3[STN])&lt;=ROW()))=1,1,0),0)</f>
        <v>0</v>
      </c>
      <c r="N86" s="1" t="str">
        <f>_xlfn.XLOOKUP(ES_3[[#This Row],[STN]],SE_3[STN],SE_3[Ethnicity],"",0)</f>
        <v>White</v>
      </c>
    </row>
    <row r="87" spans="1:14" ht="14.45">
      <c r="A87" s="1">
        <v>539120042</v>
      </c>
      <c r="B87" s="1">
        <v>1</v>
      </c>
      <c r="C87" s="2">
        <v>2</v>
      </c>
      <c r="D87" s="1" t="s">
        <v>31</v>
      </c>
      <c r="E87" s="2">
        <v>17</v>
      </c>
      <c r="F87" s="1" t="s">
        <v>45</v>
      </c>
      <c r="G87" s="2">
        <v>1</v>
      </c>
      <c r="H87" s="1" t="s">
        <v>29</v>
      </c>
      <c r="I87" s="1">
        <f>SUMIFS(ES_3[LENGTH_EX_SU],ES_3[STN],ES_3[[#This Row],[STN]],ES_3[DISCIPLINE_TYPE],"Out-of-School Suspension")+SUMIFS(ES_3[LENGTH_EX_SU],ES_3[STN],ES_3[[#This Row],[STN]],ES_3[DISCIPLINE_TYPE],"Expulsion")</f>
        <v>5</v>
      </c>
      <c r="J87" s="1">
        <f>IF(ES_3[[#This Row],[Count Exp/Sus]]&gt;10,1,0)</f>
        <v>0</v>
      </c>
      <c r="K87" s="1">
        <f t="shared" si="1"/>
        <v>0</v>
      </c>
      <c r="L87" s="1">
        <f>IF(J87=1,IF(COUNTIFS($A$3:A87,A87,$J$3:J87,1)=1,A87&amp;"-included",0),0)</f>
        <v>0</v>
      </c>
      <c r="M87" s="1" cm="1">
        <f t="array" ref="M87">IF(ES_3[[#This Row],[Included Exp/Sus]]=1,IF(SUMPRODUCT((ES_3[STN]=ES_3[[#This Row],[STN]])*(ES_3[Included Exp/Sus]=1)*(ROW(ES_3[STN])&lt;=ROW()))=1,1,0),0)</f>
        <v>0</v>
      </c>
      <c r="N87" s="1" t="str">
        <f>_xlfn.XLOOKUP(ES_3[[#This Row],[STN]],SE_3[STN],SE_3[Ethnicity],"",0)</f>
        <v>White</v>
      </c>
    </row>
    <row r="88" spans="1:14" ht="14.45">
      <c r="A88" s="1">
        <v>539120042</v>
      </c>
      <c r="B88" s="1">
        <v>1</v>
      </c>
      <c r="C88" s="2">
        <v>2</v>
      </c>
      <c r="D88" s="1" t="s">
        <v>31</v>
      </c>
      <c r="E88" s="2">
        <v>12</v>
      </c>
      <c r="F88" s="1" t="s">
        <v>46</v>
      </c>
      <c r="G88" s="2">
        <v>1</v>
      </c>
      <c r="H88" s="1" t="s">
        <v>29</v>
      </c>
      <c r="I88" s="1">
        <f>SUMIFS(ES_3[LENGTH_EX_SU],ES_3[STN],ES_3[[#This Row],[STN]],ES_3[DISCIPLINE_TYPE],"Out-of-School Suspension")+SUMIFS(ES_3[LENGTH_EX_SU],ES_3[STN],ES_3[[#This Row],[STN]],ES_3[DISCIPLINE_TYPE],"Expulsion")</f>
        <v>5</v>
      </c>
      <c r="J88" s="1">
        <f>IF(ES_3[[#This Row],[Count Exp/Sus]]&gt;10,1,0)</f>
        <v>0</v>
      </c>
      <c r="K88" s="1">
        <f t="shared" si="1"/>
        <v>0</v>
      </c>
      <c r="L88" s="1">
        <f>IF(J88=1,IF(COUNTIFS($A$3:A88,A88,$J$3:J88,1)=1,A88&amp;"-included",0),0)</f>
        <v>0</v>
      </c>
      <c r="M88" s="1" cm="1">
        <f t="array" ref="M88">IF(ES_3[[#This Row],[Included Exp/Sus]]=1,IF(SUMPRODUCT((ES_3[STN]=ES_3[[#This Row],[STN]])*(ES_3[Included Exp/Sus]=1)*(ROW(ES_3[STN])&lt;=ROW()))=1,1,0),0)</f>
        <v>0</v>
      </c>
      <c r="N88" s="1" t="str">
        <f>_xlfn.XLOOKUP(ES_3[[#This Row],[STN]],SE_3[STN],SE_3[Ethnicity],"",0)</f>
        <v>White</v>
      </c>
    </row>
    <row r="89" spans="1:14" ht="14.45">
      <c r="A89" s="1">
        <v>539507260</v>
      </c>
      <c r="B89" s="1">
        <v>10</v>
      </c>
      <c r="C89" s="2">
        <v>2</v>
      </c>
      <c r="D89" s="1" t="s">
        <v>31</v>
      </c>
      <c r="E89" s="2">
        <v>12</v>
      </c>
      <c r="F89" s="1" t="s">
        <v>46</v>
      </c>
      <c r="G89" s="2">
        <v>2</v>
      </c>
      <c r="H89" s="1" t="s">
        <v>26</v>
      </c>
      <c r="I89" s="1">
        <f>SUMIFS(ES_3[LENGTH_EX_SU],ES_3[STN],ES_3[[#This Row],[STN]],ES_3[DISCIPLINE_TYPE],"Out-of-School Suspension")+SUMIFS(ES_3[LENGTH_EX_SU],ES_3[STN],ES_3[[#This Row],[STN]],ES_3[DISCIPLINE_TYPE],"Expulsion")</f>
        <v>2</v>
      </c>
      <c r="J89" s="1">
        <f>IF(ES_3[[#This Row],[Count Exp/Sus]]&gt;10,1,0)</f>
        <v>0</v>
      </c>
      <c r="K89" s="1">
        <f t="shared" si="1"/>
        <v>0</v>
      </c>
      <c r="L89" s="1">
        <f>IF(J89=1,IF(COUNTIFS($A$3:A89,A89,$J$3:J89,1)=1,A89&amp;"-included",0),0)</f>
        <v>0</v>
      </c>
      <c r="M89" s="1" cm="1">
        <f t="array" ref="M89">IF(ES_3[[#This Row],[Included Exp/Sus]]=1,IF(SUMPRODUCT((ES_3[STN]=ES_3[[#This Row],[STN]])*(ES_3[Included Exp/Sus]=1)*(ROW(ES_3[STN])&lt;=ROW()))=1,1,0),0)</f>
        <v>0</v>
      </c>
      <c r="N89" s="1" t="str">
        <f>_xlfn.XLOOKUP(ES_3[[#This Row],[STN]],SE_3[STN],SE_3[Ethnicity],"",0)</f>
        <v>Black - African American</v>
      </c>
    </row>
    <row r="90" spans="1:14" ht="14.45">
      <c r="A90" s="1">
        <v>539508242</v>
      </c>
      <c r="B90" s="1">
        <v>9</v>
      </c>
      <c r="C90" s="2">
        <v>2</v>
      </c>
      <c r="D90" s="1" t="s">
        <v>31</v>
      </c>
      <c r="E90" s="2">
        <v>10</v>
      </c>
      <c r="F90" s="1" t="s">
        <v>25</v>
      </c>
      <c r="G90" s="2">
        <v>1</v>
      </c>
      <c r="H90" s="1" t="s">
        <v>26</v>
      </c>
      <c r="I90" s="1">
        <f>SUMIFS(ES_3[LENGTH_EX_SU],ES_3[STN],ES_3[[#This Row],[STN]],ES_3[DISCIPLINE_TYPE],"Out-of-School Suspension")+SUMIFS(ES_3[LENGTH_EX_SU],ES_3[STN],ES_3[[#This Row],[STN]],ES_3[DISCIPLINE_TYPE],"Expulsion")</f>
        <v>2</v>
      </c>
      <c r="J90" s="1">
        <f>IF(ES_3[[#This Row],[Count Exp/Sus]]&gt;10,1,0)</f>
        <v>0</v>
      </c>
      <c r="K90" s="1">
        <f t="shared" si="1"/>
        <v>0</v>
      </c>
      <c r="L90" s="1">
        <f>IF(J90=1,IF(COUNTIFS($A$3:A90,A90,$J$3:J90,1)=1,A90&amp;"-included",0),0)</f>
        <v>0</v>
      </c>
      <c r="M90" s="1" cm="1">
        <f t="array" ref="M90">IF(ES_3[[#This Row],[Included Exp/Sus]]=1,IF(SUMPRODUCT((ES_3[STN]=ES_3[[#This Row],[STN]])*(ES_3[Included Exp/Sus]=1)*(ROW(ES_3[STN])&lt;=ROW()))=1,1,0),0)</f>
        <v>0</v>
      </c>
      <c r="N90" s="1" t="str">
        <f>_xlfn.XLOOKUP(ES_3[[#This Row],[STN]],SE_3[STN],SE_3[Ethnicity],"",0)</f>
        <v>White</v>
      </c>
    </row>
    <row r="91" spans="1:14" ht="14.45">
      <c r="A91" s="1">
        <v>539508242</v>
      </c>
      <c r="B91" s="1">
        <v>9</v>
      </c>
      <c r="C91" s="2">
        <v>2</v>
      </c>
      <c r="D91" s="1" t="s">
        <v>31</v>
      </c>
      <c r="E91" s="2">
        <v>7</v>
      </c>
      <c r="F91" s="1" t="s">
        <v>30</v>
      </c>
      <c r="G91" s="2">
        <v>1</v>
      </c>
      <c r="H91" s="1" t="s">
        <v>26</v>
      </c>
      <c r="I91" s="1">
        <f>SUMIFS(ES_3[LENGTH_EX_SU],ES_3[STN],ES_3[[#This Row],[STN]],ES_3[DISCIPLINE_TYPE],"Out-of-School Suspension")+SUMIFS(ES_3[LENGTH_EX_SU],ES_3[STN],ES_3[[#This Row],[STN]],ES_3[DISCIPLINE_TYPE],"Expulsion")</f>
        <v>2</v>
      </c>
      <c r="J91" s="1">
        <f>IF(ES_3[[#This Row],[Count Exp/Sus]]&gt;10,1,0)</f>
        <v>0</v>
      </c>
      <c r="K91" s="1">
        <f t="shared" si="1"/>
        <v>0</v>
      </c>
      <c r="L91" s="1">
        <f>IF(J91=1,IF(COUNTIFS($A$3:A91,A91,$J$3:J91,1)=1,A91&amp;"-included",0),0)</f>
        <v>0</v>
      </c>
      <c r="M91" s="1" cm="1">
        <f t="array" ref="M91">IF(ES_3[[#This Row],[Included Exp/Sus]]=1,IF(SUMPRODUCT((ES_3[STN]=ES_3[[#This Row],[STN]])*(ES_3[Included Exp/Sus]=1)*(ROW(ES_3[STN])&lt;=ROW()))=1,1,0),0)</f>
        <v>0</v>
      </c>
      <c r="N91" s="1" t="str">
        <f>_xlfn.XLOOKUP(ES_3[[#This Row],[STN]],SE_3[STN],SE_3[Ethnicity],"",0)</f>
        <v>White</v>
      </c>
    </row>
    <row r="92" spans="1:14" ht="14.45">
      <c r="A92" s="1">
        <v>539509187</v>
      </c>
      <c r="B92" s="1">
        <v>9</v>
      </c>
      <c r="C92" s="2">
        <v>2</v>
      </c>
      <c r="D92" s="1" t="s">
        <v>31</v>
      </c>
      <c r="E92" s="2">
        <v>15</v>
      </c>
      <c r="F92" s="1" t="s">
        <v>27</v>
      </c>
      <c r="G92" s="2">
        <v>2</v>
      </c>
      <c r="H92" s="1" t="s">
        <v>29</v>
      </c>
      <c r="I92" s="1">
        <f>SUMIFS(ES_3[LENGTH_EX_SU],ES_3[STN],ES_3[[#This Row],[STN]],ES_3[DISCIPLINE_TYPE],"Out-of-School Suspension")+SUMIFS(ES_3[LENGTH_EX_SU],ES_3[STN],ES_3[[#This Row],[STN]],ES_3[DISCIPLINE_TYPE],"Expulsion")</f>
        <v>2</v>
      </c>
      <c r="J92" s="1">
        <f>IF(ES_3[[#This Row],[Count Exp/Sus]]&gt;10,1,0)</f>
        <v>0</v>
      </c>
      <c r="K92" s="1">
        <f t="shared" si="1"/>
        <v>0</v>
      </c>
      <c r="L92" s="1">
        <f>IF(J92=1,IF(COUNTIFS($A$3:A92,A92,$J$3:J92,1)=1,A92&amp;"-included",0),0)</f>
        <v>0</v>
      </c>
      <c r="M92" s="1" cm="1">
        <f t="array" ref="M92">IF(ES_3[[#This Row],[Included Exp/Sus]]=1,IF(SUMPRODUCT((ES_3[STN]=ES_3[[#This Row],[STN]])*(ES_3[Included Exp/Sus]=1)*(ROW(ES_3[STN])&lt;=ROW()))=1,1,0),0)</f>
        <v>0</v>
      </c>
      <c r="N92" s="1" t="str">
        <f>_xlfn.XLOOKUP(ES_3[[#This Row],[STN]],SE_3[STN],SE_3[Ethnicity],"",0)</f>
        <v>White</v>
      </c>
    </row>
    <row r="93" spans="1:14" ht="14.45">
      <c r="A93" s="1">
        <v>539509194</v>
      </c>
      <c r="B93" s="1">
        <v>12</v>
      </c>
      <c r="C93" s="2">
        <v>2</v>
      </c>
      <c r="D93" s="1" t="s">
        <v>31</v>
      </c>
      <c r="E93" s="2">
        <v>10</v>
      </c>
      <c r="F93" s="1" t="s">
        <v>25</v>
      </c>
      <c r="G93" s="2">
        <v>1</v>
      </c>
      <c r="H93" s="1" t="s">
        <v>29</v>
      </c>
      <c r="I93" s="1">
        <f>SUMIFS(ES_3[LENGTH_EX_SU],ES_3[STN],ES_3[[#This Row],[STN]],ES_3[DISCIPLINE_TYPE],"Out-of-School Suspension")+SUMIFS(ES_3[LENGTH_EX_SU],ES_3[STN],ES_3[[#This Row],[STN]],ES_3[DISCIPLINE_TYPE],"Expulsion")</f>
        <v>1</v>
      </c>
      <c r="J93" s="1">
        <f>IF(ES_3[[#This Row],[Count Exp/Sus]]&gt;10,1,0)</f>
        <v>0</v>
      </c>
      <c r="K93" s="1">
        <f t="shared" si="1"/>
        <v>0</v>
      </c>
      <c r="L93" s="1">
        <f>IF(J93=1,IF(COUNTIFS($A$3:A93,A93,$J$3:J93,1)=1,A93&amp;"-included",0),0)</f>
        <v>0</v>
      </c>
      <c r="M93" s="1" cm="1">
        <f t="array" ref="M93">IF(ES_3[[#This Row],[Included Exp/Sus]]=1,IF(SUMPRODUCT((ES_3[STN]=ES_3[[#This Row],[STN]])*(ES_3[Included Exp/Sus]=1)*(ROW(ES_3[STN])&lt;=ROW()))=1,1,0),0)</f>
        <v>0</v>
      </c>
      <c r="N93" s="1" t="str">
        <f>_xlfn.XLOOKUP(ES_3[[#This Row],[STN]],SE_3[STN],SE_3[Ethnicity],"",0)</f>
        <v>White</v>
      </c>
    </row>
    <row r="94" spans="1:14" ht="14.45">
      <c r="A94" s="1">
        <v>539516005</v>
      </c>
      <c r="B94" s="1">
        <v>4</v>
      </c>
      <c r="C94" s="2">
        <v>2</v>
      </c>
      <c r="D94" s="1" t="s">
        <v>31</v>
      </c>
      <c r="E94" s="2">
        <v>10</v>
      </c>
      <c r="F94" s="1" t="s">
        <v>25</v>
      </c>
      <c r="G94" s="2">
        <v>2</v>
      </c>
      <c r="H94" s="1" t="s">
        <v>29</v>
      </c>
      <c r="I94" s="1">
        <f>SUMIFS(ES_3[LENGTH_EX_SU],ES_3[STN],ES_3[[#This Row],[STN]],ES_3[DISCIPLINE_TYPE],"Out-of-School Suspension")+SUMIFS(ES_3[LENGTH_EX_SU],ES_3[STN],ES_3[[#This Row],[STN]],ES_3[DISCIPLINE_TYPE],"Expulsion")</f>
        <v>2</v>
      </c>
      <c r="J94" s="1">
        <f>IF(ES_3[[#This Row],[Count Exp/Sus]]&gt;10,1,0)</f>
        <v>0</v>
      </c>
      <c r="K94" s="1">
        <f t="shared" si="1"/>
        <v>0</v>
      </c>
      <c r="L94" s="1">
        <f>IF(J94=1,IF(COUNTIFS($A$3:A94,A94,$J$3:J94,1)=1,A94&amp;"-included",0),0)</f>
        <v>0</v>
      </c>
      <c r="M94" s="1" cm="1">
        <f t="array" ref="M94">IF(ES_3[[#This Row],[Included Exp/Sus]]=1,IF(SUMPRODUCT((ES_3[STN]=ES_3[[#This Row],[STN]])*(ES_3[Included Exp/Sus]=1)*(ROW(ES_3[STN])&lt;=ROW()))=1,1,0),0)</f>
        <v>0</v>
      </c>
      <c r="N94" s="1" t="str">
        <f>_xlfn.XLOOKUP(ES_3[[#This Row],[STN]],SE_3[STN],SE_3[Ethnicity],"",0)</f>
        <v>White</v>
      </c>
    </row>
    <row r="95" spans="1:14" ht="14.45">
      <c r="A95" s="1">
        <v>539550785</v>
      </c>
      <c r="B95" s="1">
        <v>1</v>
      </c>
      <c r="C95" s="2">
        <v>2</v>
      </c>
      <c r="D95" s="1" t="s">
        <v>31</v>
      </c>
      <c r="E95" s="2">
        <v>10</v>
      </c>
      <c r="F95" s="1" t="s">
        <v>25</v>
      </c>
      <c r="G95" s="2">
        <v>2</v>
      </c>
      <c r="H95" s="1" t="s">
        <v>26</v>
      </c>
      <c r="I95" s="1">
        <f>SUMIFS(ES_3[LENGTH_EX_SU],ES_3[STN],ES_3[[#This Row],[STN]],ES_3[DISCIPLINE_TYPE],"Out-of-School Suspension")+SUMIFS(ES_3[LENGTH_EX_SU],ES_3[STN],ES_3[[#This Row],[STN]],ES_3[DISCIPLINE_TYPE],"Expulsion")</f>
        <v>8</v>
      </c>
      <c r="J95" s="1">
        <f>IF(ES_3[[#This Row],[Count Exp/Sus]]&gt;10,1,0)</f>
        <v>0</v>
      </c>
      <c r="K95" s="1">
        <f t="shared" si="1"/>
        <v>0</v>
      </c>
      <c r="L95" s="1">
        <f>IF(J95=1,IF(COUNTIFS($A$3:A95,A95,$J$3:J95,1)=1,A95&amp;"-included",0),0)</f>
        <v>0</v>
      </c>
      <c r="M95" s="1" cm="1">
        <f t="array" ref="M95">IF(ES_3[[#This Row],[Included Exp/Sus]]=1,IF(SUMPRODUCT((ES_3[STN]=ES_3[[#This Row],[STN]])*(ES_3[Included Exp/Sus]=1)*(ROW(ES_3[STN])&lt;=ROW()))=1,1,0),0)</f>
        <v>0</v>
      </c>
      <c r="N95" s="1" t="str">
        <f>_xlfn.XLOOKUP(ES_3[[#This Row],[STN]],SE_3[STN],SE_3[Ethnicity],"",0)</f>
        <v>White</v>
      </c>
    </row>
    <row r="96" spans="1:14" ht="14.45">
      <c r="A96" s="1">
        <v>539550785</v>
      </c>
      <c r="B96" s="1">
        <v>1</v>
      </c>
      <c r="C96" s="2">
        <v>2</v>
      </c>
      <c r="D96" s="1" t="s">
        <v>31</v>
      </c>
      <c r="E96" s="2">
        <v>15</v>
      </c>
      <c r="F96" s="1" t="s">
        <v>27</v>
      </c>
      <c r="G96" s="2">
        <v>1</v>
      </c>
      <c r="H96" s="1" t="s">
        <v>26</v>
      </c>
      <c r="I96" s="1">
        <f>SUMIFS(ES_3[LENGTH_EX_SU],ES_3[STN],ES_3[[#This Row],[STN]],ES_3[DISCIPLINE_TYPE],"Out-of-School Suspension")+SUMIFS(ES_3[LENGTH_EX_SU],ES_3[STN],ES_3[[#This Row],[STN]],ES_3[DISCIPLINE_TYPE],"Expulsion")</f>
        <v>8</v>
      </c>
      <c r="J96" s="1">
        <f>IF(ES_3[[#This Row],[Count Exp/Sus]]&gt;10,1,0)</f>
        <v>0</v>
      </c>
      <c r="K96" s="1">
        <f t="shared" si="1"/>
        <v>0</v>
      </c>
      <c r="L96" s="1">
        <f>IF(J96=1,IF(COUNTIFS($A$3:A96,A96,$J$3:J96,1)=1,A96&amp;"-included",0),0)</f>
        <v>0</v>
      </c>
      <c r="M96" s="1" cm="1">
        <f t="array" ref="M96">IF(ES_3[[#This Row],[Included Exp/Sus]]=1,IF(SUMPRODUCT((ES_3[STN]=ES_3[[#This Row],[STN]])*(ES_3[Included Exp/Sus]=1)*(ROW(ES_3[STN])&lt;=ROW()))=1,1,0),0)</f>
        <v>0</v>
      </c>
      <c r="N96" s="1" t="str">
        <f>_xlfn.XLOOKUP(ES_3[[#This Row],[STN]],SE_3[STN],SE_3[Ethnicity],"",0)</f>
        <v>White</v>
      </c>
    </row>
    <row r="97" spans="1:14" ht="14.45">
      <c r="A97" s="1">
        <v>539550785</v>
      </c>
      <c r="B97" s="1">
        <v>1</v>
      </c>
      <c r="C97" s="2">
        <v>2</v>
      </c>
      <c r="D97" s="1" t="s">
        <v>31</v>
      </c>
      <c r="E97" s="2">
        <v>10</v>
      </c>
      <c r="F97" s="1" t="s">
        <v>25</v>
      </c>
      <c r="G97" s="2">
        <v>2</v>
      </c>
      <c r="H97" s="1" t="s">
        <v>26</v>
      </c>
      <c r="I97" s="1">
        <f>SUMIFS(ES_3[LENGTH_EX_SU],ES_3[STN],ES_3[[#This Row],[STN]],ES_3[DISCIPLINE_TYPE],"Out-of-School Suspension")+SUMIFS(ES_3[LENGTH_EX_SU],ES_3[STN],ES_3[[#This Row],[STN]],ES_3[DISCIPLINE_TYPE],"Expulsion")</f>
        <v>8</v>
      </c>
      <c r="J97" s="1">
        <f>IF(ES_3[[#This Row],[Count Exp/Sus]]&gt;10,1,0)</f>
        <v>0</v>
      </c>
      <c r="K97" s="1">
        <f t="shared" si="1"/>
        <v>0</v>
      </c>
      <c r="L97" s="1">
        <f>IF(J97=1,IF(COUNTIFS($A$3:A97,A97,$J$3:J97,1)=1,A97&amp;"-included",0),0)</f>
        <v>0</v>
      </c>
      <c r="M97" s="1" cm="1">
        <f t="array" ref="M97">IF(ES_3[[#This Row],[Included Exp/Sus]]=1,IF(SUMPRODUCT((ES_3[STN]=ES_3[[#This Row],[STN]])*(ES_3[Included Exp/Sus]=1)*(ROW(ES_3[STN])&lt;=ROW()))=1,1,0),0)</f>
        <v>0</v>
      </c>
      <c r="N97" s="1" t="str">
        <f>_xlfn.XLOOKUP(ES_3[[#This Row],[STN]],SE_3[STN],SE_3[Ethnicity],"",0)</f>
        <v>White</v>
      </c>
    </row>
    <row r="98" spans="1:14" ht="14.45">
      <c r="A98" s="1">
        <v>539550785</v>
      </c>
      <c r="B98" s="1">
        <v>1</v>
      </c>
      <c r="C98" s="2">
        <v>2</v>
      </c>
      <c r="D98" s="1" t="s">
        <v>31</v>
      </c>
      <c r="E98" s="2">
        <v>10</v>
      </c>
      <c r="F98" s="1" t="s">
        <v>25</v>
      </c>
      <c r="G98" s="2">
        <v>3</v>
      </c>
      <c r="H98" s="1" t="s">
        <v>26</v>
      </c>
      <c r="I98" s="1">
        <f>SUMIFS(ES_3[LENGTH_EX_SU],ES_3[STN],ES_3[[#This Row],[STN]],ES_3[DISCIPLINE_TYPE],"Out-of-School Suspension")+SUMIFS(ES_3[LENGTH_EX_SU],ES_3[STN],ES_3[[#This Row],[STN]],ES_3[DISCIPLINE_TYPE],"Expulsion")</f>
        <v>8</v>
      </c>
      <c r="J98" s="1">
        <f>IF(ES_3[[#This Row],[Count Exp/Sus]]&gt;10,1,0)</f>
        <v>0</v>
      </c>
      <c r="K98" s="1">
        <f t="shared" si="1"/>
        <v>0</v>
      </c>
      <c r="L98" s="1">
        <f>IF(J98=1,IF(COUNTIFS($A$3:A98,A98,$J$3:J98,1)=1,A98&amp;"-included",0),0)</f>
        <v>0</v>
      </c>
      <c r="M98" s="1" cm="1">
        <f t="array" ref="M98">IF(ES_3[[#This Row],[Included Exp/Sus]]=1,IF(SUMPRODUCT((ES_3[STN]=ES_3[[#This Row],[STN]])*(ES_3[Included Exp/Sus]=1)*(ROW(ES_3[STN])&lt;=ROW()))=1,1,0),0)</f>
        <v>0</v>
      </c>
      <c r="N98" s="1" t="str">
        <f>_xlfn.XLOOKUP(ES_3[[#This Row],[STN]],SE_3[STN],SE_3[Ethnicity],"",0)</f>
        <v>White</v>
      </c>
    </row>
    <row r="99" spans="1:14" ht="14.45">
      <c r="A99" s="1">
        <v>539550823</v>
      </c>
      <c r="B99" s="1">
        <v>2</v>
      </c>
      <c r="C99" s="2">
        <v>2</v>
      </c>
      <c r="D99" s="1" t="s">
        <v>31</v>
      </c>
      <c r="E99" s="2">
        <v>12</v>
      </c>
      <c r="F99" s="1" t="s">
        <v>46</v>
      </c>
      <c r="G99" s="2">
        <v>1</v>
      </c>
      <c r="H99" s="1" t="s">
        <v>26</v>
      </c>
      <c r="I99" s="1">
        <f>SUMIFS(ES_3[LENGTH_EX_SU],ES_3[STN],ES_3[[#This Row],[STN]],ES_3[DISCIPLINE_TYPE],"Out-of-School Suspension")+SUMIFS(ES_3[LENGTH_EX_SU],ES_3[STN],ES_3[[#This Row],[STN]],ES_3[DISCIPLINE_TYPE],"Expulsion")</f>
        <v>2</v>
      </c>
      <c r="J99" s="1">
        <f>IF(ES_3[[#This Row],[Count Exp/Sus]]&gt;10,1,0)</f>
        <v>0</v>
      </c>
      <c r="K99" s="1">
        <f t="shared" si="1"/>
        <v>0</v>
      </c>
      <c r="L99" s="1">
        <f>IF(J99=1,IF(COUNTIFS($A$3:A99,A99,$J$3:J99,1)=1,A99&amp;"-included",0),0)</f>
        <v>0</v>
      </c>
      <c r="M99" s="1" cm="1">
        <f t="array" ref="M99">IF(ES_3[[#This Row],[Included Exp/Sus]]=1,IF(SUMPRODUCT((ES_3[STN]=ES_3[[#This Row],[STN]])*(ES_3[Included Exp/Sus]=1)*(ROW(ES_3[STN])&lt;=ROW()))=1,1,0),0)</f>
        <v>0</v>
      </c>
      <c r="N99" s="1" t="str">
        <f>_xlfn.XLOOKUP(ES_3[[#This Row],[STN]],SE_3[STN],SE_3[Ethnicity],"",0)</f>
        <v>White</v>
      </c>
    </row>
    <row r="100" spans="1:14" ht="14.45">
      <c r="A100" s="1">
        <v>539550823</v>
      </c>
      <c r="B100" s="1">
        <v>2</v>
      </c>
      <c r="C100" s="2">
        <v>2</v>
      </c>
      <c r="D100" s="1" t="s">
        <v>31</v>
      </c>
      <c r="E100" s="2">
        <v>12</v>
      </c>
      <c r="F100" s="1" t="s">
        <v>46</v>
      </c>
      <c r="G100" s="2">
        <v>1</v>
      </c>
      <c r="H100" s="1" t="s">
        <v>26</v>
      </c>
      <c r="I100" s="1">
        <f>SUMIFS(ES_3[LENGTH_EX_SU],ES_3[STN],ES_3[[#This Row],[STN]],ES_3[DISCIPLINE_TYPE],"Out-of-School Suspension")+SUMIFS(ES_3[LENGTH_EX_SU],ES_3[STN],ES_3[[#This Row],[STN]],ES_3[DISCIPLINE_TYPE],"Expulsion")</f>
        <v>2</v>
      </c>
      <c r="J100" s="1">
        <f>IF(ES_3[[#This Row],[Count Exp/Sus]]&gt;10,1,0)</f>
        <v>0</v>
      </c>
      <c r="K100" s="1">
        <f t="shared" si="1"/>
        <v>0</v>
      </c>
      <c r="L100" s="1">
        <f>IF(J100=1,IF(COUNTIFS($A$3:A100,A100,$J$3:J100,1)=1,A100&amp;"-included",0),0)</f>
        <v>0</v>
      </c>
      <c r="M100" s="1" cm="1">
        <f t="array" ref="M100">IF(ES_3[[#This Row],[Included Exp/Sus]]=1,IF(SUMPRODUCT((ES_3[STN]=ES_3[[#This Row],[STN]])*(ES_3[Included Exp/Sus]=1)*(ROW(ES_3[STN])&lt;=ROW()))=1,1,0),0)</f>
        <v>0</v>
      </c>
      <c r="N100" s="1" t="str">
        <f>_xlfn.XLOOKUP(ES_3[[#This Row],[STN]],SE_3[STN],SE_3[Ethnicity],"",0)</f>
        <v>White</v>
      </c>
    </row>
    <row r="101" spans="1:14" ht="14.45">
      <c r="A101" s="1">
        <v>539550897</v>
      </c>
      <c r="B101" s="1">
        <v>1</v>
      </c>
      <c r="C101" s="2">
        <v>2</v>
      </c>
      <c r="D101" s="1" t="s">
        <v>31</v>
      </c>
      <c r="E101" s="2">
        <v>10</v>
      </c>
      <c r="F101" s="1" t="s">
        <v>25</v>
      </c>
      <c r="G101" s="2">
        <v>2</v>
      </c>
      <c r="H101" s="1" t="s">
        <v>26</v>
      </c>
      <c r="I101" s="1">
        <f>SUMIFS(ES_3[LENGTH_EX_SU],ES_3[STN],ES_3[[#This Row],[STN]],ES_3[DISCIPLINE_TYPE],"Out-of-School Suspension")+SUMIFS(ES_3[LENGTH_EX_SU],ES_3[STN],ES_3[[#This Row],[STN]],ES_3[DISCIPLINE_TYPE],"Expulsion")</f>
        <v>8</v>
      </c>
      <c r="J101" s="1">
        <f>IF(ES_3[[#This Row],[Count Exp/Sus]]&gt;10,1,0)</f>
        <v>0</v>
      </c>
      <c r="K101" s="1">
        <f t="shared" si="1"/>
        <v>0</v>
      </c>
      <c r="L101" s="1">
        <f>IF(J101=1,IF(COUNTIFS($A$3:A101,A101,$J$3:J101,1)=1,A101&amp;"-included",0),0)</f>
        <v>0</v>
      </c>
      <c r="M101" s="1" cm="1">
        <f t="array" ref="M101">IF(ES_3[[#This Row],[Included Exp/Sus]]=1,IF(SUMPRODUCT((ES_3[STN]=ES_3[[#This Row],[STN]])*(ES_3[Included Exp/Sus]=1)*(ROW(ES_3[STN])&lt;=ROW()))=1,1,0),0)</f>
        <v>0</v>
      </c>
      <c r="N101" s="1" t="str">
        <f>_xlfn.XLOOKUP(ES_3[[#This Row],[STN]],SE_3[STN],SE_3[Ethnicity],"",0)</f>
        <v>White</v>
      </c>
    </row>
    <row r="102" spans="1:14" ht="14.45">
      <c r="A102" s="1">
        <v>539550897</v>
      </c>
      <c r="B102" s="1">
        <v>1</v>
      </c>
      <c r="C102" s="2">
        <v>2</v>
      </c>
      <c r="D102" s="1" t="s">
        <v>31</v>
      </c>
      <c r="E102" s="2">
        <v>10</v>
      </c>
      <c r="F102" s="1" t="s">
        <v>25</v>
      </c>
      <c r="G102" s="2">
        <v>2</v>
      </c>
      <c r="H102" s="1" t="s">
        <v>26</v>
      </c>
      <c r="I102" s="1">
        <f>SUMIFS(ES_3[LENGTH_EX_SU],ES_3[STN],ES_3[[#This Row],[STN]],ES_3[DISCIPLINE_TYPE],"Out-of-School Suspension")+SUMIFS(ES_3[LENGTH_EX_SU],ES_3[STN],ES_3[[#This Row],[STN]],ES_3[DISCIPLINE_TYPE],"Expulsion")</f>
        <v>8</v>
      </c>
      <c r="J102" s="1">
        <f>IF(ES_3[[#This Row],[Count Exp/Sus]]&gt;10,1,0)</f>
        <v>0</v>
      </c>
      <c r="K102" s="1">
        <f t="shared" si="1"/>
        <v>0</v>
      </c>
      <c r="L102" s="1">
        <f>IF(J102=1,IF(COUNTIFS($A$3:A102,A102,$J$3:J102,1)=1,A102&amp;"-included",0),0)</f>
        <v>0</v>
      </c>
      <c r="M102" s="1" cm="1">
        <f t="array" ref="M102">IF(ES_3[[#This Row],[Included Exp/Sus]]=1,IF(SUMPRODUCT((ES_3[STN]=ES_3[[#This Row],[STN]])*(ES_3[Included Exp/Sus]=1)*(ROW(ES_3[STN])&lt;=ROW()))=1,1,0),0)</f>
        <v>0</v>
      </c>
      <c r="N102" s="1" t="str">
        <f>_xlfn.XLOOKUP(ES_3[[#This Row],[STN]],SE_3[STN],SE_3[Ethnicity],"",0)</f>
        <v>White</v>
      </c>
    </row>
    <row r="103" spans="1:14" ht="14.45">
      <c r="A103" s="1">
        <v>539550897</v>
      </c>
      <c r="B103" s="1">
        <v>1</v>
      </c>
      <c r="C103" s="2">
        <v>2</v>
      </c>
      <c r="D103" s="1" t="s">
        <v>31</v>
      </c>
      <c r="E103" s="2">
        <v>10</v>
      </c>
      <c r="F103" s="1" t="s">
        <v>25</v>
      </c>
      <c r="G103" s="2">
        <v>2</v>
      </c>
      <c r="H103" s="1" t="s">
        <v>26</v>
      </c>
      <c r="I103" s="1">
        <f>SUMIFS(ES_3[LENGTH_EX_SU],ES_3[STN],ES_3[[#This Row],[STN]],ES_3[DISCIPLINE_TYPE],"Out-of-School Suspension")+SUMIFS(ES_3[LENGTH_EX_SU],ES_3[STN],ES_3[[#This Row],[STN]],ES_3[DISCIPLINE_TYPE],"Expulsion")</f>
        <v>8</v>
      </c>
      <c r="J103" s="1">
        <f>IF(ES_3[[#This Row],[Count Exp/Sus]]&gt;10,1,0)</f>
        <v>0</v>
      </c>
      <c r="K103" s="1">
        <f t="shared" si="1"/>
        <v>0</v>
      </c>
      <c r="L103" s="1">
        <f>IF(J103=1,IF(COUNTIFS($A$3:A103,A103,$J$3:J103,1)=1,A103&amp;"-included",0),0)</f>
        <v>0</v>
      </c>
      <c r="M103" s="1" cm="1">
        <f t="array" ref="M103">IF(ES_3[[#This Row],[Included Exp/Sus]]=1,IF(SUMPRODUCT((ES_3[STN]=ES_3[[#This Row],[STN]])*(ES_3[Included Exp/Sus]=1)*(ROW(ES_3[STN])&lt;=ROW()))=1,1,0),0)</f>
        <v>0</v>
      </c>
      <c r="N103" s="1" t="str">
        <f>_xlfn.XLOOKUP(ES_3[[#This Row],[STN]],SE_3[STN],SE_3[Ethnicity],"",0)</f>
        <v>White</v>
      </c>
    </row>
    <row r="104" spans="1:14" ht="14.45">
      <c r="A104" s="1">
        <v>539550897</v>
      </c>
      <c r="B104" s="1">
        <v>1</v>
      </c>
      <c r="C104" s="2">
        <v>2</v>
      </c>
      <c r="D104" s="1" t="s">
        <v>31</v>
      </c>
      <c r="E104" s="2">
        <v>10</v>
      </c>
      <c r="F104" s="1" t="s">
        <v>25</v>
      </c>
      <c r="G104" s="2">
        <v>1</v>
      </c>
      <c r="H104" s="1" t="s">
        <v>26</v>
      </c>
      <c r="I104" s="1">
        <f>SUMIFS(ES_3[LENGTH_EX_SU],ES_3[STN],ES_3[[#This Row],[STN]],ES_3[DISCIPLINE_TYPE],"Out-of-School Suspension")+SUMIFS(ES_3[LENGTH_EX_SU],ES_3[STN],ES_3[[#This Row],[STN]],ES_3[DISCIPLINE_TYPE],"Expulsion")</f>
        <v>8</v>
      </c>
      <c r="J104" s="1">
        <f>IF(ES_3[[#This Row],[Count Exp/Sus]]&gt;10,1,0)</f>
        <v>0</v>
      </c>
      <c r="K104" s="1">
        <f t="shared" si="1"/>
        <v>0</v>
      </c>
      <c r="L104" s="1">
        <f>IF(J104=1,IF(COUNTIFS($A$3:A104,A104,$J$3:J104,1)=1,A104&amp;"-included",0),0)</f>
        <v>0</v>
      </c>
      <c r="M104" s="1" cm="1">
        <f t="array" ref="M104">IF(ES_3[[#This Row],[Included Exp/Sus]]=1,IF(SUMPRODUCT((ES_3[STN]=ES_3[[#This Row],[STN]])*(ES_3[Included Exp/Sus]=1)*(ROW(ES_3[STN])&lt;=ROW()))=1,1,0),0)</f>
        <v>0</v>
      </c>
      <c r="N104" s="1" t="str">
        <f>_xlfn.XLOOKUP(ES_3[[#This Row],[STN]],SE_3[STN],SE_3[Ethnicity],"",0)</f>
        <v>White</v>
      </c>
    </row>
    <row r="105" spans="1:14" ht="14.45">
      <c r="A105" s="1">
        <v>539550897</v>
      </c>
      <c r="B105" s="1">
        <v>1</v>
      </c>
      <c r="C105" s="2">
        <v>2</v>
      </c>
      <c r="D105" s="1" t="s">
        <v>31</v>
      </c>
      <c r="E105" s="2">
        <v>10</v>
      </c>
      <c r="F105" s="1" t="s">
        <v>25</v>
      </c>
      <c r="G105" s="2">
        <v>1</v>
      </c>
      <c r="H105" s="1" t="s">
        <v>26</v>
      </c>
      <c r="I105" s="1">
        <f>SUMIFS(ES_3[LENGTH_EX_SU],ES_3[STN],ES_3[[#This Row],[STN]],ES_3[DISCIPLINE_TYPE],"Out-of-School Suspension")+SUMIFS(ES_3[LENGTH_EX_SU],ES_3[STN],ES_3[[#This Row],[STN]],ES_3[DISCIPLINE_TYPE],"Expulsion")</f>
        <v>8</v>
      </c>
      <c r="J105" s="1">
        <f>IF(ES_3[[#This Row],[Count Exp/Sus]]&gt;10,1,0)</f>
        <v>0</v>
      </c>
      <c r="K105" s="1">
        <f t="shared" si="1"/>
        <v>0</v>
      </c>
      <c r="L105" s="1">
        <f>IF(J105=1,IF(COUNTIFS($A$3:A105,A105,$J$3:J105,1)=1,A105&amp;"-included",0),0)</f>
        <v>0</v>
      </c>
      <c r="M105" s="1" cm="1">
        <f t="array" ref="M105">IF(ES_3[[#This Row],[Included Exp/Sus]]=1,IF(SUMPRODUCT((ES_3[STN]=ES_3[[#This Row],[STN]])*(ES_3[Included Exp/Sus]=1)*(ROW(ES_3[STN])&lt;=ROW()))=1,1,0),0)</f>
        <v>0</v>
      </c>
      <c r="N105" s="1" t="str">
        <f>_xlfn.XLOOKUP(ES_3[[#This Row],[STN]],SE_3[STN],SE_3[Ethnicity],"",0)</f>
        <v>White</v>
      </c>
    </row>
    <row r="106" spans="1:14" ht="14.45">
      <c r="A106" s="1">
        <v>539716043</v>
      </c>
      <c r="B106" s="1">
        <v>4</v>
      </c>
      <c r="C106" s="2">
        <v>2</v>
      </c>
      <c r="D106" s="1" t="s">
        <v>31</v>
      </c>
      <c r="E106" s="2">
        <v>10</v>
      </c>
      <c r="F106" s="1" t="s">
        <v>25</v>
      </c>
      <c r="G106" s="2">
        <v>2</v>
      </c>
      <c r="H106" s="1" t="s">
        <v>29</v>
      </c>
      <c r="I106" s="1">
        <f>SUMIFS(ES_3[LENGTH_EX_SU],ES_3[STN],ES_3[[#This Row],[STN]],ES_3[DISCIPLINE_TYPE],"Out-of-School Suspension")+SUMIFS(ES_3[LENGTH_EX_SU],ES_3[STN],ES_3[[#This Row],[STN]],ES_3[DISCIPLINE_TYPE],"Expulsion")</f>
        <v>2</v>
      </c>
      <c r="J106" s="1">
        <f>IF(ES_3[[#This Row],[Count Exp/Sus]]&gt;10,1,0)</f>
        <v>0</v>
      </c>
      <c r="K106" s="1">
        <f t="shared" si="1"/>
        <v>0</v>
      </c>
      <c r="L106" s="1">
        <f>IF(J106=1,IF(COUNTIFS($A$3:A106,A106,$J$3:J106,1)=1,A106&amp;"-included",0),0)</f>
        <v>0</v>
      </c>
      <c r="M106" s="1" cm="1">
        <f t="array" ref="M106">IF(ES_3[[#This Row],[Included Exp/Sus]]=1,IF(SUMPRODUCT((ES_3[STN]=ES_3[[#This Row],[STN]])*(ES_3[Included Exp/Sus]=1)*(ROW(ES_3[STN])&lt;=ROW()))=1,1,0),0)</f>
        <v>0</v>
      </c>
      <c r="N106" s="1" t="str">
        <f>_xlfn.XLOOKUP(ES_3[[#This Row],[STN]],SE_3[STN],SE_3[Ethnicity],"",0)</f>
        <v>White</v>
      </c>
    </row>
    <row r="107" spans="1:14" ht="14.45">
      <c r="A107" s="1">
        <v>539716081</v>
      </c>
      <c r="B107" s="1">
        <v>9</v>
      </c>
      <c r="C107" s="2">
        <v>1</v>
      </c>
      <c r="D107" s="1" t="s">
        <v>24</v>
      </c>
      <c r="E107" s="2">
        <v>10</v>
      </c>
      <c r="F107" s="1" t="s">
        <v>25</v>
      </c>
      <c r="G107" s="2">
        <v>1</v>
      </c>
      <c r="H107" s="1" t="s">
        <v>26</v>
      </c>
      <c r="I107" s="1">
        <f>SUMIFS(ES_3[LENGTH_EX_SU],ES_3[STN],ES_3[[#This Row],[STN]],ES_3[DISCIPLINE_TYPE],"Out-of-School Suspension")+SUMIFS(ES_3[LENGTH_EX_SU],ES_3[STN],ES_3[[#This Row],[STN]],ES_3[DISCIPLINE_TYPE],"Expulsion")</f>
        <v>7</v>
      </c>
      <c r="J107" s="1">
        <f>IF(ES_3[[#This Row],[Count Exp/Sus]]&gt;10,1,0)</f>
        <v>0</v>
      </c>
      <c r="K107" s="1">
        <f t="shared" si="1"/>
        <v>0</v>
      </c>
      <c r="L107" s="1">
        <f>IF(J107=1,IF(COUNTIFS($A$3:A107,A107,$J$3:J107,1)=1,A107&amp;"-included",0),0)</f>
        <v>0</v>
      </c>
      <c r="M107" s="1" cm="1">
        <f t="array" ref="M107">IF(ES_3[[#This Row],[Included Exp/Sus]]=1,IF(SUMPRODUCT((ES_3[STN]=ES_3[[#This Row],[STN]])*(ES_3[Included Exp/Sus]=1)*(ROW(ES_3[STN])&lt;=ROW()))=1,1,0),0)</f>
        <v>0</v>
      </c>
      <c r="N107" s="1" t="str">
        <f>_xlfn.XLOOKUP(ES_3[[#This Row],[STN]],SE_3[STN],SE_3[Ethnicity],"",0)</f>
        <v>Black - African American</v>
      </c>
    </row>
    <row r="108" spans="1:14" ht="14.45">
      <c r="A108" s="1">
        <v>539716081</v>
      </c>
      <c r="B108" s="1">
        <v>9</v>
      </c>
      <c r="C108" s="2">
        <v>1</v>
      </c>
      <c r="D108" s="1" t="s">
        <v>24</v>
      </c>
      <c r="E108" s="2">
        <v>14</v>
      </c>
      <c r="F108" s="1" t="s">
        <v>32</v>
      </c>
      <c r="G108" s="2">
        <v>1</v>
      </c>
      <c r="H108" s="1" t="s">
        <v>26</v>
      </c>
      <c r="I108" s="1">
        <f>SUMIFS(ES_3[LENGTH_EX_SU],ES_3[STN],ES_3[[#This Row],[STN]],ES_3[DISCIPLINE_TYPE],"Out-of-School Suspension")+SUMIFS(ES_3[LENGTH_EX_SU],ES_3[STN],ES_3[[#This Row],[STN]],ES_3[DISCIPLINE_TYPE],"Expulsion")</f>
        <v>7</v>
      </c>
      <c r="J108" s="1">
        <f>IF(ES_3[[#This Row],[Count Exp/Sus]]&gt;10,1,0)</f>
        <v>0</v>
      </c>
      <c r="K108" s="1">
        <f t="shared" si="1"/>
        <v>0</v>
      </c>
      <c r="L108" s="1">
        <f>IF(J108=1,IF(COUNTIFS($A$3:A108,A108,$J$3:J108,1)=1,A108&amp;"-included",0),0)</f>
        <v>0</v>
      </c>
      <c r="M108" s="1" cm="1">
        <f t="array" ref="M108">IF(ES_3[[#This Row],[Included Exp/Sus]]=1,IF(SUMPRODUCT((ES_3[STN]=ES_3[[#This Row],[STN]])*(ES_3[Included Exp/Sus]=1)*(ROW(ES_3[STN])&lt;=ROW()))=1,1,0),0)</f>
        <v>0</v>
      </c>
      <c r="N108" s="1" t="str">
        <f>_xlfn.XLOOKUP(ES_3[[#This Row],[STN]],SE_3[STN],SE_3[Ethnicity],"",0)</f>
        <v>Black - African American</v>
      </c>
    </row>
    <row r="109" spans="1:14" ht="14.45">
      <c r="A109" s="1">
        <v>539716081</v>
      </c>
      <c r="B109" s="1">
        <v>9</v>
      </c>
      <c r="C109" s="2">
        <v>1</v>
      </c>
      <c r="D109" s="1" t="s">
        <v>24</v>
      </c>
      <c r="E109" s="2">
        <v>14</v>
      </c>
      <c r="F109" s="1" t="s">
        <v>32</v>
      </c>
      <c r="G109" s="2">
        <v>2</v>
      </c>
      <c r="H109" s="1" t="s">
        <v>26</v>
      </c>
      <c r="I109" s="1">
        <f>SUMIFS(ES_3[LENGTH_EX_SU],ES_3[STN],ES_3[[#This Row],[STN]],ES_3[DISCIPLINE_TYPE],"Out-of-School Suspension")+SUMIFS(ES_3[LENGTH_EX_SU],ES_3[STN],ES_3[[#This Row],[STN]],ES_3[DISCIPLINE_TYPE],"Expulsion")</f>
        <v>7</v>
      </c>
      <c r="J109" s="1">
        <f>IF(ES_3[[#This Row],[Count Exp/Sus]]&gt;10,1,0)</f>
        <v>0</v>
      </c>
      <c r="K109" s="1">
        <f t="shared" si="1"/>
        <v>0</v>
      </c>
      <c r="L109" s="1">
        <f>IF(J109=1,IF(COUNTIFS($A$3:A109,A109,$J$3:J109,1)=1,A109&amp;"-included",0),0)</f>
        <v>0</v>
      </c>
      <c r="M109" s="1" cm="1">
        <f t="array" ref="M109">IF(ES_3[[#This Row],[Included Exp/Sus]]=1,IF(SUMPRODUCT((ES_3[STN]=ES_3[[#This Row],[STN]])*(ES_3[Included Exp/Sus]=1)*(ROW(ES_3[STN])&lt;=ROW()))=1,1,0),0)</f>
        <v>0</v>
      </c>
      <c r="N109" s="1" t="str">
        <f>_xlfn.XLOOKUP(ES_3[[#This Row],[STN]],SE_3[STN],SE_3[Ethnicity],"",0)</f>
        <v>Black - African American</v>
      </c>
    </row>
    <row r="110" spans="1:14" ht="14.45">
      <c r="A110" s="1">
        <v>539716081</v>
      </c>
      <c r="B110" s="1">
        <v>9</v>
      </c>
      <c r="C110" s="2">
        <v>2</v>
      </c>
      <c r="D110" s="1" t="s">
        <v>31</v>
      </c>
      <c r="E110" s="2">
        <v>14</v>
      </c>
      <c r="F110" s="1" t="s">
        <v>32</v>
      </c>
      <c r="G110" s="2">
        <v>2</v>
      </c>
      <c r="H110" s="1" t="s">
        <v>26</v>
      </c>
      <c r="I110" s="1">
        <f>SUMIFS(ES_3[LENGTH_EX_SU],ES_3[STN],ES_3[[#This Row],[STN]],ES_3[DISCIPLINE_TYPE],"Out-of-School Suspension")+SUMIFS(ES_3[LENGTH_EX_SU],ES_3[STN],ES_3[[#This Row],[STN]],ES_3[DISCIPLINE_TYPE],"Expulsion")</f>
        <v>7</v>
      </c>
      <c r="J110" s="1">
        <f>IF(ES_3[[#This Row],[Count Exp/Sus]]&gt;10,1,0)</f>
        <v>0</v>
      </c>
      <c r="K110" s="1">
        <f t="shared" si="1"/>
        <v>0</v>
      </c>
      <c r="L110" s="1">
        <f>IF(J110=1,IF(COUNTIFS($A$3:A110,A110,$J$3:J110,1)=1,A110&amp;"-included",0),0)</f>
        <v>0</v>
      </c>
      <c r="M110" s="1" cm="1">
        <f t="array" ref="M110">IF(ES_3[[#This Row],[Included Exp/Sus]]=1,IF(SUMPRODUCT((ES_3[STN]=ES_3[[#This Row],[STN]])*(ES_3[Included Exp/Sus]=1)*(ROW(ES_3[STN])&lt;=ROW()))=1,1,0),0)</f>
        <v>0</v>
      </c>
      <c r="N110" s="1" t="str">
        <f>_xlfn.XLOOKUP(ES_3[[#This Row],[STN]],SE_3[STN],SE_3[Ethnicity],"",0)</f>
        <v>Black - African American</v>
      </c>
    </row>
    <row r="111" spans="1:14" ht="14.45">
      <c r="A111" s="1">
        <v>539716081</v>
      </c>
      <c r="B111" s="1">
        <v>9</v>
      </c>
      <c r="C111" s="2">
        <v>2</v>
      </c>
      <c r="D111" s="1" t="s">
        <v>31</v>
      </c>
      <c r="E111" s="2">
        <v>10</v>
      </c>
      <c r="F111" s="1" t="s">
        <v>25</v>
      </c>
      <c r="G111" s="2">
        <v>2</v>
      </c>
      <c r="H111" s="1" t="s">
        <v>26</v>
      </c>
      <c r="I111" s="1">
        <f>SUMIFS(ES_3[LENGTH_EX_SU],ES_3[STN],ES_3[[#This Row],[STN]],ES_3[DISCIPLINE_TYPE],"Out-of-School Suspension")+SUMIFS(ES_3[LENGTH_EX_SU],ES_3[STN],ES_3[[#This Row],[STN]],ES_3[DISCIPLINE_TYPE],"Expulsion")</f>
        <v>7</v>
      </c>
      <c r="J111" s="1">
        <f>IF(ES_3[[#This Row],[Count Exp/Sus]]&gt;10,1,0)</f>
        <v>0</v>
      </c>
      <c r="K111" s="1">
        <f t="shared" si="1"/>
        <v>0</v>
      </c>
      <c r="L111" s="1">
        <f>IF(J111=1,IF(COUNTIFS($A$3:A111,A111,$J$3:J111,1)=1,A111&amp;"-included",0),0)</f>
        <v>0</v>
      </c>
      <c r="M111" s="1" cm="1">
        <f t="array" ref="M111">IF(ES_3[[#This Row],[Included Exp/Sus]]=1,IF(SUMPRODUCT((ES_3[STN]=ES_3[[#This Row],[STN]])*(ES_3[Included Exp/Sus]=1)*(ROW(ES_3[STN])&lt;=ROW()))=1,1,0),0)</f>
        <v>0</v>
      </c>
      <c r="N111" s="1" t="str">
        <f>_xlfn.XLOOKUP(ES_3[[#This Row],[STN]],SE_3[STN],SE_3[Ethnicity],"",0)</f>
        <v>Black - African American</v>
      </c>
    </row>
    <row r="112" spans="1:14" ht="14.45">
      <c r="A112" s="1">
        <v>539716081</v>
      </c>
      <c r="B112" s="1">
        <v>9</v>
      </c>
      <c r="C112" s="2">
        <v>2</v>
      </c>
      <c r="D112" s="1" t="s">
        <v>31</v>
      </c>
      <c r="E112" s="2">
        <v>14</v>
      </c>
      <c r="F112" s="1" t="s">
        <v>32</v>
      </c>
      <c r="G112" s="2">
        <v>3</v>
      </c>
      <c r="H112" s="1" t="s">
        <v>26</v>
      </c>
      <c r="I112" s="1">
        <f>SUMIFS(ES_3[LENGTH_EX_SU],ES_3[STN],ES_3[[#This Row],[STN]],ES_3[DISCIPLINE_TYPE],"Out-of-School Suspension")+SUMIFS(ES_3[LENGTH_EX_SU],ES_3[STN],ES_3[[#This Row],[STN]],ES_3[DISCIPLINE_TYPE],"Expulsion")</f>
        <v>7</v>
      </c>
      <c r="J112" s="1">
        <f>IF(ES_3[[#This Row],[Count Exp/Sus]]&gt;10,1,0)</f>
        <v>0</v>
      </c>
      <c r="K112" s="1">
        <f t="shared" si="1"/>
        <v>0</v>
      </c>
      <c r="L112" s="1">
        <f>IF(J112=1,IF(COUNTIFS($A$3:A112,A112,$J$3:J112,1)=1,A112&amp;"-included",0),0)</f>
        <v>0</v>
      </c>
      <c r="M112" s="1" cm="1">
        <f t="array" ref="M112">IF(ES_3[[#This Row],[Included Exp/Sus]]=1,IF(SUMPRODUCT((ES_3[STN]=ES_3[[#This Row],[STN]])*(ES_3[Included Exp/Sus]=1)*(ROW(ES_3[STN])&lt;=ROW()))=1,1,0),0)</f>
        <v>0</v>
      </c>
      <c r="N112" s="1" t="str">
        <f>_xlfn.XLOOKUP(ES_3[[#This Row],[STN]],SE_3[STN],SE_3[Ethnicity],"",0)</f>
        <v>Black - African American</v>
      </c>
    </row>
    <row r="113" spans="1:14" ht="14.45">
      <c r="A113" s="1">
        <v>539721026</v>
      </c>
      <c r="B113" s="1" t="s">
        <v>41</v>
      </c>
      <c r="C113" s="2">
        <v>2</v>
      </c>
      <c r="D113" s="1" t="s">
        <v>31</v>
      </c>
      <c r="E113" s="2">
        <v>12</v>
      </c>
      <c r="F113" s="1" t="s">
        <v>46</v>
      </c>
      <c r="G113" s="2">
        <v>1</v>
      </c>
      <c r="H113" s="1" t="s">
        <v>29</v>
      </c>
      <c r="I113" s="1">
        <f>SUMIFS(ES_3[LENGTH_EX_SU],ES_3[STN],ES_3[[#This Row],[STN]],ES_3[DISCIPLINE_TYPE],"Out-of-School Suspension")+SUMIFS(ES_3[LENGTH_EX_SU],ES_3[STN],ES_3[[#This Row],[STN]],ES_3[DISCIPLINE_TYPE],"Expulsion")</f>
        <v>1</v>
      </c>
      <c r="J113" s="1">
        <f>IF(ES_3[[#This Row],[Count Exp/Sus]]&gt;10,1,0)</f>
        <v>0</v>
      </c>
      <c r="K113" s="1">
        <f t="shared" si="1"/>
        <v>0</v>
      </c>
      <c r="L113" s="1">
        <f>IF(J113=1,IF(COUNTIFS($A$3:A113,A113,$J$3:J113,1)=1,A113&amp;"-included",0),0)</f>
        <v>0</v>
      </c>
      <c r="M113" s="1" cm="1">
        <f t="array" ref="M113">IF(ES_3[[#This Row],[Included Exp/Sus]]=1,IF(SUMPRODUCT((ES_3[STN]=ES_3[[#This Row],[STN]])*(ES_3[Included Exp/Sus]=1)*(ROW(ES_3[STN])&lt;=ROW()))=1,1,0),0)</f>
        <v>0</v>
      </c>
      <c r="N113" s="1" t="str">
        <f>_xlfn.XLOOKUP(ES_3[[#This Row],[STN]],SE_3[STN],SE_3[Ethnicity],"",0)</f>
        <v>White</v>
      </c>
    </row>
    <row r="114" spans="1:14" ht="14.45">
      <c r="A114" s="1">
        <v>540610121</v>
      </c>
      <c r="B114" s="1">
        <v>10</v>
      </c>
      <c r="C114" s="2">
        <v>2</v>
      </c>
      <c r="D114" s="1" t="s">
        <v>31</v>
      </c>
      <c r="E114" s="2">
        <v>7</v>
      </c>
      <c r="F114" s="1" t="s">
        <v>30</v>
      </c>
      <c r="G114" s="2">
        <v>13</v>
      </c>
      <c r="H114" s="1" t="s">
        <v>26</v>
      </c>
      <c r="I114" s="1">
        <f>SUMIFS(ES_3[LENGTH_EX_SU],ES_3[STN],ES_3[[#This Row],[STN]],ES_3[DISCIPLINE_TYPE],"Out-of-School Suspension")+SUMIFS(ES_3[LENGTH_EX_SU],ES_3[STN],ES_3[[#This Row],[STN]],ES_3[DISCIPLINE_TYPE],"Expulsion")</f>
        <v>13</v>
      </c>
      <c r="J114" s="1">
        <f>IF(ES_3[[#This Row],[Count Exp/Sus]]&gt;10,1,0)</f>
        <v>1</v>
      </c>
      <c r="K114" s="1" t="str">
        <f t="shared" si="1"/>
        <v>540610121-included</v>
      </c>
      <c r="L114" s="1" t="str">
        <f>IF(J114=1,IF(COUNTIFS($A$3:A114,A114,$J$3:J114,1)=1,A114&amp;"-included",0),0)</f>
        <v>540610121-included</v>
      </c>
      <c r="M114" s="1" cm="1">
        <f t="array" ref="M114">IF(ES_3[[#This Row],[Included Exp/Sus]]=1,IF(SUMPRODUCT((ES_3[STN]=ES_3[[#This Row],[STN]])*(ES_3[Included Exp/Sus]=1)*(ROW(ES_3[STN])&lt;=ROW()))=1,1,0),0)</f>
        <v>1</v>
      </c>
      <c r="N114" s="1" t="str">
        <f>_xlfn.XLOOKUP(ES_3[[#This Row],[STN]],SE_3[STN],SE_3[Ethnicity],"",0)</f>
        <v>White</v>
      </c>
    </row>
    <row r="115" spans="1:14" ht="14.45">
      <c r="A115" s="1">
        <v>541812029</v>
      </c>
      <c r="B115" s="1">
        <v>9</v>
      </c>
      <c r="C115" s="2">
        <v>1</v>
      </c>
      <c r="D115" s="1" t="s">
        <v>24</v>
      </c>
      <c r="E115" s="2">
        <v>16</v>
      </c>
      <c r="F115" s="1" t="s">
        <v>28</v>
      </c>
      <c r="G115" s="2">
        <v>1</v>
      </c>
      <c r="H115" s="1" t="s">
        <v>29</v>
      </c>
      <c r="I115" s="1">
        <f>SUMIFS(ES_3[LENGTH_EX_SU],ES_3[STN],ES_3[[#This Row],[STN]],ES_3[DISCIPLINE_TYPE],"Out-of-School Suspension")+SUMIFS(ES_3[LENGTH_EX_SU],ES_3[STN],ES_3[[#This Row],[STN]],ES_3[DISCIPLINE_TYPE],"Expulsion")</f>
        <v>4</v>
      </c>
      <c r="J115" s="1">
        <f>IF(ES_3[[#This Row],[Count Exp/Sus]]&gt;10,1,0)</f>
        <v>0</v>
      </c>
      <c r="K115" s="1">
        <f t="shared" si="1"/>
        <v>0</v>
      </c>
      <c r="L115" s="1">
        <f>IF(J115=1,IF(COUNTIFS($A$3:A115,A115,$J$3:J115,1)=1,A115&amp;"-included",0),0)</f>
        <v>0</v>
      </c>
      <c r="M115" s="1" cm="1">
        <f t="array" ref="M115">IF(ES_3[[#This Row],[Included Exp/Sus]]=1,IF(SUMPRODUCT((ES_3[STN]=ES_3[[#This Row],[STN]])*(ES_3[Included Exp/Sus]=1)*(ROW(ES_3[STN])&lt;=ROW()))=1,1,0),0)</f>
        <v>0</v>
      </c>
      <c r="N115" s="1" t="str">
        <f>_xlfn.XLOOKUP(ES_3[[#This Row],[STN]],SE_3[STN],SE_3[Ethnicity],"",0)</f>
        <v>Multiracial (two or more races)</v>
      </c>
    </row>
    <row r="116" spans="1:14" ht="14.45">
      <c r="A116" s="1">
        <v>541812029</v>
      </c>
      <c r="B116" s="1">
        <v>9</v>
      </c>
      <c r="C116" s="2">
        <v>1</v>
      </c>
      <c r="D116" s="1" t="s">
        <v>24</v>
      </c>
      <c r="E116" s="2">
        <v>16</v>
      </c>
      <c r="F116" s="1" t="s">
        <v>28</v>
      </c>
      <c r="G116" s="2">
        <v>1</v>
      </c>
      <c r="H116" s="1" t="s">
        <v>29</v>
      </c>
      <c r="I116" s="1">
        <f>SUMIFS(ES_3[LENGTH_EX_SU],ES_3[STN],ES_3[[#This Row],[STN]],ES_3[DISCIPLINE_TYPE],"Out-of-School Suspension")+SUMIFS(ES_3[LENGTH_EX_SU],ES_3[STN],ES_3[[#This Row],[STN]],ES_3[DISCIPLINE_TYPE],"Expulsion")</f>
        <v>4</v>
      </c>
      <c r="J116" s="1">
        <f>IF(ES_3[[#This Row],[Count Exp/Sus]]&gt;10,1,0)</f>
        <v>0</v>
      </c>
      <c r="K116" s="1">
        <f t="shared" si="1"/>
        <v>0</v>
      </c>
      <c r="L116" s="1">
        <f>IF(J116=1,IF(COUNTIFS($A$3:A116,A116,$J$3:J116,1)=1,A116&amp;"-included",0),0)</f>
        <v>0</v>
      </c>
      <c r="M116" s="1" cm="1">
        <f t="array" ref="M116">IF(ES_3[[#This Row],[Included Exp/Sus]]=1,IF(SUMPRODUCT((ES_3[STN]=ES_3[[#This Row],[STN]])*(ES_3[Included Exp/Sus]=1)*(ROW(ES_3[STN])&lt;=ROW()))=1,1,0),0)</f>
        <v>0</v>
      </c>
      <c r="N116" s="1" t="str">
        <f>_xlfn.XLOOKUP(ES_3[[#This Row],[STN]],SE_3[STN],SE_3[Ethnicity],"",0)</f>
        <v>Multiracial (two or more races)</v>
      </c>
    </row>
    <row r="117" spans="1:14" ht="14.45">
      <c r="A117" s="1">
        <v>541812029</v>
      </c>
      <c r="B117" s="1">
        <v>9</v>
      </c>
      <c r="C117" s="2">
        <v>2</v>
      </c>
      <c r="D117" s="1" t="s">
        <v>31</v>
      </c>
      <c r="E117" s="2">
        <v>15</v>
      </c>
      <c r="F117" s="1" t="s">
        <v>27</v>
      </c>
      <c r="G117" s="2">
        <v>1</v>
      </c>
      <c r="H117" s="1" t="s">
        <v>29</v>
      </c>
      <c r="I117" s="1">
        <f>SUMIFS(ES_3[LENGTH_EX_SU],ES_3[STN],ES_3[[#This Row],[STN]],ES_3[DISCIPLINE_TYPE],"Out-of-School Suspension")+SUMIFS(ES_3[LENGTH_EX_SU],ES_3[STN],ES_3[[#This Row],[STN]],ES_3[DISCIPLINE_TYPE],"Expulsion")</f>
        <v>4</v>
      </c>
      <c r="J117" s="1">
        <f>IF(ES_3[[#This Row],[Count Exp/Sus]]&gt;10,1,0)</f>
        <v>0</v>
      </c>
      <c r="K117" s="1">
        <f t="shared" si="1"/>
        <v>0</v>
      </c>
      <c r="L117" s="1">
        <f>IF(J117=1,IF(COUNTIFS($A$3:A117,A117,$J$3:J117,1)=1,A117&amp;"-included",0),0)</f>
        <v>0</v>
      </c>
      <c r="M117" s="1" cm="1">
        <f t="array" ref="M117">IF(ES_3[[#This Row],[Included Exp/Sus]]=1,IF(SUMPRODUCT((ES_3[STN]=ES_3[[#This Row],[STN]])*(ES_3[Included Exp/Sus]=1)*(ROW(ES_3[STN])&lt;=ROW()))=1,1,0),0)</f>
        <v>0</v>
      </c>
      <c r="N117" s="1" t="str">
        <f>_xlfn.XLOOKUP(ES_3[[#This Row],[STN]],SE_3[STN],SE_3[Ethnicity],"",0)</f>
        <v>Multiracial (two or more races)</v>
      </c>
    </row>
    <row r="118" spans="1:14" ht="14.45">
      <c r="A118" s="1">
        <v>541812029</v>
      </c>
      <c r="B118" s="1">
        <v>9</v>
      </c>
      <c r="C118" s="2">
        <v>2</v>
      </c>
      <c r="D118" s="1" t="s">
        <v>31</v>
      </c>
      <c r="E118" s="2">
        <v>14</v>
      </c>
      <c r="F118" s="1" t="s">
        <v>32</v>
      </c>
      <c r="G118" s="2">
        <v>2</v>
      </c>
      <c r="H118" s="1" t="s">
        <v>29</v>
      </c>
      <c r="I118" s="1">
        <f>SUMIFS(ES_3[LENGTH_EX_SU],ES_3[STN],ES_3[[#This Row],[STN]],ES_3[DISCIPLINE_TYPE],"Out-of-School Suspension")+SUMIFS(ES_3[LENGTH_EX_SU],ES_3[STN],ES_3[[#This Row],[STN]],ES_3[DISCIPLINE_TYPE],"Expulsion")</f>
        <v>4</v>
      </c>
      <c r="J118" s="1">
        <f>IF(ES_3[[#This Row],[Count Exp/Sus]]&gt;10,1,0)</f>
        <v>0</v>
      </c>
      <c r="K118" s="1">
        <f t="shared" si="1"/>
        <v>0</v>
      </c>
      <c r="L118" s="1">
        <f>IF(J118=1,IF(COUNTIFS($A$3:A118,A118,$J$3:J118,1)=1,A118&amp;"-included",0),0)</f>
        <v>0</v>
      </c>
      <c r="M118" s="1" cm="1">
        <f t="array" ref="M118">IF(ES_3[[#This Row],[Included Exp/Sus]]=1,IF(SUMPRODUCT((ES_3[STN]=ES_3[[#This Row],[STN]])*(ES_3[Included Exp/Sus]=1)*(ROW(ES_3[STN])&lt;=ROW()))=1,1,0),0)</f>
        <v>0</v>
      </c>
      <c r="N118" s="1" t="str">
        <f>_xlfn.XLOOKUP(ES_3[[#This Row],[STN]],SE_3[STN],SE_3[Ethnicity],"",0)</f>
        <v>Multiracial (two or more races)</v>
      </c>
    </row>
    <row r="119" spans="1:14" ht="14.45">
      <c r="A119" s="1">
        <v>541812029</v>
      </c>
      <c r="B119" s="1">
        <v>9</v>
      </c>
      <c r="C119" s="2">
        <v>2</v>
      </c>
      <c r="D119" s="1" t="s">
        <v>31</v>
      </c>
      <c r="E119" s="2">
        <v>15</v>
      </c>
      <c r="F119" s="1" t="s">
        <v>27</v>
      </c>
      <c r="G119" s="2">
        <v>1</v>
      </c>
      <c r="H119" s="1" t="s">
        <v>29</v>
      </c>
      <c r="I119" s="1">
        <f>SUMIFS(ES_3[LENGTH_EX_SU],ES_3[STN],ES_3[[#This Row],[STN]],ES_3[DISCIPLINE_TYPE],"Out-of-School Suspension")+SUMIFS(ES_3[LENGTH_EX_SU],ES_3[STN],ES_3[[#This Row],[STN]],ES_3[DISCIPLINE_TYPE],"Expulsion")</f>
        <v>4</v>
      </c>
      <c r="J119" s="1">
        <f>IF(ES_3[[#This Row],[Count Exp/Sus]]&gt;10,1,0)</f>
        <v>0</v>
      </c>
      <c r="K119" s="1">
        <f t="shared" si="1"/>
        <v>0</v>
      </c>
      <c r="L119" s="1">
        <f>IF(J119=1,IF(COUNTIFS($A$3:A119,A119,$J$3:J119,1)=1,A119&amp;"-included",0),0)</f>
        <v>0</v>
      </c>
      <c r="M119" s="1" cm="1">
        <f t="array" ref="M119">IF(ES_3[[#This Row],[Included Exp/Sus]]=1,IF(SUMPRODUCT((ES_3[STN]=ES_3[[#This Row],[STN]])*(ES_3[Included Exp/Sus]=1)*(ROW(ES_3[STN])&lt;=ROW()))=1,1,0),0)</f>
        <v>0</v>
      </c>
      <c r="N119" s="1" t="str">
        <f>_xlfn.XLOOKUP(ES_3[[#This Row],[STN]],SE_3[STN],SE_3[Ethnicity],"",0)</f>
        <v>Multiracial (two or more races)</v>
      </c>
    </row>
    <row r="120" spans="1:14" ht="14.45">
      <c r="A120" s="1">
        <v>541816048</v>
      </c>
      <c r="B120" s="1">
        <v>5</v>
      </c>
      <c r="C120" s="2">
        <v>2</v>
      </c>
      <c r="D120" s="1" t="s">
        <v>31</v>
      </c>
      <c r="E120" s="2">
        <v>11</v>
      </c>
      <c r="F120" s="1" t="s">
        <v>36</v>
      </c>
      <c r="G120" s="2">
        <v>1</v>
      </c>
      <c r="H120" s="1" t="s">
        <v>29</v>
      </c>
      <c r="I120" s="1">
        <f>SUMIFS(ES_3[LENGTH_EX_SU],ES_3[STN],ES_3[[#This Row],[STN]],ES_3[DISCIPLINE_TYPE],"Out-of-School Suspension")+SUMIFS(ES_3[LENGTH_EX_SU],ES_3[STN],ES_3[[#This Row],[STN]],ES_3[DISCIPLINE_TYPE],"Expulsion")</f>
        <v>1</v>
      </c>
      <c r="J120" s="1">
        <f>IF(ES_3[[#This Row],[Count Exp/Sus]]&gt;10,1,0)</f>
        <v>0</v>
      </c>
      <c r="K120" s="1">
        <f t="shared" si="1"/>
        <v>0</v>
      </c>
      <c r="L120" s="1">
        <f>IF(J120=1,IF(COUNTIFS($A$3:A120,A120,$J$3:J120,1)=1,A120&amp;"-included",0),0)</f>
        <v>0</v>
      </c>
      <c r="M120" s="1" cm="1">
        <f t="array" ref="M120">IF(ES_3[[#This Row],[Included Exp/Sus]]=1,IF(SUMPRODUCT((ES_3[STN]=ES_3[[#This Row],[STN]])*(ES_3[Included Exp/Sus]=1)*(ROW(ES_3[STN])&lt;=ROW()))=1,1,0),0)</f>
        <v>0</v>
      </c>
      <c r="N120" s="1" t="str">
        <f>_xlfn.XLOOKUP(ES_3[[#This Row],[STN]],SE_3[STN],SE_3[Ethnicity],"",0)</f>
        <v>Hispanic Ethnicity and of any race</v>
      </c>
    </row>
    <row r="121" spans="1:14" ht="14.45">
      <c r="A121" s="1">
        <v>541818107</v>
      </c>
      <c r="B121" s="1">
        <v>1</v>
      </c>
      <c r="C121" s="2">
        <v>2</v>
      </c>
      <c r="D121" s="1" t="s">
        <v>31</v>
      </c>
      <c r="E121" s="2">
        <v>11</v>
      </c>
      <c r="F121" s="1" t="s">
        <v>36</v>
      </c>
      <c r="G121" s="2">
        <v>1</v>
      </c>
      <c r="H121" s="1" t="s">
        <v>29</v>
      </c>
      <c r="I121" s="1">
        <f>SUMIFS(ES_3[LENGTH_EX_SU],ES_3[STN],ES_3[[#This Row],[STN]],ES_3[DISCIPLINE_TYPE],"Out-of-School Suspension")+SUMIFS(ES_3[LENGTH_EX_SU],ES_3[STN],ES_3[[#This Row],[STN]],ES_3[DISCIPLINE_TYPE],"Expulsion")</f>
        <v>2</v>
      </c>
      <c r="J121" s="1">
        <f>IF(ES_3[[#This Row],[Count Exp/Sus]]&gt;10,1,0)</f>
        <v>0</v>
      </c>
      <c r="K121" s="1">
        <f t="shared" si="1"/>
        <v>0</v>
      </c>
      <c r="L121" s="1">
        <f>IF(J121=1,IF(COUNTIFS($A$3:A121,A121,$J$3:J121,1)=1,A121&amp;"-included",0),0)</f>
        <v>0</v>
      </c>
      <c r="M121" s="1" cm="1">
        <f t="array" ref="M121">IF(ES_3[[#This Row],[Included Exp/Sus]]=1,IF(SUMPRODUCT((ES_3[STN]=ES_3[[#This Row],[STN]])*(ES_3[Included Exp/Sus]=1)*(ROW(ES_3[STN])&lt;=ROW()))=1,1,0),0)</f>
        <v>0</v>
      </c>
      <c r="N121" s="1" t="str">
        <f>_xlfn.XLOOKUP(ES_3[[#This Row],[STN]],SE_3[STN],SE_3[Ethnicity],"",0)</f>
        <v>White</v>
      </c>
    </row>
    <row r="122" spans="1:14" ht="14.45">
      <c r="A122" s="1">
        <v>541818107</v>
      </c>
      <c r="B122" s="1">
        <v>1</v>
      </c>
      <c r="C122" s="2">
        <v>2</v>
      </c>
      <c r="D122" s="1" t="s">
        <v>31</v>
      </c>
      <c r="E122" s="2">
        <v>15</v>
      </c>
      <c r="F122" s="1" t="s">
        <v>27</v>
      </c>
      <c r="G122" s="2">
        <v>1</v>
      </c>
      <c r="H122" s="1" t="s">
        <v>29</v>
      </c>
      <c r="I122" s="1">
        <f>SUMIFS(ES_3[LENGTH_EX_SU],ES_3[STN],ES_3[[#This Row],[STN]],ES_3[DISCIPLINE_TYPE],"Out-of-School Suspension")+SUMIFS(ES_3[LENGTH_EX_SU],ES_3[STN],ES_3[[#This Row],[STN]],ES_3[DISCIPLINE_TYPE],"Expulsion")</f>
        <v>2</v>
      </c>
      <c r="J122" s="1">
        <f>IF(ES_3[[#This Row],[Count Exp/Sus]]&gt;10,1,0)</f>
        <v>0</v>
      </c>
      <c r="K122" s="1">
        <f t="shared" si="1"/>
        <v>0</v>
      </c>
      <c r="L122" s="1">
        <f>IF(J122=1,IF(COUNTIFS($A$3:A122,A122,$J$3:J122,1)=1,A122&amp;"-included",0),0)</f>
        <v>0</v>
      </c>
      <c r="M122" s="1" cm="1">
        <f t="array" ref="M122">IF(ES_3[[#This Row],[Included Exp/Sus]]=1,IF(SUMPRODUCT((ES_3[STN]=ES_3[[#This Row],[STN]])*(ES_3[Included Exp/Sus]=1)*(ROW(ES_3[STN])&lt;=ROW()))=1,1,0),0)</f>
        <v>0</v>
      </c>
      <c r="N122" s="1" t="str">
        <f>_xlfn.XLOOKUP(ES_3[[#This Row],[STN]],SE_3[STN],SE_3[Ethnicity],"",0)</f>
        <v>White</v>
      </c>
    </row>
    <row r="123" spans="1:14" ht="14.45">
      <c r="A123" s="1">
        <v>542719001</v>
      </c>
      <c r="B123" s="1">
        <v>2</v>
      </c>
      <c r="C123" s="2">
        <v>2</v>
      </c>
      <c r="D123" s="1" t="s">
        <v>31</v>
      </c>
      <c r="E123" s="2">
        <v>11</v>
      </c>
      <c r="F123" s="1" t="s">
        <v>36</v>
      </c>
      <c r="G123" s="2">
        <v>1</v>
      </c>
      <c r="H123" s="1" t="s">
        <v>29</v>
      </c>
      <c r="I123" s="1">
        <f>SUMIFS(ES_3[LENGTH_EX_SU],ES_3[STN],ES_3[[#This Row],[STN]],ES_3[DISCIPLINE_TYPE],"Out-of-School Suspension")+SUMIFS(ES_3[LENGTH_EX_SU],ES_3[STN],ES_3[[#This Row],[STN]],ES_3[DISCIPLINE_TYPE],"Expulsion")</f>
        <v>1</v>
      </c>
      <c r="J123" s="1">
        <f>IF(ES_3[[#This Row],[Count Exp/Sus]]&gt;10,1,0)</f>
        <v>0</v>
      </c>
      <c r="K123" s="1">
        <f t="shared" si="1"/>
        <v>0</v>
      </c>
      <c r="L123" s="1">
        <f>IF(J123=1,IF(COUNTIFS($A$3:A123,A123,$J$3:J123,1)=1,A123&amp;"-included",0),0)</f>
        <v>0</v>
      </c>
      <c r="M123" s="1" cm="1">
        <f t="array" ref="M123">IF(ES_3[[#This Row],[Included Exp/Sus]]=1,IF(SUMPRODUCT((ES_3[STN]=ES_3[[#This Row],[STN]])*(ES_3[Included Exp/Sus]=1)*(ROW(ES_3[STN])&lt;=ROW()))=1,1,0),0)</f>
        <v>0</v>
      </c>
      <c r="N123" s="1" t="str">
        <f>_xlfn.XLOOKUP(ES_3[[#This Row],[STN]],SE_3[STN],SE_3[Ethnicity],"",0)</f>
        <v>White</v>
      </c>
    </row>
    <row r="124" spans="1:14" ht="14.45">
      <c r="A124" s="1">
        <v>543015043</v>
      </c>
      <c r="B124" s="1">
        <v>6</v>
      </c>
      <c r="C124" s="2">
        <v>1</v>
      </c>
      <c r="D124" s="1" t="s">
        <v>24</v>
      </c>
      <c r="E124" s="2">
        <v>10</v>
      </c>
      <c r="F124" s="1" t="s">
        <v>25</v>
      </c>
      <c r="G124" s="2">
        <v>1</v>
      </c>
      <c r="H124" s="1" t="s">
        <v>29</v>
      </c>
      <c r="I124" s="1">
        <f>SUMIFS(ES_3[LENGTH_EX_SU],ES_3[STN],ES_3[[#This Row],[STN]],ES_3[DISCIPLINE_TYPE],"Out-of-School Suspension")+SUMIFS(ES_3[LENGTH_EX_SU],ES_3[STN],ES_3[[#This Row],[STN]],ES_3[DISCIPLINE_TYPE],"Expulsion")</f>
        <v>0</v>
      </c>
      <c r="J124" s="1">
        <f>IF(ES_3[[#This Row],[Count Exp/Sus]]&gt;10,1,0)</f>
        <v>0</v>
      </c>
      <c r="K124" s="1">
        <f t="shared" si="1"/>
        <v>0</v>
      </c>
      <c r="L124" s="1">
        <f>IF(J124=1,IF(COUNTIFS($A$3:A124,A124,$J$3:J124,1)=1,A124&amp;"-included",0),0)</f>
        <v>0</v>
      </c>
      <c r="M124" s="1" cm="1">
        <f t="array" ref="M124">IF(ES_3[[#This Row],[Included Exp/Sus]]=1,IF(SUMPRODUCT((ES_3[STN]=ES_3[[#This Row],[STN]])*(ES_3[Included Exp/Sus]=1)*(ROW(ES_3[STN])&lt;=ROW()))=1,1,0),0)</f>
        <v>0</v>
      </c>
      <c r="N124" s="1" t="str">
        <f>_xlfn.XLOOKUP(ES_3[[#This Row],[STN]],SE_3[STN],SE_3[Ethnicity],"",0)</f>
        <v>Hispanic Ethnicity and of any race</v>
      </c>
    </row>
    <row r="125" spans="1:14" ht="14.45">
      <c r="A125" s="1">
        <v>543017005</v>
      </c>
      <c r="B125" s="1">
        <v>4</v>
      </c>
      <c r="C125" s="2">
        <v>2</v>
      </c>
      <c r="D125" s="1" t="s">
        <v>31</v>
      </c>
      <c r="E125" s="2">
        <v>11</v>
      </c>
      <c r="F125" s="1" t="s">
        <v>36</v>
      </c>
      <c r="G125" s="2">
        <v>1</v>
      </c>
      <c r="H125" s="1" t="s">
        <v>29</v>
      </c>
      <c r="I125" s="1">
        <f>SUMIFS(ES_3[LENGTH_EX_SU],ES_3[STN],ES_3[[#This Row],[STN]],ES_3[DISCIPLINE_TYPE],"Out-of-School Suspension")+SUMIFS(ES_3[LENGTH_EX_SU],ES_3[STN],ES_3[[#This Row],[STN]],ES_3[DISCIPLINE_TYPE],"Expulsion")</f>
        <v>1</v>
      </c>
      <c r="J125" s="1">
        <f>IF(ES_3[[#This Row],[Count Exp/Sus]]&gt;10,1,0)</f>
        <v>0</v>
      </c>
      <c r="K125" s="1">
        <f t="shared" si="1"/>
        <v>0</v>
      </c>
      <c r="L125" s="1">
        <f>IF(J125=1,IF(COUNTIFS($A$3:A125,A125,$J$3:J125,1)=1,A125&amp;"-included",0),0)</f>
        <v>0</v>
      </c>
      <c r="M125" s="1" cm="1">
        <f t="array" ref="M125">IF(ES_3[[#This Row],[Included Exp/Sus]]=1,IF(SUMPRODUCT((ES_3[STN]=ES_3[[#This Row],[STN]])*(ES_3[Included Exp/Sus]=1)*(ROW(ES_3[STN])&lt;=ROW()))=1,1,0),0)</f>
        <v>0</v>
      </c>
      <c r="N125" s="1" t="str">
        <f>_xlfn.XLOOKUP(ES_3[[#This Row],[STN]],SE_3[STN],SE_3[Ethnicity],"",0)</f>
        <v>White</v>
      </c>
    </row>
    <row r="126" spans="1:14" ht="14.45">
      <c r="A126" s="1">
        <v>543017055</v>
      </c>
      <c r="B126" s="1">
        <v>9</v>
      </c>
      <c r="C126" s="2">
        <v>2</v>
      </c>
      <c r="D126" s="1" t="s">
        <v>31</v>
      </c>
      <c r="E126" s="2">
        <v>10</v>
      </c>
      <c r="F126" s="1" t="s">
        <v>25</v>
      </c>
      <c r="G126" s="2">
        <v>2</v>
      </c>
      <c r="H126" s="1" t="s">
        <v>29</v>
      </c>
      <c r="I126" s="1">
        <f>SUMIFS(ES_3[LENGTH_EX_SU],ES_3[STN],ES_3[[#This Row],[STN]],ES_3[DISCIPLINE_TYPE],"Out-of-School Suspension")+SUMIFS(ES_3[LENGTH_EX_SU],ES_3[STN],ES_3[[#This Row],[STN]],ES_3[DISCIPLINE_TYPE],"Expulsion")</f>
        <v>2</v>
      </c>
      <c r="J126" s="1">
        <f>IF(ES_3[[#This Row],[Count Exp/Sus]]&gt;10,1,0)</f>
        <v>0</v>
      </c>
      <c r="K126" s="1">
        <f t="shared" si="1"/>
        <v>0</v>
      </c>
      <c r="L126" s="1">
        <f>IF(J126=1,IF(COUNTIFS($A$3:A126,A126,$J$3:J126,1)=1,A126&amp;"-included",0),0)</f>
        <v>0</v>
      </c>
      <c r="M126" s="1" cm="1">
        <f t="array" ref="M126">IF(ES_3[[#This Row],[Included Exp/Sus]]=1,IF(SUMPRODUCT((ES_3[STN]=ES_3[[#This Row],[STN]])*(ES_3[Included Exp/Sus]=1)*(ROW(ES_3[STN])&lt;=ROW()))=1,1,0),0)</f>
        <v>0</v>
      </c>
      <c r="N126" s="1" t="str">
        <f>_xlfn.XLOOKUP(ES_3[[#This Row],[STN]],SE_3[STN],SE_3[Ethnicity],"",0)</f>
        <v>White</v>
      </c>
    </row>
    <row r="127" spans="1:14" ht="14.45">
      <c r="A127" s="1">
        <v>543020013</v>
      </c>
      <c r="B127" s="1">
        <v>1</v>
      </c>
      <c r="C127" s="2">
        <v>2</v>
      </c>
      <c r="D127" s="1" t="s">
        <v>31</v>
      </c>
      <c r="E127" s="2">
        <v>12</v>
      </c>
      <c r="F127" s="1" t="s">
        <v>46</v>
      </c>
      <c r="G127" s="2">
        <v>3</v>
      </c>
      <c r="H127" s="1" t="s">
        <v>29</v>
      </c>
      <c r="I127" s="1">
        <f>SUMIFS(ES_3[LENGTH_EX_SU],ES_3[STN],ES_3[[#This Row],[STN]],ES_3[DISCIPLINE_TYPE],"Out-of-School Suspension")+SUMIFS(ES_3[LENGTH_EX_SU],ES_3[STN],ES_3[[#This Row],[STN]],ES_3[DISCIPLINE_TYPE],"Expulsion")</f>
        <v>6</v>
      </c>
      <c r="J127" s="1">
        <f>IF(ES_3[[#This Row],[Count Exp/Sus]]&gt;10,1,0)</f>
        <v>0</v>
      </c>
      <c r="K127" s="1">
        <f t="shared" si="1"/>
        <v>0</v>
      </c>
      <c r="L127" s="1">
        <f>IF(J127=1,IF(COUNTIFS($A$3:A127,A127,$J$3:J127,1)=1,A127&amp;"-included",0),0)</f>
        <v>0</v>
      </c>
      <c r="M127" s="1" cm="1">
        <f t="array" ref="M127">IF(ES_3[[#This Row],[Included Exp/Sus]]=1,IF(SUMPRODUCT((ES_3[STN]=ES_3[[#This Row],[STN]])*(ES_3[Included Exp/Sus]=1)*(ROW(ES_3[STN])&lt;=ROW()))=1,1,0),0)</f>
        <v>0</v>
      </c>
      <c r="N127" s="1" t="str">
        <f>_xlfn.XLOOKUP(ES_3[[#This Row],[STN]],SE_3[STN],SE_3[Ethnicity],"",0)</f>
        <v>Black - African American</v>
      </c>
    </row>
    <row r="128" spans="1:14" ht="14.45">
      <c r="A128" s="1">
        <v>543020013</v>
      </c>
      <c r="B128" s="1">
        <v>1</v>
      </c>
      <c r="C128" s="2">
        <v>2</v>
      </c>
      <c r="D128" s="1" t="s">
        <v>31</v>
      </c>
      <c r="E128" s="2">
        <v>12</v>
      </c>
      <c r="F128" s="1" t="s">
        <v>46</v>
      </c>
      <c r="G128" s="2">
        <v>2</v>
      </c>
      <c r="H128" s="1" t="s">
        <v>29</v>
      </c>
      <c r="I128" s="1">
        <f>SUMIFS(ES_3[LENGTH_EX_SU],ES_3[STN],ES_3[[#This Row],[STN]],ES_3[DISCIPLINE_TYPE],"Out-of-School Suspension")+SUMIFS(ES_3[LENGTH_EX_SU],ES_3[STN],ES_3[[#This Row],[STN]],ES_3[DISCIPLINE_TYPE],"Expulsion")</f>
        <v>6</v>
      </c>
      <c r="J128" s="1">
        <f>IF(ES_3[[#This Row],[Count Exp/Sus]]&gt;10,1,0)</f>
        <v>0</v>
      </c>
      <c r="K128" s="1">
        <f t="shared" si="1"/>
        <v>0</v>
      </c>
      <c r="L128" s="1">
        <f>IF(J128=1,IF(COUNTIFS($A$3:A128,A128,$J$3:J128,1)=1,A128&amp;"-included",0),0)</f>
        <v>0</v>
      </c>
      <c r="M128" s="1" cm="1">
        <f t="array" ref="M128">IF(ES_3[[#This Row],[Included Exp/Sus]]=1,IF(SUMPRODUCT((ES_3[STN]=ES_3[[#This Row],[STN]])*(ES_3[Included Exp/Sus]=1)*(ROW(ES_3[STN])&lt;=ROW()))=1,1,0),0)</f>
        <v>0</v>
      </c>
      <c r="N128" s="1" t="str">
        <f>_xlfn.XLOOKUP(ES_3[[#This Row],[STN]],SE_3[STN],SE_3[Ethnicity],"",0)</f>
        <v>Black - African American</v>
      </c>
    </row>
    <row r="129" spans="1:14" ht="14.45">
      <c r="A129" s="1">
        <v>543020013</v>
      </c>
      <c r="B129" s="1">
        <v>1</v>
      </c>
      <c r="C129" s="2">
        <v>2</v>
      </c>
      <c r="D129" s="1" t="s">
        <v>31</v>
      </c>
      <c r="E129" s="2">
        <v>12</v>
      </c>
      <c r="F129" s="1" t="s">
        <v>46</v>
      </c>
      <c r="G129" s="2">
        <v>1</v>
      </c>
      <c r="H129" s="1" t="s">
        <v>29</v>
      </c>
      <c r="I129" s="1">
        <f>SUMIFS(ES_3[LENGTH_EX_SU],ES_3[STN],ES_3[[#This Row],[STN]],ES_3[DISCIPLINE_TYPE],"Out-of-School Suspension")+SUMIFS(ES_3[LENGTH_EX_SU],ES_3[STN],ES_3[[#This Row],[STN]],ES_3[DISCIPLINE_TYPE],"Expulsion")</f>
        <v>6</v>
      </c>
      <c r="J129" s="1">
        <f>IF(ES_3[[#This Row],[Count Exp/Sus]]&gt;10,1,0)</f>
        <v>0</v>
      </c>
      <c r="K129" s="1">
        <f t="shared" si="1"/>
        <v>0</v>
      </c>
      <c r="L129" s="1">
        <f>IF(J129=1,IF(COUNTIFS($A$3:A129,A129,$J$3:J129,1)=1,A129&amp;"-included",0),0)</f>
        <v>0</v>
      </c>
      <c r="M129" s="1" cm="1">
        <f t="array" ref="M129">IF(ES_3[[#This Row],[Included Exp/Sus]]=1,IF(SUMPRODUCT((ES_3[STN]=ES_3[[#This Row],[STN]])*(ES_3[Included Exp/Sus]=1)*(ROW(ES_3[STN])&lt;=ROW()))=1,1,0),0)</f>
        <v>0</v>
      </c>
      <c r="N129" s="1" t="str">
        <f>_xlfn.XLOOKUP(ES_3[[#This Row],[STN]],SE_3[STN],SE_3[Ethnicity],"",0)</f>
        <v>Black - African American</v>
      </c>
    </row>
    <row r="130" spans="1:14" ht="14.45">
      <c r="A130" s="1">
        <v>543020052</v>
      </c>
      <c r="B130" s="1">
        <v>4</v>
      </c>
      <c r="C130" s="2">
        <v>2</v>
      </c>
      <c r="D130" s="1" t="s">
        <v>31</v>
      </c>
      <c r="E130" s="2">
        <v>11</v>
      </c>
      <c r="F130" s="1" t="s">
        <v>36</v>
      </c>
      <c r="G130" s="2">
        <v>2</v>
      </c>
      <c r="H130" s="1" t="s">
        <v>29</v>
      </c>
      <c r="I130" s="1">
        <f>SUMIFS(ES_3[LENGTH_EX_SU],ES_3[STN],ES_3[[#This Row],[STN]],ES_3[DISCIPLINE_TYPE],"Out-of-School Suspension")+SUMIFS(ES_3[LENGTH_EX_SU],ES_3[STN],ES_3[[#This Row],[STN]],ES_3[DISCIPLINE_TYPE],"Expulsion")</f>
        <v>2</v>
      </c>
      <c r="J130" s="1">
        <f>IF(ES_3[[#This Row],[Count Exp/Sus]]&gt;10,1,0)</f>
        <v>0</v>
      </c>
      <c r="K130" s="1">
        <f t="shared" si="1"/>
        <v>0</v>
      </c>
      <c r="L130" s="1">
        <f>IF(J130=1,IF(COUNTIFS($A$3:A130,A130,$J$3:J130,1)=1,A130&amp;"-included",0),0)</f>
        <v>0</v>
      </c>
      <c r="M130" s="1" cm="1">
        <f t="array" ref="M130">IF(ES_3[[#This Row],[Included Exp/Sus]]=1,IF(SUMPRODUCT((ES_3[STN]=ES_3[[#This Row],[STN]])*(ES_3[Included Exp/Sus]=1)*(ROW(ES_3[STN])&lt;=ROW()))=1,1,0),0)</f>
        <v>0</v>
      </c>
      <c r="N130" s="1" t="str">
        <f>_xlfn.XLOOKUP(ES_3[[#This Row],[STN]],SE_3[STN],SE_3[Ethnicity],"",0)</f>
        <v>White</v>
      </c>
    </row>
    <row r="131" spans="1:14" ht="14.45">
      <c r="A131" s="1">
        <v>543612103</v>
      </c>
      <c r="B131" s="1">
        <v>9</v>
      </c>
      <c r="C131" s="2">
        <v>2</v>
      </c>
      <c r="D131" s="1" t="s">
        <v>31</v>
      </c>
      <c r="E131" s="2">
        <v>11</v>
      </c>
      <c r="F131" s="1" t="s">
        <v>36</v>
      </c>
      <c r="G131" s="2">
        <v>10</v>
      </c>
      <c r="H131" s="1" t="s">
        <v>29</v>
      </c>
      <c r="I131" s="1">
        <f>SUMIFS(ES_3[LENGTH_EX_SU],ES_3[STN],ES_3[[#This Row],[STN]],ES_3[DISCIPLINE_TYPE],"Out-of-School Suspension")+SUMIFS(ES_3[LENGTH_EX_SU],ES_3[STN],ES_3[[#This Row],[STN]],ES_3[DISCIPLINE_TYPE],"Expulsion")</f>
        <v>10</v>
      </c>
      <c r="J131" s="1">
        <f>IF(ES_3[[#This Row],[Count Exp/Sus]]&gt;10,1,0)</f>
        <v>0</v>
      </c>
      <c r="K131" s="1">
        <f t="shared" ref="K131:K194" si="2">IF(J131=1,A131&amp;"-included",0)</f>
        <v>0</v>
      </c>
      <c r="L131" s="1">
        <f>IF(J131=1,IF(COUNTIFS($A$3:A131,A131,$J$3:J131,1)=1,A131&amp;"-included",0),0)</f>
        <v>0</v>
      </c>
      <c r="M131" s="1" cm="1">
        <f t="array" ref="M131">IF(ES_3[[#This Row],[Included Exp/Sus]]=1,IF(SUMPRODUCT((ES_3[STN]=ES_3[[#This Row],[STN]])*(ES_3[Included Exp/Sus]=1)*(ROW(ES_3[STN])&lt;=ROW()))=1,1,0),0)</f>
        <v>0</v>
      </c>
      <c r="N131" s="1" t="str">
        <f>_xlfn.XLOOKUP(ES_3[[#This Row],[STN]],SE_3[STN],SE_3[Ethnicity],"",0)</f>
        <v>White</v>
      </c>
    </row>
    <row r="132" spans="1:14" ht="14.45">
      <c r="A132" s="1">
        <v>543615080</v>
      </c>
      <c r="B132" s="1">
        <v>6</v>
      </c>
      <c r="C132" s="2">
        <v>1</v>
      </c>
      <c r="D132" s="1" t="s">
        <v>24</v>
      </c>
      <c r="E132" s="2">
        <v>10</v>
      </c>
      <c r="F132" s="1" t="s">
        <v>25</v>
      </c>
      <c r="G132" s="2">
        <v>1</v>
      </c>
      <c r="H132" s="1" t="s">
        <v>29</v>
      </c>
      <c r="I132" s="1">
        <f>SUMIFS(ES_3[LENGTH_EX_SU],ES_3[STN],ES_3[[#This Row],[STN]],ES_3[DISCIPLINE_TYPE],"Out-of-School Suspension")+SUMIFS(ES_3[LENGTH_EX_SU],ES_3[STN],ES_3[[#This Row],[STN]],ES_3[DISCIPLINE_TYPE],"Expulsion")</f>
        <v>0</v>
      </c>
      <c r="J132" s="1">
        <f>IF(ES_3[[#This Row],[Count Exp/Sus]]&gt;10,1,0)</f>
        <v>0</v>
      </c>
      <c r="K132" s="1">
        <f t="shared" si="2"/>
        <v>0</v>
      </c>
      <c r="L132" s="1">
        <f>IF(J132=1,IF(COUNTIFS($A$3:A132,A132,$J$3:J132,1)=1,A132&amp;"-included",0),0)</f>
        <v>0</v>
      </c>
      <c r="M132" s="1" cm="1">
        <f t="array" ref="M132">IF(ES_3[[#This Row],[Included Exp/Sus]]=1,IF(SUMPRODUCT((ES_3[STN]=ES_3[[#This Row],[STN]])*(ES_3[Included Exp/Sus]=1)*(ROW(ES_3[STN])&lt;=ROW()))=1,1,0),0)</f>
        <v>0</v>
      </c>
      <c r="N132" s="1" t="str">
        <f>_xlfn.XLOOKUP(ES_3[[#This Row],[STN]],SE_3[STN],SE_3[Ethnicity],"",0)</f>
        <v>White</v>
      </c>
    </row>
    <row r="133" spans="1:14" ht="14.45">
      <c r="A133" s="1">
        <v>543616042</v>
      </c>
      <c r="B133" s="1">
        <v>5</v>
      </c>
      <c r="C133" s="2">
        <v>2</v>
      </c>
      <c r="D133" s="1" t="s">
        <v>31</v>
      </c>
      <c r="E133" s="2">
        <v>11</v>
      </c>
      <c r="F133" s="1" t="s">
        <v>36</v>
      </c>
      <c r="G133" s="2">
        <v>23</v>
      </c>
      <c r="H133" s="1" t="s">
        <v>26</v>
      </c>
      <c r="I133" s="1">
        <f>SUMIFS(ES_3[LENGTH_EX_SU],ES_3[STN],ES_3[[#This Row],[STN]],ES_3[DISCIPLINE_TYPE],"Out-of-School Suspension")+SUMIFS(ES_3[LENGTH_EX_SU],ES_3[STN],ES_3[[#This Row],[STN]],ES_3[DISCIPLINE_TYPE],"Expulsion")</f>
        <v>34</v>
      </c>
      <c r="J133" s="1">
        <f>IF(ES_3[[#This Row],[Count Exp/Sus]]&gt;10,1,0)</f>
        <v>1</v>
      </c>
      <c r="K133" s="1" t="str">
        <f t="shared" si="2"/>
        <v>543616042-included</v>
      </c>
      <c r="L133" s="1" t="str">
        <f>IF(J133=1,IF(COUNTIFS($A$3:A133,A133,$J$3:J133,1)=1,A133&amp;"-included",0),0)</f>
        <v>543616042-included</v>
      </c>
      <c r="M133" s="1" cm="1">
        <f t="array" ref="M133">IF(ES_3[[#This Row],[Included Exp/Sus]]=1,IF(SUMPRODUCT((ES_3[STN]=ES_3[[#This Row],[STN]])*(ES_3[Included Exp/Sus]=1)*(ROW(ES_3[STN])&lt;=ROW()))=1,1,0),0)</f>
        <v>1</v>
      </c>
      <c r="N133" s="1" t="str">
        <f>_xlfn.XLOOKUP(ES_3[[#This Row],[STN]],SE_3[STN],SE_3[Ethnicity],"",0)</f>
        <v>White</v>
      </c>
    </row>
    <row r="134" spans="1:14" ht="14.45">
      <c r="A134" s="1">
        <v>544410051</v>
      </c>
      <c r="B134" s="1">
        <v>10</v>
      </c>
      <c r="C134" s="2">
        <v>3</v>
      </c>
      <c r="D134" s="1" t="s">
        <v>35</v>
      </c>
      <c r="E134" s="2">
        <v>11</v>
      </c>
      <c r="F134" s="1" t="s">
        <v>36</v>
      </c>
      <c r="G134" s="2">
        <v>19</v>
      </c>
      <c r="H134" s="1" t="s">
        <v>29</v>
      </c>
      <c r="I134" s="1">
        <f>SUMIFS(ES_3[LENGTH_EX_SU],ES_3[STN],ES_3[[#This Row],[STN]],ES_3[DISCIPLINE_TYPE],"Out-of-School Suspension")+SUMIFS(ES_3[LENGTH_EX_SU],ES_3[STN],ES_3[[#This Row],[STN]],ES_3[DISCIPLINE_TYPE],"Expulsion")</f>
        <v>19</v>
      </c>
      <c r="J134" s="1">
        <f>IF(ES_3[[#This Row],[Count Exp/Sus]]&gt;10,1,0)</f>
        <v>1</v>
      </c>
      <c r="K134" s="1" t="str">
        <f t="shared" si="2"/>
        <v>544410051-included</v>
      </c>
      <c r="L134" s="1" t="str">
        <f>IF(J134=1,IF(COUNTIFS($A$3:A134,A134,$J$3:J134,1)=1,A134&amp;"-included",0),0)</f>
        <v>544410051-included</v>
      </c>
      <c r="M134" s="1" cm="1">
        <f t="array" ref="M134">IF(ES_3[[#This Row],[Included Exp/Sus]]=1,IF(SUMPRODUCT((ES_3[STN]=ES_3[[#This Row],[STN]])*(ES_3[Included Exp/Sus]=1)*(ROW(ES_3[STN])&lt;=ROW()))=1,1,0),0)</f>
        <v>1</v>
      </c>
      <c r="N134" s="1" t="str">
        <f>_xlfn.XLOOKUP(ES_3[[#This Row],[STN]],SE_3[STN],SE_3[Ethnicity],"",0)</f>
        <v>White</v>
      </c>
    </row>
    <row r="135" spans="1:14" ht="14.45">
      <c r="A135" s="1">
        <v>649111043</v>
      </c>
      <c r="B135" s="1">
        <v>9</v>
      </c>
      <c r="C135" s="2">
        <v>2</v>
      </c>
      <c r="D135" s="1" t="s">
        <v>31</v>
      </c>
      <c r="E135" s="2">
        <v>18</v>
      </c>
      <c r="F135" s="1" t="s">
        <v>38</v>
      </c>
      <c r="G135" s="2">
        <v>3</v>
      </c>
      <c r="H135" s="1" t="s">
        <v>26</v>
      </c>
      <c r="I135" s="1">
        <f>SUMIFS(ES_3[LENGTH_EX_SU],ES_3[STN],ES_3[[#This Row],[STN]],ES_3[DISCIPLINE_TYPE],"Out-of-School Suspension")+SUMIFS(ES_3[LENGTH_EX_SU],ES_3[STN],ES_3[[#This Row],[STN]],ES_3[DISCIPLINE_TYPE],"Expulsion")</f>
        <v>3</v>
      </c>
      <c r="J135" s="1">
        <f>IF(ES_3[[#This Row],[Count Exp/Sus]]&gt;10,1,0)</f>
        <v>0</v>
      </c>
      <c r="K135" s="1">
        <f t="shared" si="2"/>
        <v>0</v>
      </c>
      <c r="L135" s="1">
        <f>IF(J135=1,IF(COUNTIFS($A$3:A135,A135,$J$3:J135,1)=1,A135&amp;"-included",0),0)</f>
        <v>0</v>
      </c>
      <c r="M135" s="1" cm="1">
        <f t="array" ref="M135">IF(ES_3[[#This Row],[Included Exp/Sus]]=1,IF(SUMPRODUCT((ES_3[STN]=ES_3[[#This Row],[STN]])*(ES_3[Included Exp/Sus]=1)*(ROW(ES_3[STN])&lt;=ROW()))=1,1,0),0)</f>
        <v>0</v>
      </c>
      <c r="N135" s="1" t="str">
        <f>_xlfn.XLOOKUP(ES_3[[#This Row],[STN]],SE_3[STN],SE_3[Ethnicity],"",0)</f>
        <v>White</v>
      </c>
    </row>
    <row r="136" spans="1:14" ht="14.45">
      <c r="A136" s="1">
        <v>651010142</v>
      </c>
      <c r="B136" s="1">
        <v>10</v>
      </c>
      <c r="C136" s="2">
        <v>2</v>
      </c>
      <c r="D136" s="1" t="s">
        <v>31</v>
      </c>
      <c r="E136" s="2">
        <v>11</v>
      </c>
      <c r="F136" s="1" t="s">
        <v>36</v>
      </c>
      <c r="G136" s="2">
        <v>5</v>
      </c>
      <c r="H136" s="1" t="s">
        <v>29</v>
      </c>
      <c r="I136" s="1">
        <f>SUMIFS(ES_3[LENGTH_EX_SU],ES_3[STN],ES_3[[#This Row],[STN]],ES_3[DISCIPLINE_TYPE],"Out-of-School Suspension")+SUMIFS(ES_3[LENGTH_EX_SU],ES_3[STN],ES_3[[#This Row],[STN]],ES_3[DISCIPLINE_TYPE],"Expulsion")</f>
        <v>5</v>
      </c>
      <c r="J136" s="1">
        <f>IF(ES_3[[#This Row],[Count Exp/Sus]]&gt;10,1,0)</f>
        <v>0</v>
      </c>
      <c r="K136" s="1">
        <f t="shared" si="2"/>
        <v>0</v>
      </c>
      <c r="L136" s="1">
        <f>IF(J136=1,IF(COUNTIFS($A$3:A136,A136,$J$3:J136,1)=1,A136&amp;"-included",0),0)</f>
        <v>0</v>
      </c>
      <c r="M136" s="1" cm="1">
        <f t="array" ref="M136">IF(ES_3[[#This Row],[Included Exp/Sus]]=1,IF(SUMPRODUCT((ES_3[STN]=ES_3[[#This Row],[STN]])*(ES_3[Included Exp/Sus]=1)*(ROW(ES_3[STN])&lt;=ROW()))=1,1,0),0)</f>
        <v>0</v>
      </c>
      <c r="N136" s="1" t="str">
        <f>_xlfn.XLOOKUP(ES_3[[#This Row],[STN]],SE_3[STN],SE_3[Ethnicity],"",0)</f>
        <v>White</v>
      </c>
    </row>
    <row r="137" spans="1:14" ht="14.45">
      <c r="A137" s="1">
        <v>651104304</v>
      </c>
      <c r="B137" s="1">
        <v>3</v>
      </c>
      <c r="C137" s="2">
        <v>2</v>
      </c>
      <c r="D137" s="1" t="s">
        <v>31</v>
      </c>
      <c r="E137" s="2">
        <v>10</v>
      </c>
      <c r="F137" s="1" t="s">
        <v>25</v>
      </c>
      <c r="G137" s="2">
        <v>1</v>
      </c>
      <c r="H137" s="1" t="s">
        <v>26</v>
      </c>
      <c r="I137" s="1">
        <f>SUMIFS(ES_3[LENGTH_EX_SU],ES_3[STN],ES_3[[#This Row],[STN]],ES_3[DISCIPLINE_TYPE],"Out-of-School Suspension")+SUMIFS(ES_3[LENGTH_EX_SU],ES_3[STN],ES_3[[#This Row],[STN]],ES_3[DISCIPLINE_TYPE],"Expulsion")</f>
        <v>2</v>
      </c>
      <c r="J137" s="1">
        <f>IF(ES_3[[#This Row],[Count Exp/Sus]]&gt;10,1,0)</f>
        <v>0</v>
      </c>
      <c r="K137" s="1">
        <f t="shared" si="2"/>
        <v>0</v>
      </c>
      <c r="L137" s="1">
        <f>IF(J137=1,IF(COUNTIFS($A$3:A137,A137,$J$3:J137,1)=1,A137&amp;"-included",0),0)</f>
        <v>0</v>
      </c>
      <c r="M137" s="1" cm="1">
        <f t="array" ref="M137">IF(ES_3[[#This Row],[Included Exp/Sus]]=1,IF(SUMPRODUCT((ES_3[STN]=ES_3[[#This Row],[STN]])*(ES_3[Included Exp/Sus]=1)*(ROW(ES_3[STN])&lt;=ROW()))=1,1,0),0)</f>
        <v>0</v>
      </c>
      <c r="N137" s="1" t="str">
        <f>_xlfn.XLOOKUP(ES_3[[#This Row],[STN]],SE_3[STN],SE_3[Ethnicity],"",0)</f>
        <v>Multiracial (two or more races)</v>
      </c>
    </row>
    <row r="138" spans="1:14" ht="14.45">
      <c r="A138" s="1">
        <v>651104304</v>
      </c>
      <c r="B138" s="1">
        <v>1</v>
      </c>
      <c r="C138" s="2">
        <v>2</v>
      </c>
      <c r="D138" s="1" t="s">
        <v>31</v>
      </c>
      <c r="E138" s="2">
        <v>10</v>
      </c>
      <c r="F138" s="1" t="s">
        <v>25</v>
      </c>
      <c r="G138" s="2">
        <v>1</v>
      </c>
      <c r="H138" s="1" t="s">
        <v>26</v>
      </c>
      <c r="I138" s="1">
        <f>SUMIFS(ES_3[LENGTH_EX_SU],ES_3[STN],ES_3[[#This Row],[STN]],ES_3[DISCIPLINE_TYPE],"Out-of-School Suspension")+SUMIFS(ES_3[LENGTH_EX_SU],ES_3[STN],ES_3[[#This Row],[STN]],ES_3[DISCIPLINE_TYPE],"Expulsion")</f>
        <v>2</v>
      </c>
      <c r="J138" s="1">
        <f>IF(ES_3[[#This Row],[Count Exp/Sus]]&gt;10,1,0)</f>
        <v>0</v>
      </c>
      <c r="K138" s="1">
        <f t="shared" si="2"/>
        <v>0</v>
      </c>
      <c r="L138" s="1">
        <f>IF(J138=1,IF(COUNTIFS($A$3:A138,A138,$J$3:J138,1)=1,A138&amp;"-included",0),0)</f>
        <v>0</v>
      </c>
      <c r="M138" s="1" cm="1">
        <f t="array" ref="M138">IF(ES_3[[#This Row],[Included Exp/Sus]]=1,IF(SUMPRODUCT((ES_3[STN]=ES_3[[#This Row],[STN]])*(ES_3[Included Exp/Sus]=1)*(ROW(ES_3[STN])&lt;=ROW()))=1,1,0),0)</f>
        <v>0</v>
      </c>
      <c r="N138" s="1" t="str">
        <f>_xlfn.XLOOKUP(ES_3[[#This Row],[STN]],SE_3[STN],SE_3[Ethnicity],"",0)</f>
        <v>Multiracial (two or more races)</v>
      </c>
    </row>
    <row r="139" spans="1:14" ht="14.45">
      <c r="A139" s="1">
        <v>651104348</v>
      </c>
      <c r="B139" s="1">
        <v>2</v>
      </c>
      <c r="C139" s="2">
        <v>2</v>
      </c>
      <c r="D139" s="1" t="s">
        <v>31</v>
      </c>
      <c r="E139" s="2">
        <v>30</v>
      </c>
      <c r="F139" s="1" t="s">
        <v>44</v>
      </c>
      <c r="G139" s="2">
        <v>1</v>
      </c>
      <c r="H139" s="1" t="s">
        <v>29</v>
      </c>
      <c r="I139" s="1">
        <f>SUMIFS(ES_3[LENGTH_EX_SU],ES_3[STN],ES_3[[#This Row],[STN]],ES_3[DISCIPLINE_TYPE],"Out-of-School Suspension")+SUMIFS(ES_3[LENGTH_EX_SU],ES_3[STN],ES_3[[#This Row],[STN]],ES_3[DISCIPLINE_TYPE],"Expulsion")</f>
        <v>4</v>
      </c>
      <c r="J139" s="1">
        <f>IF(ES_3[[#This Row],[Count Exp/Sus]]&gt;10,1,0)</f>
        <v>0</v>
      </c>
      <c r="K139" s="1">
        <f t="shared" si="2"/>
        <v>0</v>
      </c>
      <c r="L139" s="1">
        <f>IF(J139=1,IF(COUNTIFS($A$3:A139,A139,$J$3:J139,1)=1,A139&amp;"-included",0),0)</f>
        <v>0</v>
      </c>
      <c r="M139" s="1" cm="1">
        <f t="array" ref="M139">IF(ES_3[[#This Row],[Included Exp/Sus]]=1,IF(SUMPRODUCT((ES_3[STN]=ES_3[[#This Row],[STN]])*(ES_3[Included Exp/Sus]=1)*(ROW(ES_3[STN])&lt;=ROW()))=1,1,0),0)</f>
        <v>0</v>
      </c>
      <c r="N139" s="1" t="str">
        <f>_xlfn.XLOOKUP(ES_3[[#This Row],[STN]],SE_3[STN],SE_3[Ethnicity],"",0)</f>
        <v>White</v>
      </c>
    </row>
    <row r="140" spans="1:14" ht="14.45">
      <c r="A140" s="1">
        <v>651104348</v>
      </c>
      <c r="B140" s="1">
        <v>2</v>
      </c>
      <c r="C140" s="2">
        <v>2</v>
      </c>
      <c r="D140" s="1" t="s">
        <v>31</v>
      </c>
      <c r="E140" s="2">
        <v>30</v>
      </c>
      <c r="F140" s="1" t="s">
        <v>44</v>
      </c>
      <c r="G140" s="2">
        <v>3</v>
      </c>
      <c r="H140" s="1" t="s">
        <v>29</v>
      </c>
      <c r="I140" s="1">
        <f>SUMIFS(ES_3[LENGTH_EX_SU],ES_3[STN],ES_3[[#This Row],[STN]],ES_3[DISCIPLINE_TYPE],"Out-of-School Suspension")+SUMIFS(ES_3[LENGTH_EX_SU],ES_3[STN],ES_3[[#This Row],[STN]],ES_3[DISCIPLINE_TYPE],"Expulsion")</f>
        <v>4</v>
      </c>
      <c r="J140" s="1">
        <f>IF(ES_3[[#This Row],[Count Exp/Sus]]&gt;10,1,0)</f>
        <v>0</v>
      </c>
      <c r="K140" s="1">
        <f t="shared" si="2"/>
        <v>0</v>
      </c>
      <c r="L140" s="1">
        <f>IF(J140=1,IF(COUNTIFS($A$3:A140,A140,$J$3:J140,1)=1,A140&amp;"-included",0),0)</f>
        <v>0</v>
      </c>
      <c r="M140" s="1" cm="1">
        <f t="array" ref="M140">IF(ES_3[[#This Row],[Included Exp/Sus]]=1,IF(SUMPRODUCT((ES_3[STN]=ES_3[[#This Row],[STN]])*(ES_3[Included Exp/Sus]=1)*(ROW(ES_3[STN])&lt;=ROW()))=1,1,0),0)</f>
        <v>0</v>
      </c>
      <c r="N140" s="1" t="str">
        <f>_xlfn.XLOOKUP(ES_3[[#This Row],[STN]],SE_3[STN],SE_3[Ethnicity],"",0)</f>
        <v>White</v>
      </c>
    </row>
    <row r="141" spans="1:14" ht="14.45">
      <c r="A141" s="1">
        <v>651105002</v>
      </c>
      <c r="B141" s="1">
        <v>5</v>
      </c>
      <c r="C141" s="2">
        <v>2</v>
      </c>
      <c r="D141" s="1" t="s">
        <v>31</v>
      </c>
      <c r="E141" s="2">
        <v>32</v>
      </c>
      <c r="F141" s="1" t="s">
        <v>48</v>
      </c>
      <c r="G141" s="2">
        <v>1</v>
      </c>
      <c r="H141" s="1" t="s">
        <v>29</v>
      </c>
      <c r="I141" s="1">
        <f>SUMIFS(ES_3[LENGTH_EX_SU],ES_3[STN],ES_3[[#This Row],[STN]],ES_3[DISCIPLINE_TYPE],"Out-of-School Suspension")+SUMIFS(ES_3[LENGTH_EX_SU],ES_3[STN],ES_3[[#This Row],[STN]],ES_3[DISCIPLINE_TYPE],"Expulsion")</f>
        <v>1</v>
      </c>
      <c r="J141" s="1">
        <f>IF(ES_3[[#This Row],[Count Exp/Sus]]&gt;10,1,0)</f>
        <v>0</v>
      </c>
      <c r="K141" s="1">
        <f t="shared" si="2"/>
        <v>0</v>
      </c>
      <c r="L141" s="1">
        <f>IF(J141=1,IF(COUNTIFS($A$3:A141,A141,$J$3:J141,1)=1,A141&amp;"-included",0),0)</f>
        <v>0</v>
      </c>
      <c r="M141" s="1" cm="1">
        <f t="array" ref="M141">IF(ES_3[[#This Row],[Included Exp/Sus]]=1,IF(SUMPRODUCT((ES_3[STN]=ES_3[[#This Row],[STN]])*(ES_3[Included Exp/Sus]=1)*(ROW(ES_3[STN])&lt;=ROW()))=1,1,0),0)</f>
        <v>0</v>
      </c>
      <c r="N141" s="1" t="str">
        <f>_xlfn.XLOOKUP(ES_3[[#This Row],[STN]],SE_3[STN],SE_3[Ethnicity],"",0)</f>
        <v>White</v>
      </c>
    </row>
    <row r="142" spans="1:14" ht="14.45">
      <c r="A142" s="1">
        <v>657708109</v>
      </c>
      <c r="B142" s="1">
        <v>12</v>
      </c>
      <c r="C142" s="2">
        <v>1</v>
      </c>
      <c r="D142" s="1" t="s">
        <v>24</v>
      </c>
      <c r="E142" s="2">
        <v>16</v>
      </c>
      <c r="F142" s="1" t="s">
        <v>28</v>
      </c>
      <c r="G142" s="2">
        <v>1</v>
      </c>
      <c r="H142" s="1" t="s">
        <v>29</v>
      </c>
      <c r="I142" s="1">
        <f>SUMIFS(ES_3[LENGTH_EX_SU],ES_3[STN],ES_3[[#This Row],[STN]],ES_3[DISCIPLINE_TYPE],"Out-of-School Suspension")+SUMIFS(ES_3[LENGTH_EX_SU],ES_3[STN],ES_3[[#This Row],[STN]],ES_3[DISCIPLINE_TYPE],"Expulsion")</f>
        <v>0</v>
      </c>
      <c r="J142" s="1">
        <f>IF(ES_3[[#This Row],[Count Exp/Sus]]&gt;10,1,0)</f>
        <v>0</v>
      </c>
      <c r="K142" s="1">
        <f t="shared" si="2"/>
        <v>0</v>
      </c>
      <c r="L142" s="1">
        <f>IF(J142=1,IF(COUNTIFS($A$3:A142,A142,$J$3:J142,1)=1,A142&amp;"-included",0),0)</f>
        <v>0</v>
      </c>
      <c r="M142" s="1" cm="1">
        <f t="array" ref="M142">IF(ES_3[[#This Row],[Included Exp/Sus]]=1,IF(SUMPRODUCT((ES_3[STN]=ES_3[[#This Row],[STN]])*(ES_3[Included Exp/Sus]=1)*(ROW(ES_3[STN])&lt;=ROW()))=1,1,0),0)</f>
        <v>0</v>
      </c>
      <c r="N142" s="1" t="str">
        <f>_xlfn.XLOOKUP(ES_3[[#This Row],[STN]],SE_3[STN],SE_3[Ethnicity],"",0)</f>
        <v>Hispanic Ethnicity and of any race</v>
      </c>
    </row>
    <row r="143" spans="1:14" ht="14.45">
      <c r="A143" s="1">
        <v>657711202</v>
      </c>
      <c r="B143" s="1">
        <v>10</v>
      </c>
      <c r="C143" s="2">
        <v>1</v>
      </c>
      <c r="D143" s="1" t="s">
        <v>24</v>
      </c>
      <c r="E143" s="2">
        <v>7</v>
      </c>
      <c r="F143" s="1" t="s">
        <v>30</v>
      </c>
      <c r="G143" s="2">
        <v>2</v>
      </c>
      <c r="H143" s="1" t="s">
        <v>26</v>
      </c>
      <c r="I143" s="1">
        <f>SUMIFS(ES_3[LENGTH_EX_SU],ES_3[STN],ES_3[[#This Row],[STN]],ES_3[DISCIPLINE_TYPE],"Out-of-School Suspension")+SUMIFS(ES_3[LENGTH_EX_SU],ES_3[STN],ES_3[[#This Row],[STN]],ES_3[DISCIPLINE_TYPE],"Expulsion")</f>
        <v>0</v>
      </c>
      <c r="J143" s="1">
        <f>IF(ES_3[[#This Row],[Count Exp/Sus]]&gt;10,1,0)</f>
        <v>0</v>
      </c>
      <c r="K143" s="1">
        <f t="shared" si="2"/>
        <v>0</v>
      </c>
      <c r="L143" s="1">
        <f>IF(J143=1,IF(COUNTIFS($A$3:A143,A143,$J$3:J143,1)=1,A143&amp;"-included",0),0)</f>
        <v>0</v>
      </c>
      <c r="M143" s="1" cm="1">
        <f t="array" ref="M143">IF(ES_3[[#This Row],[Included Exp/Sus]]=1,IF(SUMPRODUCT((ES_3[STN]=ES_3[[#This Row],[STN]])*(ES_3[Included Exp/Sus]=1)*(ROW(ES_3[STN])&lt;=ROW()))=1,1,0),0)</f>
        <v>0</v>
      </c>
      <c r="N143" s="1" t="str">
        <f>_xlfn.XLOOKUP(ES_3[[#This Row],[STN]],SE_3[STN],SE_3[Ethnicity],"",0)</f>
        <v>White</v>
      </c>
    </row>
    <row r="144" spans="1:14" ht="14.45">
      <c r="A144" s="1">
        <v>657711202</v>
      </c>
      <c r="B144" s="1">
        <v>10</v>
      </c>
      <c r="C144" s="2">
        <v>1</v>
      </c>
      <c r="D144" s="1" t="s">
        <v>24</v>
      </c>
      <c r="E144" s="2">
        <v>16</v>
      </c>
      <c r="F144" s="1" t="s">
        <v>28</v>
      </c>
      <c r="G144" s="2">
        <v>2</v>
      </c>
      <c r="H144" s="1" t="s">
        <v>26</v>
      </c>
      <c r="I144" s="1">
        <f>SUMIFS(ES_3[LENGTH_EX_SU],ES_3[STN],ES_3[[#This Row],[STN]],ES_3[DISCIPLINE_TYPE],"Out-of-School Suspension")+SUMIFS(ES_3[LENGTH_EX_SU],ES_3[STN],ES_3[[#This Row],[STN]],ES_3[DISCIPLINE_TYPE],"Expulsion")</f>
        <v>0</v>
      </c>
      <c r="J144" s="1">
        <f>IF(ES_3[[#This Row],[Count Exp/Sus]]&gt;10,1,0)</f>
        <v>0</v>
      </c>
      <c r="K144" s="1">
        <f t="shared" si="2"/>
        <v>0</v>
      </c>
      <c r="L144" s="1">
        <f>IF(J144=1,IF(COUNTIFS($A$3:A144,A144,$J$3:J144,1)=1,A144&amp;"-included",0),0)</f>
        <v>0</v>
      </c>
      <c r="M144" s="1" cm="1">
        <f t="array" ref="M144">IF(ES_3[[#This Row],[Included Exp/Sus]]=1,IF(SUMPRODUCT((ES_3[STN]=ES_3[[#This Row],[STN]])*(ES_3[Included Exp/Sus]=1)*(ROW(ES_3[STN])&lt;=ROW()))=1,1,0),0)</f>
        <v>0</v>
      </c>
      <c r="N144" s="1" t="str">
        <f>_xlfn.XLOOKUP(ES_3[[#This Row],[STN]],SE_3[STN],SE_3[Ethnicity],"",0)</f>
        <v>White</v>
      </c>
    </row>
    <row r="145" spans="1:14" ht="14.45">
      <c r="A145" s="1">
        <v>657711202</v>
      </c>
      <c r="B145" s="1">
        <v>10</v>
      </c>
      <c r="C145" s="2">
        <v>1</v>
      </c>
      <c r="D145" s="1" t="s">
        <v>24</v>
      </c>
      <c r="E145" s="2">
        <v>16</v>
      </c>
      <c r="F145" s="1" t="s">
        <v>28</v>
      </c>
      <c r="G145" s="2">
        <v>3</v>
      </c>
      <c r="H145" s="1" t="s">
        <v>26</v>
      </c>
      <c r="I145" s="1">
        <f>SUMIFS(ES_3[LENGTH_EX_SU],ES_3[STN],ES_3[[#This Row],[STN]],ES_3[DISCIPLINE_TYPE],"Out-of-School Suspension")+SUMIFS(ES_3[LENGTH_EX_SU],ES_3[STN],ES_3[[#This Row],[STN]],ES_3[DISCIPLINE_TYPE],"Expulsion")</f>
        <v>0</v>
      </c>
      <c r="J145" s="1">
        <f>IF(ES_3[[#This Row],[Count Exp/Sus]]&gt;10,1,0)</f>
        <v>0</v>
      </c>
      <c r="K145" s="1">
        <f t="shared" si="2"/>
        <v>0</v>
      </c>
      <c r="L145" s="1">
        <f>IF(J145=1,IF(COUNTIFS($A$3:A145,A145,$J$3:J145,1)=1,A145&amp;"-included",0),0)</f>
        <v>0</v>
      </c>
      <c r="M145" s="1" cm="1">
        <f t="array" ref="M145">IF(ES_3[[#This Row],[Included Exp/Sus]]=1,IF(SUMPRODUCT((ES_3[STN]=ES_3[[#This Row],[STN]])*(ES_3[Included Exp/Sus]=1)*(ROW(ES_3[STN])&lt;=ROW()))=1,1,0),0)</f>
        <v>0</v>
      </c>
      <c r="N145" s="1" t="str">
        <f>_xlfn.XLOOKUP(ES_3[[#This Row],[STN]],SE_3[STN],SE_3[Ethnicity],"",0)</f>
        <v>White</v>
      </c>
    </row>
    <row r="146" spans="1:14" ht="14.45">
      <c r="A146" s="1">
        <v>657711202</v>
      </c>
      <c r="B146" s="1">
        <v>10</v>
      </c>
      <c r="C146" s="2">
        <v>1</v>
      </c>
      <c r="D146" s="1" t="s">
        <v>24</v>
      </c>
      <c r="E146" s="2">
        <v>10</v>
      </c>
      <c r="F146" s="1" t="s">
        <v>25</v>
      </c>
      <c r="G146" s="2">
        <v>3</v>
      </c>
      <c r="H146" s="1" t="s">
        <v>26</v>
      </c>
      <c r="I146" s="1">
        <f>SUMIFS(ES_3[LENGTH_EX_SU],ES_3[STN],ES_3[[#This Row],[STN]],ES_3[DISCIPLINE_TYPE],"Out-of-School Suspension")+SUMIFS(ES_3[LENGTH_EX_SU],ES_3[STN],ES_3[[#This Row],[STN]],ES_3[DISCIPLINE_TYPE],"Expulsion")</f>
        <v>0</v>
      </c>
      <c r="J146" s="1">
        <f>IF(ES_3[[#This Row],[Count Exp/Sus]]&gt;10,1,0)</f>
        <v>0</v>
      </c>
      <c r="K146" s="1">
        <f t="shared" si="2"/>
        <v>0</v>
      </c>
      <c r="L146" s="1">
        <f>IF(J146=1,IF(COUNTIFS($A$3:A146,A146,$J$3:J146,1)=1,A146&amp;"-included",0),0)</f>
        <v>0</v>
      </c>
      <c r="M146" s="1" cm="1">
        <f t="array" ref="M146">IF(ES_3[[#This Row],[Included Exp/Sus]]=1,IF(SUMPRODUCT((ES_3[STN]=ES_3[[#This Row],[STN]])*(ES_3[Included Exp/Sus]=1)*(ROW(ES_3[STN])&lt;=ROW()))=1,1,0),0)</f>
        <v>0</v>
      </c>
      <c r="N146" s="1" t="str">
        <f>_xlfn.XLOOKUP(ES_3[[#This Row],[STN]],SE_3[STN],SE_3[Ethnicity],"",0)</f>
        <v>White</v>
      </c>
    </row>
    <row r="147" spans="1:14" ht="14.45">
      <c r="A147" s="1">
        <v>658710016</v>
      </c>
      <c r="B147" s="1">
        <v>9</v>
      </c>
      <c r="C147" s="2">
        <v>1</v>
      </c>
      <c r="D147" s="1" t="s">
        <v>24</v>
      </c>
      <c r="E147" s="2">
        <v>10</v>
      </c>
      <c r="F147" s="1" t="s">
        <v>25</v>
      </c>
      <c r="G147" s="2">
        <v>1</v>
      </c>
      <c r="H147" s="1" t="s">
        <v>26</v>
      </c>
      <c r="I147" s="1">
        <f>SUMIFS(ES_3[LENGTH_EX_SU],ES_3[STN],ES_3[[#This Row],[STN]],ES_3[DISCIPLINE_TYPE],"Out-of-School Suspension")+SUMIFS(ES_3[LENGTH_EX_SU],ES_3[STN],ES_3[[#This Row],[STN]],ES_3[DISCIPLINE_TYPE],"Expulsion")</f>
        <v>0</v>
      </c>
      <c r="J147" s="1">
        <f>IF(ES_3[[#This Row],[Count Exp/Sus]]&gt;10,1,0)</f>
        <v>0</v>
      </c>
      <c r="K147" s="1">
        <f t="shared" si="2"/>
        <v>0</v>
      </c>
      <c r="L147" s="1">
        <f>IF(J147=1,IF(COUNTIFS($A$3:A147,A147,$J$3:J147,1)=1,A147&amp;"-included",0),0)</f>
        <v>0</v>
      </c>
      <c r="M147" s="1" cm="1">
        <f t="array" ref="M147">IF(ES_3[[#This Row],[Included Exp/Sus]]=1,IF(SUMPRODUCT((ES_3[STN]=ES_3[[#This Row],[STN]])*(ES_3[Included Exp/Sus]=1)*(ROW(ES_3[STN])&lt;=ROW()))=1,1,0),0)</f>
        <v>0</v>
      </c>
      <c r="N147" s="1" t="str">
        <f>_xlfn.XLOOKUP(ES_3[[#This Row],[STN]],SE_3[STN],SE_3[Ethnicity],"",0)</f>
        <v>White</v>
      </c>
    </row>
    <row r="148" spans="1:14" ht="14.45">
      <c r="A148" s="1">
        <v>808907012</v>
      </c>
      <c r="B148" s="1">
        <v>12</v>
      </c>
      <c r="C148" s="2">
        <v>2</v>
      </c>
      <c r="D148" s="1" t="s">
        <v>31</v>
      </c>
      <c r="E148" s="2">
        <v>10</v>
      </c>
      <c r="F148" s="1" t="s">
        <v>25</v>
      </c>
      <c r="G148" s="2">
        <v>1</v>
      </c>
      <c r="H148" s="1" t="s">
        <v>26</v>
      </c>
      <c r="I148" s="1">
        <f>SUMIFS(ES_3[LENGTH_EX_SU],ES_3[STN],ES_3[[#This Row],[STN]],ES_3[DISCIPLINE_TYPE],"Out-of-School Suspension")+SUMIFS(ES_3[LENGTH_EX_SU],ES_3[STN],ES_3[[#This Row],[STN]],ES_3[DISCIPLINE_TYPE],"Expulsion")</f>
        <v>1</v>
      </c>
      <c r="J148" s="1">
        <f>IF(ES_3[[#This Row],[Count Exp/Sus]]&gt;10,1,0)</f>
        <v>0</v>
      </c>
      <c r="K148" s="1">
        <f t="shared" si="2"/>
        <v>0</v>
      </c>
      <c r="L148" s="1">
        <f>IF(J148=1,IF(COUNTIFS($A$3:A148,A148,$J$3:J148,1)=1,A148&amp;"-included",0),0)</f>
        <v>0</v>
      </c>
      <c r="M148" s="1" cm="1">
        <f t="array" ref="M148">IF(ES_3[[#This Row],[Included Exp/Sus]]=1,IF(SUMPRODUCT((ES_3[STN]=ES_3[[#This Row],[STN]])*(ES_3[Included Exp/Sus]=1)*(ROW(ES_3[STN])&lt;=ROW()))=1,1,0),0)</f>
        <v>0</v>
      </c>
      <c r="N148" s="1" t="str">
        <f>_xlfn.XLOOKUP(ES_3[[#This Row],[STN]],SE_3[STN],SE_3[Ethnicity],"",0)</f>
        <v>White</v>
      </c>
    </row>
    <row r="149" spans="1:14" ht="14.45">
      <c r="A149" s="1">
        <v>809112925</v>
      </c>
      <c r="B149" s="1">
        <v>5</v>
      </c>
      <c r="C149" s="2">
        <v>2</v>
      </c>
      <c r="D149" s="1" t="s">
        <v>31</v>
      </c>
      <c r="E149" s="2">
        <v>15</v>
      </c>
      <c r="F149" s="1" t="s">
        <v>27</v>
      </c>
      <c r="G149" s="2">
        <v>1</v>
      </c>
      <c r="H149" s="1" t="s">
        <v>26</v>
      </c>
      <c r="I149" s="1">
        <f>SUMIFS(ES_3[LENGTH_EX_SU],ES_3[STN],ES_3[[#This Row],[STN]],ES_3[DISCIPLINE_TYPE],"Out-of-School Suspension")+SUMIFS(ES_3[LENGTH_EX_SU],ES_3[STN],ES_3[[#This Row],[STN]],ES_3[DISCIPLINE_TYPE],"Expulsion")</f>
        <v>2</v>
      </c>
      <c r="J149" s="1">
        <f>IF(ES_3[[#This Row],[Count Exp/Sus]]&gt;10,1,0)</f>
        <v>0</v>
      </c>
      <c r="K149" s="1">
        <f t="shared" si="2"/>
        <v>0</v>
      </c>
      <c r="L149" s="1">
        <f>IF(J149=1,IF(COUNTIFS($A$3:A149,A149,$J$3:J149,1)=1,A149&amp;"-included",0),0)</f>
        <v>0</v>
      </c>
      <c r="M149" s="1" cm="1">
        <f t="array" ref="M149">IF(ES_3[[#This Row],[Included Exp/Sus]]=1,IF(SUMPRODUCT((ES_3[STN]=ES_3[[#This Row],[STN]])*(ES_3[Included Exp/Sus]=1)*(ROW(ES_3[STN])&lt;=ROW()))=1,1,0),0)</f>
        <v>0</v>
      </c>
      <c r="N149" s="1" t="str">
        <f>_xlfn.XLOOKUP(ES_3[[#This Row],[STN]],SE_3[STN],SE_3[Ethnicity],"",0)</f>
        <v>White</v>
      </c>
    </row>
    <row r="150" spans="1:14" ht="14.45">
      <c r="A150" s="1">
        <v>809112925</v>
      </c>
      <c r="B150" s="1">
        <v>5</v>
      </c>
      <c r="C150" s="2">
        <v>2</v>
      </c>
      <c r="D150" s="1" t="s">
        <v>31</v>
      </c>
      <c r="E150" s="2">
        <v>15</v>
      </c>
      <c r="F150" s="1" t="s">
        <v>27</v>
      </c>
      <c r="G150" s="2">
        <v>1</v>
      </c>
      <c r="H150" s="1" t="s">
        <v>26</v>
      </c>
      <c r="I150" s="1">
        <f>SUMIFS(ES_3[LENGTH_EX_SU],ES_3[STN],ES_3[[#This Row],[STN]],ES_3[DISCIPLINE_TYPE],"Out-of-School Suspension")+SUMIFS(ES_3[LENGTH_EX_SU],ES_3[STN],ES_3[[#This Row],[STN]],ES_3[DISCIPLINE_TYPE],"Expulsion")</f>
        <v>2</v>
      </c>
      <c r="J150" s="1">
        <f>IF(ES_3[[#This Row],[Count Exp/Sus]]&gt;10,1,0)</f>
        <v>0</v>
      </c>
      <c r="K150" s="1">
        <f t="shared" si="2"/>
        <v>0</v>
      </c>
      <c r="L150" s="1">
        <f>IF(J150=1,IF(COUNTIFS($A$3:A150,A150,$J$3:J150,1)=1,A150&amp;"-included",0),0)</f>
        <v>0</v>
      </c>
      <c r="M150" s="1" cm="1">
        <f t="array" ref="M150">IF(ES_3[[#This Row],[Included Exp/Sus]]=1,IF(SUMPRODUCT((ES_3[STN]=ES_3[[#This Row],[STN]])*(ES_3[Included Exp/Sus]=1)*(ROW(ES_3[STN])&lt;=ROW()))=1,1,0),0)</f>
        <v>0</v>
      </c>
      <c r="N150" s="1" t="str">
        <f>_xlfn.XLOOKUP(ES_3[[#This Row],[STN]],SE_3[STN],SE_3[Ethnicity],"",0)</f>
        <v>White</v>
      </c>
    </row>
    <row r="151" spans="1:14" ht="14.45">
      <c r="A151" s="1">
        <v>809118099</v>
      </c>
      <c r="B151" s="1">
        <v>6</v>
      </c>
      <c r="C151" s="2">
        <v>1</v>
      </c>
      <c r="D151" s="1" t="s">
        <v>24</v>
      </c>
      <c r="E151" s="2">
        <v>10</v>
      </c>
      <c r="F151" s="1" t="s">
        <v>25</v>
      </c>
      <c r="G151" s="2">
        <v>1</v>
      </c>
      <c r="H151" s="1" t="s">
        <v>26</v>
      </c>
      <c r="I151" s="1">
        <f>SUMIFS(ES_3[LENGTH_EX_SU],ES_3[STN],ES_3[[#This Row],[STN]],ES_3[DISCIPLINE_TYPE],"Out-of-School Suspension")+SUMIFS(ES_3[LENGTH_EX_SU],ES_3[STN],ES_3[[#This Row],[STN]],ES_3[DISCIPLINE_TYPE],"Expulsion")</f>
        <v>0</v>
      </c>
      <c r="J151" s="1">
        <f>IF(ES_3[[#This Row],[Count Exp/Sus]]&gt;10,1,0)</f>
        <v>0</v>
      </c>
      <c r="K151" s="1">
        <f t="shared" si="2"/>
        <v>0</v>
      </c>
      <c r="L151" s="1">
        <f>IF(J151=1,IF(COUNTIFS($A$3:A151,A151,$J$3:J151,1)=1,A151&amp;"-included",0),0)</f>
        <v>0</v>
      </c>
      <c r="M151" s="1" cm="1">
        <f t="array" ref="M151">IF(ES_3[[#This Row],[Included Exp/Sus]]=1,IF(SUMPRODUCT((ES_3[STN]=ES_3[[#This Row],[STN]])*(ES_3[Included Exp/Sus]=1)*(ROW(ES_3[STN])&lt;=ROW()))=1,1,0),0)</f>
        <v>0</v>
      </c>
      <c r="N151" s="1" t="str">
        <f>_xlfn.XLOOKUP(ES_3[[#This Row],[STN]],SE_3[STN],SE_3[Ethnicity],"",0)</f>
        <v>White</v>
      </c>
    </row>
    <row r="152" spans="1:14" ht="14.45">
      <c r="A152" s="1">
        <v>809121052</v>
      </c>
      <c r="B152" s="1" t="s">
        <v>41</v>
      </c>
      <c r="C152" s="2">
        <v>2</v>
      </c>
      <c r="D152" s="1" t="s">
        <v>31</v>
      </c>
      <c r="E152" s="2">
        <v>15</v>
      </c>
      <c r="F152" s="1" t="s">
        <v>27</v>
      </c>
      <c r="G152" s="2">
        <v>1</v>
      </c>
      <c r="H152" s="1" t="s">
        <v>29</v>
      </c>
      <c r="I152" s="1">
        <f>SUMIFS(ES_3[LENGTH_EX_SU],ES_3[STN],ES_3[[#This Row],[STN]],ES_3[DISCIPLINE_TYPE],"Out-of-School Suspension")+SUMIFS(ES_3[LENGTH_EX_SU],ES_3[STN],ES_3[[#This Row],[STN]],ES_3[DISCIPLINE_TYPE],"Expulsion")</f>
        <v>2</v>
      </c>
      <c r="J152" s="1">
        <f>IF(ES_3[[#This Row],[Count Exp/Sus]]&gt;10,1,0)</f>
        <v>0</v>
      </c>
      <c r="K152" s="1">
        <f t="shared" si="2"/>
        <v>0</v>
      </c>
      <c r="L152" s="1">
        <f>IF(J152=1,IF(COUNTIFS($A$3:A152,A152,$J$3:J152,1)=1,A152&amp;"-included",0),0)</f>
        <v>0</v>
      </c>
      <c r="M152" s="1" cm="1">
        <f t="array" ref="M152">IF(ES_3[[#This Row],[Included Exp/Sus]]=1,IF(SUMPRODUCT((ES_3[STN]=ES_3[[#This Row],[STN]])*(ES_3[Included Exp/Sus]=1)*(ROW(ES_3[STN])&lt;=ROW()))=1,1,0),0)</f>
        <v>0</v>
      </c>
      <c r="N152" s="1" t="str">
        <f>_xlfn.XLOOKUP(ES_3[[#This Row],[STN]],SE_3[STN],SE_3[Ethnicity],"",0)</f>
        <v>White</v>
      </c>
    </row>
    <row r="153" spans="1:14" ht="14.45">
      <c r="A153" s="1">
        <v>809121052</v>
      </c>
      <c r="B153" s="1" t="s">
        <v>41</v>
      </c>
      <c r="C153" s="2">
        <v>2</v>
      </c>
      <c r="D153" s="1" t="s">
        <v>31</v>
      </c>
      <c r="E153" s="2">
        <v>15</v>
      </c>
      <c r="F153" s="1" t="s">
        <v>27</v>
      </c>
      <c r="G153" s="2">
        <v>1</v>
      </c>
      <c r="H153" s="1" t="s">
        <v>29</v>
      </c>
      <c r="I153" s="1">
        <f>SUMIFS(ES_3[LENGTH_EX_SU],ES_3[STN],ES_3[[#This Row],[STN]],ES_3[DISCIPLINE_TYPE],"Out-of-School Suspension")+SUMIFS(ES_3[LENGTH_EX_SU],ES_3[STN],ES_3[[#This Row],[STN]],ES_3[DISCIPLINE_TYPE],"Expulsion")</f>
        <v>2</v>
      </c>
      <c r="J153" s="1">
        <f>IF(ES_3[[#This Row],[Count Exp/Sus]]&gt;10,1,0)</f>
        <v>0</v>
      </c>
      <c r="K153" s="1">
        <f t="shared" si="2"/>
        <v>0</v>
      </c>
      <c r="L153" s="1">
        <f>IF(J153=1,IF(COUNTIFS($A$3:A153,A153,$J$3:J153,1)=1,A153&amp;"-included",0),0)</f>
        <v>0</v>
      </c>
      <c r="M153" s="1" cm="1">
        <f t="array" ref="M153">IF(ES_3[[#This Row],[Included Exp/Sus]]=1,IF(SUMPRODUCT((ES_3[STN]=ES_3[[#This Row],[STN]])*(ES_3[Included Exp/Sus]=1)*(ROW(ES_3[STN])&lt;=ROW()))=1,1,0),0)</f>
        <v>0</v>
      </c>
      <c r="N153" s="1" t="str">
        <f>_xlfn.XLOOKUP(ES_3[[#This Row],[STN]],SE_3[STN],SE_3[Ethnicity],"",0)</f>
        <v>White</v>
      </c>
    </row>
    <row r="154" spans="1:14" ht="14.45">
      <c r="A154" s="1">
        <v>810309073</v>
      </c>
      <c r="B154" s="1">
        <v>11</v>
      </c>
      <c r="C154" s="2">
        <v>2</v>
      </c>
      <c r="D154" s="1" t="s">
        <v>31</v>
      </c>
      <c r="E154" s="2">
        <v>2</v>
      </c>
      <c r="F154" s="1" t="s">
        <v>33</v>
      </c>
      <c r="G154" s="2">
        <v>10</v>
      </c>
      <c r="H154" s="1" t="s">
        <v>26</v>
      </c>
      <c r="I154" s="1">
        <f>SUMIFS(ES_3[LENGTH_EX_SU],ES_3[STN],ES_3[[#This Row],[STN]],ES_3[DISCIPLINE_TYPE],"Out-of-School Suspension")+SUMIFS(ES_3[LENGTH_EX_SU],ES_3[STN],ES_3[[#This Row],[STN]],ES_3[DISCIPLINE_TYPE],"Expulsion")</f>
        <v>10</v>
      </c>
      <c r="J154" s="1">
        <f>IF(ES_3[[#This Row],[Count Exp/Sus]]&gt;10,1,0)</f>
        <v>0</v>
      </c>
      <c r="K154" s="1">
        <f t="shared" si="2"/>
        <v>0</v>
      </c>
      <c r="L154" s="1">
        <f>IF(J154=1,IF(COUNTIFS($A$3:A154,A154,$J$3:J154,1)=1,A154&amp;"-included",0),0)</f>
        <v>0</v>
      </c>
      <c r="M154" s="1" cm="1">
        <f t="array" ref="M154">IF(ES_3[[#This Row],[Included Exp/Sus]]=1,IF(SUMPRODUCT((ES_3[STN]=ES_3[[#This Row],[STN]])*(ES_3[Included Exp/Sus]=1)*(ROW(ES_3[STN])&lt;=ROW()))=1,1,0),0)</f>
        <v>0</v>
      </c>
      <c r="N154" s="1" t="str">
        <f>_xlfn.XLOOKUP(ES_3[[#This Row],[STN]],SE_3[STN],SE_3[Ethnicity],"",0)</f>
        <v>White</v>
      </c>
    </row>
    <row r="155" spans="1:14" ht="14.45">
      <c r="A155" s="1">
        <v>810317123</v>
      </c>
      <c r="B155" s="1">
        <v>4</v>
      </c>
      <c r="C155" s="2">
        <v>1</v>
      </c>
      <c r="D155" s="1" t="s">
        <v>24</v>
      </c>
      <c r="E155" s="2">
        <v>10</v>
      </c>
      <c r="F155" s="1" t="s">
        <v>25</v>
      </c>
      <c r="G155" s="2">
        <v>1</v>
      </c>
      <c r="H155" s="1" t="s">
        <v>29</v>
      </c>
      <c r="I155" s="1">
        <f>SUMIFS(ES_3[LENGTH_EX_SU],ES_3[STN],ES_3[[#This Row],[STN]],ES_3[DISCIPLINE_TYPE],"Out-of-School Suspension")+SUMIFS(ES_3[LENGTH_EX_SU],ES_3[STN],ES_3[[#This Row],[STN]],ES_3[DISCIPLINE_TYPE],"Expulsion")</f>
        <v>0</v>
      </c>
      <c r="J155" s="1">
        <f>IF(ES_3[[#This Row],[Count Exp/Sus]]&gt;10,1,0)</f>
        <v>0</v>
      </c>
      <c r="K155" s="1">
        <f t="shared" si="2"/>
        <v>0</v>
      </c>
      <c r="L155" s="1">
        <f>IF(J155=1,IF(COUNTIFS($A$3:A155,A155,$J$3:J155,1)=1,A155&amp;"-included",0),0)</f>
        <v>0</v>
      </c>
      <c r="M155" s="1" cm="1">
        <f t="array" ref="M155">IF(ES_3[[#This Row],[Included Exp/Sus]]=1,IF(SUMPRODUCT((ES_3[STN]=ES_3[[#This Row],[STN]])*(ES_3[Included Exp/Sus]=1)*(ROW(ES_3[STN])&lt;=ROW()))=1,1,0),0)</f>
        <v>0</v>
      </c>
      <c r="N155" s="1" t="str">
        <f>_xlfn.XLOOKUP(ES_3[[#This Row],[STN]],SE_3[STN],SE_3[Ethnicity],"",0)</f>
        <v>Multiracial (two or more races)</v>
      </c>
    </row>
    <row r="156" spans="1:14" ht="14.45">
      <c r="A156" s="1">
        <v>810317123</v>
      </c>
      <c r="B156" s="1">
        <v>4</v>
      </c>
      <c r="C156" s="2">
        <v>1</v>
      </c>
      <c r="D156" s="1" t="s">
        <v>24</v>
      </c>
      <c r="E156" s="2">
        <v>10</v>
      </c>
      <c r="F156" s="1" t="s">
        <v>25</v>
      </c>
      <c r="G156" s="2">
        <v>1</v>
      </c>
      <c r="H156" s="1" t="s">
        <v>29</v>
      </c>
      <c r="I156" s="1">
        <f>SUMIFS(ES_3[LENGTH_EX_SU],ES_3[STN],ES_3[[#This Row],[STN]],ES_3[DISCIPLINE_TYPE],"Out-of-School Suspension")+SUMIFS(ES_3[LENGTH_EX_SU],ES_3[STN],ES_3[[#This Row],[STN]],ES_3[DISCIPLINE_TYPE],"Expulsion")</f>
        <v>0</v>
      </c>
      <c r="J156" s="1">
        <f>IF(ES_3[[#This Row],[Count Exp/Sus]]&gt;10,1,0)</f>
        <v>0</v>
      </c>
      <c r="K156" s="1">
        <f t="shared" si="2"/>
        <v>0</v>
      </c>
      <c r="L156" s="1">
        <f>IF(J156=1,IF(COUNTIFS($A$3:A156,A156,$J$3:J156,1)=1,A156&amp;"-included",0),0)</f>
        <v>0</v>
      </c>
      <c r="M156" s="1" cm="1">
        <f t="array" ref="M156">IF(ES_3[[#This Row],[Included Exp/Sus]]=1,IF(SUMPRODUCT((ES_3[STN]=ES_3[[#This Row],[STN]])*(ES_3[Included Exp/Sus]=1)*(ROW(ES_3[STN])&lt;=ROW()))=1,1,0),0)</f>
        <v>0</v>
      </c>
      <c r="N156" s="1" t="str">
        <f>_xlfn.XLOOKUP(ES_3[[#This Row],[STN]],SE_3[STN],SE_3[Ethnicity],"",0)</f>
        <v>Multiracial (two or more races)</v>
      </c>
    </row>
    <row r="157" spans="1:14" ht="14.45">
      <c r="A157" s="1">
        <v>810318925</v>
      </c>
      <c r="B157" s="1">
        <v>1</v>
      </c>
      <c r="C157" s="2">
        <v>2</v>
      </c>
      <c r="D157" s="1" t="s">
        <v>31</v>
      </c>
      <c r="E157" s="2">
        <v>21</v>
      </c>
      <c r="F157" s="1" t="s">
        <v>47</v>
      </c>
      <c r="G157" s="2">
        <v>5</v>
      </c>
      <c r="H157" s="1" t="s">
        <v>26</v>
      </c>
      <c r="I157" s="1">
        <f>SUMIFS(ES_3[LENGTH_EX_SU],ES_3[STN],ES_3[[#This Row],[STN]],ES_3[DISCIPLINE_TYPE],"Out-of-School Suspension")+SUMIFS(ES_3[LENGTH_EX_SU],ES_3[STN],ES_3[[#This Row],[STN]],ES_3[DISCIPLINE_TYPE],"Expulsion")</f>
        <v>6</v>
      </c>
      <c r="J157" s="1">
        <f>IF(ES_3[[#This Row],[Count Exp/Sus]]&gt;10,1,0)</f>
        <v>0</v>
      </c>
      <c r="K157" s="1">
        <f t="shared" si="2"/>
        <v>0</v>
      </c>
      <c r="L157" s="1">
        <f>IF(J157=1,IF(COUNTIFS($A$3:A157,A157,$J$3:J157,1)=1,A157&amp;"-included",0),0)</f>
        <v>0</v>
      </c>
      <c r="M157" s="1" cm="1">
        <f t="array" ref="M157">IF(ES_3[[#This Row],[Included Exp/Sus]]=1,IF(SUMPRODUCT((ES_3[STN]=ES_3[[#This Row],[STN]])*(ES_3[Included Exp/Sus]=1)*(ROW(ES_3[STN])&lt;=ROW()))=1,1,0),0)</f>
        <v>0</v>
      </c>
      <c r="N157" s="1" t="str">
        <f>_xlfn.XLOOKUP(ES_3[[#This Row],[STN]],SE_3[STN],SE_3[Ethnicity],"",0)</f>
        <v>Asian</v>
      </c>
    </row>
    <row r="158" spans="1:14" ht="14.45">
      <c r="A158" s="1">
        <v>810318925</v>
      </c>
      <c r="B158" s="1">
        <v>1</v>
      </c>
      <c r="C158" s="2">
        <v>2</v>
      </c>
      <c r="D158" s="1" t="s">
        <v>31</v>
      </c>
      <c r="E158" s="2">
        <v>15</v>
      </c>
      <c r="F158" s="1" t="s">
        <v>27</v>
      </c>
      <c r="G158" s="2">
        <v>1</v>
      </c>
      <c r="H158" s="1" t="s">
        <v>26</v>
      </c>
      <c r="I158" s="1">
        <f>SUMIFS(ES_3[LENGTH_EX_SU],ES_3[STN],ES_3[[#This Row],[STN]],ES_3[DISCIPLINE_TYPE],"Out-of-School Suspension")+SUMIFS(ES_3[LENGTH_EX_SU],ES_3[STN],ES_3[[#This Row],[STN]],ES_3[DISCIPLINE_TYPE],"Expulsion")</f>
        <v>6</v>
      </c>
      <c r="J158" s="1">
        <f>IF(ES_3[[#This Row],[Count Exp/Sus]]&gt;10,1,0)</f>
        <v>0</v>
      </c>
      <c r="K158" s="1">
        <f t="shared" si="2"/>
        <v>0</v>
      </c>
      <c r="L158" s="1">
        <f>IF(J158=1,IF(COUNTIFS($A$3:A158,A158,$J$3:J158,1)=1,A158&amp;"-included",0),0)</f>
        <v>0</v>
      </c>
      <c r="M158" s="1" cm="1">
        <f t="array" ref="M158">IF(ES_3[[#This Row],[Included Exp/Sus]]=1,IF(SUMPRODUCT((ES_3[STN]=ES_3[[#This Row],[STN]])*(ES_3[Included Exp/Sus]=1)*(ROW(ES_3[STN])&lt;=ROW()))=1,1,0),0)</f>
        <v>0</v>
      </c>
      <c r="N158" s="1" t="str">
        <f>_xlfn.XLOOKUP(ES_3[[#This Row],[STN]],SE_3[STN],SE_3[Ethnicity],"",0)</f>
        <v>Asian</v>
      </c>
    </row>
    <row r="159" spans="1:14" ht="14.45">
      <c r="A159" s="1">
        <v>810321088</v>
      </c>
      <c r="B159" s="1" t="s">
        <v>41</v>
      </c>
      <c r="C159" s="2">
        <v>2</v>
      </c>
      <c r="D159" s="1" t="s">
        <v>31</v>
      </c>
      <c r="E159" s="2">
        <v>15</v>
      </c>
      <c r="F159" s="1" t="s">
        <v>27</v>
      </c>
      <c r="G159" s="2">
        <v>1</v>
      </c>
      <c r="H159" s="1" t="s">
        <v>29</v>
      </c>
      <c r="I159" s="1">
        <f>SUMIFS(ES_3[LENGTH_EX_SU],ES_3[STN],ES_3[[#This Row],[STN]],ES_3[DISCIPLINE_TYPE],"Out-of-School Suspension")+SUMIFS(ES_3[LENGTH_EX_SU],ES_3[STN],ES_3[[#This Row],[STN]],ES_3[DISCIPLINE_TYPE],"Expulsion")</f>
        <v>1</v>
      </c>
      <c r="J159" s="1">
        <f>IF(ES_3[[#This Row],[Count Exp/Sus]]&gt;10,1,0)</f>
        <v>0</v>
      </c>
      <c r="K159" s="1">
        <f t="shared" si="2"/>
        <v>0</v>
      </c>
      <c r="L159" s="1">
        <f>IF(J159=1,IF(COUNTIFS($A$3:A159,A159,$J$3:J159,1)=1,A159&amp;"-included",0),0)</f>
        <v>0</v>
      </c>
      <c r="M159" s="1" cm="1">
        <f t="array" ref="M159">IF(ES_3[[#This Row],[Included Exp/Sus]]=1,IF(SUMPRODUCT((ES_3[STN]=ES_3[[#This Row],[STN]])*(ES_3[Included Exp/Sus]=1)*(ROW(ES_3[STN])&lt;=ROW()))=1,1,0),0)</f>
        <v>0</v>
      </c>
      <c r="N159" s="1" t="str">
        <f>_xlfn.XLOOKUP(ES_3[[#This Row],[STN]],SE_3[STN],SE_3[Ethnicity],"",0)</f>
        <v>White</v>
      </c>
    </row>
    <row r="160" spans="1:14" ht="14.45">
      <c r="A160" s="1">
        <v>810410072</v>
      </c>
      <c r="B160" s="1">
        <v>11</v>
      </c>
      <c r="C160" s="2">
        <v>2</v>
      </c>
      <c r="D160" s="1" t="s">
        <v>31</v>
      </c>
      <c r="E160" s="2">
        <v>16</v>
      </c>
      <c r="F160" s="1" t="s">
        <v>28</v>
      </c>
      <c r="G160" s="2">
        <v>9</v>
      </c>
      <c r="H160" s="1" t="s">
        <v>29</v>
      </c>
      <c r="I160" s="1">
        <f>SUMIFS(ES_3[LENGTH_EX_SU],ES_3[STN],ES_3[[#This Row],[STN]],ES_3[DISCIPLINE_TYPE],"Out-of-School Suspension")+SUMIFS(ES_3[LENGTH_EX_SU],ES_3[STN],ES_3[[#This Row],[STN]],ES_3[DISCIPLINE_TYPE],"Expulsion")</f>
        <v>9</v>
      </c>
      <c r="J160" s="1">
        <f>IF(ES_3[[#This Row],[Count Exp/Sus]]&gt;10,1,0)</f>
        <v>0</v>
      </c>
      <c r="K160" s="1">
        <f t="shared" si="2"/>
        <v>0</v>
      </c>
      <c r="L160" s="1">
        <f>IF(J160=1,IF(COUNTIFS($A$3:A160,A160,$J$3:J160,1)=1,A160&amp;"-included",0),0)</f>
        <v>0</v>
      </c>
      <c r="M160" s="1" cm="1">
        <f t="array" ref="M160">IF(ES_3[[#This Row],[Included Exp/Sus]]=1,IF(SUMPRODUCT((ES_3[STN]=ES_3[[#This Row],[STN]])*(ES_3[Included Exp/Sus]=1)*(ROW(ES_3[STN])&lt;=ROW()))=1,1,0),0)</f>
        <v>0</v>
      </c>
      <c r="N160" s="1" t="str">
        <f>_xlfn.XLOOKUP(ES_3[[#This Row],[STN]],SE_3[STN],SE_3[Ethnicity],"",0)</f>
        <v>White</v>
      </c>
    </row>
    <row r="161" spans="1:14" ht="14.45">
      <c r="A161" s="1">
        <v>810411045</v>
      </c>
      <c r="B161" s="1">
        <v>10</v>
      </c>
      <c r="C161" s="2">
        <v>1</v>
      </c>
      <c r="D161" s="1" t="s">
        <v>24</v>
      </c>
      <c r="E161" s="2">
        <v>10</v>
      </c>
      <c r="F161" s="1" t="s">
        <v>25</v>
      </c>
      <c r="G161" s="2">
        <v>1</v>
      </c>
      <c r="H161" s="1" t="s">
        <v>26</v>
      </c>
      <c r="I161" s="1">
        <f>SUMIFS(ES_3[LENGTH_EX_SU],ES_3[STN],ES_3[[#This Row],[STN]],ES_3[DISCIPLINE_TYPE],"Out-of-School Suspension")+SUMIFS(ES_3[LENGTH_EX_SU],ES_3[STN],ES_3[[#This Row],[STN]],ES_3[DISCIPLINE_TYPE],"Expulsion")</f>
        <v>2</v>
      </c>
      <c r="J161" s="1">
        <f>IF(ES_3[[#This Row],[Count Exp/Sus]]&gt;10,1,0)</f>
        <v>0</v>
      </c>
      <c r="K161" s="1">
        <f t="shared" si="2"/>
        <v>0</v>
      </c>
      <c r="L161" s="1">
        <f>IF(J161=1,IF(COUNTIFS($A$3:A161,A161,$J$3:J161,1)=1,A161&amp;"-included",0),0)</f>
        <v>0</v>
      </c>
      <c r="M161" s="1" cm="1">
        <f t="array" ref="M161">IF(ES_3[[#This Row],[Included Exp/Sus]]=1,IF(SUMPRODUCT((ES_3[STN]=ES_3[[#This Row],[STN]])*(ES_3[Included Exp/Sus]=1)*(ROW(ES_3[STN])&lt;=ROW()))=1,1,0),0)</f>
        <v>0</v>
      </c>
      <c r="N161" s="1" t="str">
        <f>_xlfn.XLOOKUP(ES_3[[#This Row],[STN]],SE_3[STN],SE_3[Ethnicity],"",0)</f>
        <v>White</v>
      </c>
    </row>
    <row r="162" spans="1:14" ht="14.45">
      <c r="A162" s="1">
        <v>810411045</v>
      </c>
      <c r="B162" s="1">
        <v>10</v>
      </c>
      <c r="C162" s="2">
        <v>2</v>
      </c>
      <c r="D162" s="1" t="s">
        <v>31</v>
      </c>
      <c r="E162" s="2">
        <v>15</v>
      </c>
      <c r="F162" s="1" t="s">
        <v>27</v>
      </c>
      <c r="G162" s="2">
        <v>2</v>
      </c>
      <c r="H162" s="1" t="s">
        <v>26</v>
      </c>
      <c r="I162" s="1">
        <f>SUMIFS(ES_3[LENGTH_EX_SU],ES_3[STN],ES_3[[#This Row],[STN]],ES_3[DISCIPLINE_TYPE],"Out-of-School Suspension")+SUMIFS(ES_3[LENGTH_EX_SU],ES_3[STN],ES_3[[#This Row],[STN]],ES_3[DISCIPLINE_TYPE],"Expulsion")</f>
        <v>2</v>
      </c>
      <c r="J162" s="1">
        <f>IF(ES_3[[#This Row],[Count Exp/Sus]]&gt;10,1,0)</f>
        <v>0</v>
      </c>
      <c r="K162" s="1">
        <f t="shared" si="2"/>
        <v>0</v>
      </c>
      <c r="L162" s="1">
        <f>IF(J162=1,IF(COUNTIFS($A$3:A162,A162,$J$3:J162,1)=1,A162&amp;"-included",0),0)</f>
        <v>0</v>
      </c>
      <c r="M162" s="1" cm="1">
        <f t="array" ref="M162">IF(ES_3[[#This Row],[Included Exp/Sus]]=1,IF(SUMPRODUCT((ES_3[STN]=ES_3[[#This Row],[STN]])*(ES_3[Included Exp/Sus]=1)*(ROW(ES_3[STN])&lt;=ROW()))=1,1,0),0)</f>
        <v>0</v>
      </c>
      <c r="N162" s="1" t="str">
        <f>_xlfn.XLOOKUP(ES_3[[#This Row],[STN]],SE_3[STN],SE_3[Ethnicity],"",0)</f>
        <v>White</v>
      </c>
    </row>
    <row r="163" spans="1:14" ht="14.45">
      <c r="A163" s="1">
        <v>810411901</v>
      </c>
      <c r="B163" s="1">
        <v>10</v>
      </c>
      <c r="C163" s="2">
        <v>2</v>
      </c>
      <c r="D163" s="1" t="s">
        <v>31</v>
      </c>
      <c r="E163" s="2">
        <v>16</v>
      </c>
      <c r="F163" s="1" t="s">
        <v>28</v>
      </c>
      <c r="G163" s="2">
        <v>3</v>
      </c>
      <c r="H163" s="1" t="s">
        <v>29</v>
      </c>
      <c r="I163" s="1">
        <f>SUMIFS(ES_3[LENGTH_EX_SU],ES_3[STN],ES_3[[#This Row],[STN]],ES_3[DISCIPLINE_TYPE],"Out-of-School Suspension")+SUMIFS(ES_3[LENGTH_EX_SU],ES_3[STN],ES_3[[#This Row],[STN]],ES_3[DISCIPLINE_TYPE],"Expulsion")</f>
        <v>3</v>
      </c>
      <c r="J163" s="1">
        <f>IF(ES_3[[#This Row],[Count Exp/Sus]]&gt;10,1,0)</f>
        <v>0</v>
      </c>
      <c r="K163" s="1">
        <f t="shared" si="2"/>
        <v>0</v>
      </c>
      <c r="L163" s="1">
        <f>IF(J163=1,IF(COUNTIFS($A$3:A163,A163,$J$3:J163,1)=1,A163&amp;"-included",0),0)</f>
        <v>0</v>
      </c>
      <c r="M163" s="1" cm="1">
        <f t="array" ref="M163">IF(ES_3[[#This Row],[Included Exp/Sus]]=1,IF(SUMPRODUCT((ES_3[STN]=ES_3[[#This Row],[STN]])*(ES_3[Included Exp/Sus]=1)*(ROW(ES_3[STN])&lt;=ROW()))=1,1,0),0)</f>
        <v>0</v>
      </c>
      <c r="N163" s="1" t="str">
        <f>_xlfn.XLOOKUP(ES_3[[#This Row],[STN]],SE_3[STN],SE_3[Ethnicity],"",0)</f>
        <v>White</v>
      </c>
    </row>
    <row r="164" spans="1:14" ht="14.45">
      <c r="A164" s="1">
        <v>810412009</v>
      </c>
      <c r="B164" s="1">
        <v>8</v>
      </c>
      <c r="C164" s="2">
        <v>1</v>
      </c>
      <c r="D164" s="1" t="s">
        <v>24</v>
      </c>
      <c r="E164" s="2">
        <v>15</v>
      </c>
      <c r="F164" s="1" t="s">
        <v>27</v>
      </c>
      <c r="G164" s="2">
        <v>2</v>
      </c>
      <c r="H164" s="1" t="s">
        <v>26</v>
      </c>
      <c r="I164" s="1">
        <f>SUMIFS(ES_3[LENGTH_EX_SU],ES_3[STN],ES_3[[#This Row],[STN]],ES_3[DISCIPLINE_TYPE],"Out-of-School Suspension")+SUMIFS(ES_3[LENGTH_EX_SU],ES_3[STN],ES_3[[#This Row],[STN]],ES_3[DISCIPLINE_TYPE],"Expulsion")</f>
        <v>0</v>
      </c>
      <c r="J164" s="1">
        <f>IF(ES_3[[#This Row],[Count Exp/Sus]]&gt;10,1,0)</f>
        <v>0</v>
      </c>
      <c r="K164" s="1">
        <f t="shared" si="2"/>
        <v>0</v>
      </c>
      <c r="L164" s="1">
        <f>IF(J164=1,IF(COUNTIFS($A$3:A164,A164,$J$3:J164,1)=1,A164&amp;"-included",0),0)</f>
        <v>0</v>
      </c>
      <c r="M164" s="1" cm="1">
        <f t="array" ref="M164">IF(ES_3[[#This Row],[Included Exp/Sus]]=1,IF(SUMPRODUCT((ES_3[STN]=ES_3[[#This Row],[STN]])*(ES_3[Included Exp/Sus]=1)*(ROW(ES_3[STN])&lt;=ROW()))=1,1,0),0)</f>
        <v>0</v>
      </c>
      <c r="N164" s="1" t="str">
        <f>_xlfn.XLOOKUP(ES_3[[#This Row],[STN]],SE_3[STN],SE_3[Ethnicity],"",0)</f>
        <v>White</v>
      </c>
    </row>
    <row r="165" spans="1:14" ht="14.45">
      <c r="A165" s="1">
        <v>810412039</v>
      </c>
      <c r="B165" s="1">
        <v>8</v>
      </c>
      <c r="C165" s="2">
        <v>2</v>
      </c>
      <c r="D165" s="1" t="s">
        <v>31</v>
      </c>
      <c r="E165" s="2">
        <v>7</v>
      </c>
      <c r="F165" s="1" t="s">
        <v>30</v>
      </c>
      <c r="G165" s="2">
        <v>1</v>
      </c>
      <c r="H165" s="1" t="s">
        <v>26</v>
      </c>
      <c r="I165" s="1">
        <f>SUMIFS(ES_3[LENGTH_EX_SU],ES_3[STN],ES_3[[#This Row],[STN]],ES_3[DISCIPLINE_TYPE],"Out-of-School Suspension")+SUMIFS(ES_3[LENGTH_EX_SU],ES_3[STN],ES_3[[#This Row],[STN]],ES_3[DISCIPLINE_TYPE],"Expulsion")</f>
        <v>1</v>
      </c>
      <c r="J165" s="1">
        <f>IF(ES_3[[#This Row],[Count Exp/Sus]]&gt;10,1,0)</f>
        <v>0</v>
      </c>
      <c r="K165" s="1">
        <f t="shared" si="2"/>
        <v>0</v>
      </c>
      <c r="L165" s="1">
        <f>IF(J165=1,IF(COUNTIFS($A$3:A165,A165,$J$3:J165,1)=1,A165&amp;"-included",0),0)</f>
        <v>0</v>
      </c>
      <c r="M165" s="1" cm="1">
        <f t="array" ref="M165">IF(ES_3[[#This Row],[Included Exp/Sus]]=1,IF(SUMPRODUCT((ES_3[STN]=ES_3[[#This Row],[STN]])*(ES_3[Included Exp/Sus]=1)*(ROW(ES_3[STN])&lt;=ROW()))=1,1,0),0)</f>
        <v>0</v>
      </c>
      <c r="N165" s="1" t="str">
        <f>_xlfn.XLOOKUP(ES_3[[#This Row],[STN]],SE_3[STN],SE_3[Ethnicity],"",0)</f>
        <v>White</v>
      </c>
    </row>
    <row r="166" spans="1:14" ht="14.45">
      <c r="A166" s="1">
        <v>810413032</v>
      </c>
      <c r="B166" s="1">
        <v>8</v>
      </c>
      <c r="C166" s="2">
        <v>1</v>
      </c>
      <c r="D166" s="1" t="s">
        <v>24</v>
      </c>
      <c r="E166" s="2">
        <v>16</v>
      </c>
      <c r="F166" s="1" t="s">
        <v>28</v>
      </c>
      <c r="G166" s="2">
        <v>1</v>
      </c>
      <c r="H166" s="1" t="s">
        <v>26</v>
      </c>
      <c r="I166" s="1">
        <f>SUMIFS(ES_3[LENGTH_EX_SU],ES_3[STN],ES_3[[#This Row],[STN]],ES_3[DISCIPLINE_TYPE],"Out-of-School Suspension")+SUMIFS(ES_3[LENGTH_EX_SU],ES_3[STN],ES_3[[#This Row],[STN]],ES_3[DISCIPLINE_TYPE],"Expulsion")</f>
        <v>0</v>
      </c>
      <c r="J166" s="1">
        <f>IF(ES_3[[#This Row],[Count Exp/Sus]]&gt;10,1,0)</f>
        <v>0</v>
      </c>
      <c r="K166" s="1">
        <f t="shared" si="2"/>
        <v>0</v>
      </c>
      <c r="L166" s="1">
        <f>IF(J166=1,IF(COUNTIFS($A$3:A166,A166,$J$3:J166,1)=1,A166&amp;"-included",0),0)</f>
        <v>0</v>
      </c>
      <c r="M166" s="1" cm="1">
        <f t="array" ref="M166">IF(ES_3[[#This Row],[Included Exp/Sus]]=1,IF(SUMPRODUCT((ES_3[STN]=ES_3[[#This Row],[STN]])*(ES_3[Included Exp/Sus]=1)*(ROW(ES_3[STN])&lt;=ROW()))=1,1,0),0)</f>
        <v>0</v>
      </c>
      <c r="N166" s="1" t="str">
        <f>_xlfn.XLOOKUP(ES_3[[#This Row],[STN]],SE_3[STN],SE_3[Ethnicity],"",0)</f>
        <v>White</v>
      </c>
    </row>
    <row r="167" spans="1:14" ht="14.45">
      <c r="A167" s="1">
        <v>810413032</v>
      </c>
      <c r="B167" s="1">
        <v>8</v>
      </c>
      <c r="C167" s="2">
        <v>1</v>
      </c>
      <c r="D167" s="1" t="s">
        <v>24</v>
      </c>
      <c r="E167" s="2">
        <v>15</v>
      </c>
      <c r="F167" s="1" t="s">
        <v>27</v>
      </c>
      <c r="G167" s="2">
        <v>1</v>
      </c>
      <c r="H167" s="1" t="s">
        <v>26</v>
      </c>
      <c r="I167" s="1">
        <f>SUMIFS(ES_3[LENGTH_EX_SU],ES_3[STN],ES_3[[#This Row],[STN]],ES_3[DISCIPLINE_TYPE],"Out-of-School Suspension")+SUMIFS(ES_3[LENGTH_EX_SU],ES_3[STN],ES_3[[#This Row],[STN]],ES_3[DISCIPLINE_TYPE],"Expulsion")</f>
        <v>0</v>
      </c>
      <c r="J167" s="1">
        <f>IF(ES_3[[#This Row],[Count Exp/Sus]]&gt;10,1,0)</f>
        <v>0</v>
      </c>
      <c r="K167" s="1">
        <f t="shared" si="2"/>
        <v>0</v>
      </c>
      <c r="L167" s="1">
        <f>IF(J167=1,IF(COUNTIFS($A$3:A167,A167,$J$3:J167,1)=1,A167&amp;"-included",0),0)</f>
        <v>0</v>
      </c>
      <c r="M167" s="1" cm="1">
        <f t="array" ref="M167">IF(ES_3[[#This Row],[Included Exp/Sus]]=1,IF(SUMPRODUCT((ES_3[STN]=ES_3[[#This Row],[STN]])*(ES_3[Included Exp/Sus]=1)*(ROW(ES_3[STN])&lt;=ROW()))=1,1,0),0)</f>
        <v>0</v>
      </c>
      <c r="N167" s="1" t="str">
        <f>_xlfn.XLOOKUP(ES_3[[#This Row],[STN]],SE_3[STN],SE_3[Ethnicity],"",0)</f>
        <v>White</v>
      </c>
    </row>
    <row r="168" spans="1:14" ht="14.45">
      <c r="A168" s="1">
        <v>810413035</v>
      </c>
      <c r="B168" s="1">
        <v>8</v>
      </c>
      <c r="C168" s="2">
        <v>2</v>
      </c>
      <c r="D168" s="1" t="s">
        <v>31</v>
      </c>
      <c r="E168" s="2">
        <v>11</v>
      </c>
      <c r="F168" s="1" t="s">
        <v>36</v>
      </c>
      <c r="G168" s="2">
        <v>2</v>
      </c>
      <c r="H168" s="1" t="s">
        <v>29</v>
      </c>
      <c r="I168" s="1">
        <f>SUMIFS(ES_3[LENGTH_EX_SU],ES_3[STN],ES_3[[#This Row],[STN]],ES_3[DISCIPLINE_TYPE],"Out-of-School Suspension")+SUMIFS(ES_3[LENGTH_EX_SU],ES_3[STN],ES_3[[#This Row],[STN]],ES_3[DISCIPLINE_TYPE],"Expulsion")</f>
        <v>7</v>
      </c>
      <c r="J168" s="1">
        <f>IF(ES_3[[#This Row],[Count Exp/Sus]]&gt;10,1,0)</f>
        <v>0</v>
      </c>
      <c r="K168" s="1">
        <f t="shared" si="2"/>
        <v>0</v>
      </c>
      <c r="L168" s="1">
        <f>IF(J168=1,IF(COUNTIFS($A$3:A168,A168,$J$3:J168,1)=1,A168&amp;"-included",0),0)</f>
        <v>0</v>
      </c>
      <c r="M168" s="1" cm="1">
        <f t="array" ref="M168">IF(ES_3[[#This Row],[Included Exp/Sus]]=1,IF(SUMPRODUCT((ES_3[STN]=ES_3[[#This Row],[STN]])*(ES_3[Included Exp/Sus]=1)*(ROW(ES_3[STN])&lt;=ROW()))=1,1,0),0)</f>
        <v>0</v>
      </c>
      <c r="N168" s="1" t="str">
        <f>_xlfn.XLOOKUP(ES_3[[#This Row],[STN]],SE_3[STN],SE_3[Ethnicity],"",0)</f>
        <v>Black - African American</v>
      </c>
    </row>
    <row r="169" spans="1:14" ht="14.45">
      <c r="A169" s="1">
        <v>810413035</v>
      </c>
      <c r="B169" s="1">
        <v>8</v>
      </c>
      <c r="C169" s="2">
        <v>2</v>
      </c>
      <c r="D169" s="1" t="s">
        <v>31</v>
      </c>
      <c r="E169" s="2">
        <v>12</v>
      </c>
      <c r="F169" s="1" t="s">
        <v>46</v>
      </c>
      <c r="G169" s="2">
        <v>5</v>
      </c>
      <c r="H169" s="1" t="s">
        <v>29</v>
      </c>
      <c r="I169" s="1">
        <f>SUMIFS(ES_3[LENGTH_EX_SU],ES_3[STN],ES_3[[#This Row],[STN]],ES_3[DISCIPLINE_TYPE],"Out-of-School Suspension")+SUMIFS(ES_3[LENGTH_EX_SU],ES_3[STN],ES_3[[#This Row],[STN]],ES_3[DISCIPLINE_TYPE],"Expulsion")</f>
        <v>7</v>
      </c>
      <c r="J169" s="1">
        <f>IF(ES_3[[#This Row],[Count Exp/Sus]]&gt;10,1,0)</f>
        <v>0</v>
      </c>
      <c r="K169" s="1">
        <f t="shared" si="2"/>
        <v>0</v>
      </c>
      <c r="L169" s="1">
        <f>IF(J169=1,IF(COUNTIFS($A$3:A169,A169,$J$3:J169,1)=1,A169&amp;"-included",0),0)</f>
        <v>0</v>
      </c>
      <c r="M169" s="1" cm="1">
        <f t="array" ref="M169">IF(ES_3[[#This Row],[Included Exp/Sus]]=1,IF(SUMPRODUCT((ES_3[STN]=ES_3[[#This Row],[STN]])*(ES_3[Included Exp/Sus]=1)*(ROW(ES_3[STN])&lt;=ROW()))=1,1,0),0)</f>
        <v>0</v>
      </c>
      <c r="N169" s="1" t="str">
        <f>_xlfn.XLOOKUP(ES_3[[#This Row],[STN]],SE_3[STN],SE_3[Ethnicity],"",0)</f>
        <v>Black - African American</v>
      </c>
    </row>
    <row r="170" spans="1:14" ht="14.45">
      <c r="A170" s="1">
        <v>810413057</v>
      </c>
      <c r="B170" s="1">
        <v>7</v>
      </c>
      <c r="C170" s="2">
        <v>2</v>
      </c>
      <c r="D170" s="1" t="s">
        <v>31</v>
      </c>
      <c r="E170" s="2">
        <v>15</v>
      </c>
      <c r="F170" s="1" t="s">
        <v>27</v>
      </c>
      <c r="G170" s="2">
        <v>1</v>
      </c>
      <c r="H170" s="1" t="s">
        <v>26</v>
      </c>
      <c r="I170" s="1">
        <f>SUMIFS(ES_3[LENGTH_EX_SU],ES_3[STN],ES_3[[#This Row],[STN]],ES_3[DISCIPLINE_TYPE],"Out-of-School Suspension")+SUMIFS(ES_3[LENGTH_EX_SU],ES_3[STN],ES_3[[#This Row],[STN]],ES_3[DISCIPLINE_TYPE],"Expulsion")</f>
        <v>2</v>
      </c>
      <c r="J170" s="1">
        <f>IF(ES_3[[#This Row],[Count Exp/Sus]]&gt;10,1,0)</f>
        <v>0</v>
      </c>
      <c r="K170" s="1">
        <f t="shared" si="2"/>
        <v>0</v>
      </c>
      <c r="L170" s="1">
        <f>IF(J170=1,IF(COUNTIFS($A$3:A170,A170,$J$3:J170,1)=1,A170&amp;"-included",0),0)</f>
        <v>0</v>
      </c>
      <c r="M170" s="1" cm="1">
        <f t="array" ref="M170">IF(ES_3[[#This Row],[Included Exp/Sus]]=1,IF(SUMPRODUCT((ES_3[STN]=ES_3[[#This Row],[STN]])*(ES_3[Included Exp/Sus]=1)*(ROW(ES_3[STN])&lt;=ROW()))=1,1,0),0)</f>
        <v>0</v>
      </c>
      <c r="N170" s="1" t="str">
        <f>_xlfn.XLOOKUP(ES_3[[#This Row],[STN]],SE_3[STN],SE_3[Ethnicity],"",0)</f>
        <v>White</v>
      </c>
    </row>
    <row r="171" spans="1:14" ht="14.45">
      <c r="A171" s="1">
        <v>810413057</v>
      </c>
      <c r="B171" s="1">
        <v>7</v>
      </c>
      <c r="C171" s="2">
        <v>2</v>
      </c>
      <c r="D171" s="1" t="s">
        <v>31</v>
      </c>
      <c r="E171" s="2">
        <v>15</v>
      </c>
      <c r="F171" s="1" t="s">
        <v>27</v>
      </c>
      <c r="G171" s="2">
        <v>1</v>
      </c>
      <c r="H171" s="1" t="s">
        <v>26</v>
      </c>
      <c r="I171" s="1">
        <f>SUMIFS(ES_3[LENGTH_EX_SU],ES_3[STN],ES_3[[#This Row],[STN]],ES_3[DISCIPLINE_TYPE],"Out-of-School Suspension")+SUMIFS(ES_3[LENGTH_EX_SU],ES_3[STN],ES_3[[#This Row],[STN]],ES_3[DISCIPLINE_TYPE],"Expulsion")</f>
        <v>2</v>
      </c>
      <c r="J171" s="1">
        <f>IF(ES_3[[#This Row],[Count Exp/Sus]]&gt;10,1,0)</f>
        <v>0</v>
      </c>
      <c r="K171" s="1">
        <f t="shared" si="2"/>
        <v>0</v>
      </c>
      <c r="L171" s="1">
        <f>IF(J171=1,IF(COUNTIFS($A$3:A171,A171,$J$3:J171,1)=1,A171&amp;"-included",0),0)</f>
        <v>0</v>
      </c>
      <c r="M171" s="1" cm="1">
        <f t="array" ref="M171">IF(ES_3[[#This Row],[Included Exp/Sus]]=1,IF(SUMPRODUCT((ES_3[STN]=ES_3[[#This Row],[STN]])*(ES_3[Included Exp/Sus]=1)*(ROW(ES_3[STN])&lt;=ROW()))=1,1,0),0)</f>
        <v>0</v>
      </c>
      <c r="N171" s="1" t="str">
        <f>_xlfn.XLOOKUP(ES_3[[#This Row],[STN]],SE_3[STN],SE_3[Ethnicity],"",0)</f>
        <v>White</v>
      </c>
    </row>
    <row r="172" spans="1:14" ht="14.45">
      <c r="A172" s="1">
        <v>810413057</v>
      </c>
      <c r="B172" s="1">
        <v>7</v>
      </c>
      <c r="C172" s="2">
        <v>1</v>
      </c>
      <c r="D172" s="1" t="s">
        <v>24</v>
      </c>
      <c r="E172" s="2">
        <v>15</v>
      </c>
      <c r="F172" s="1" t="s">
        <v>27</v>
      </c>
      <c r="G172" s="2">
        <v>2</v>
      </c>
      <c r="H172" s="1" t="s">
        <v>26</v>
      </c>
      <c r="I172" s="1">
        <f>SUMIFS(ES_3[LENGTH_EX_SU],ES_3[STN],ES_3[[#This Row],[STN]],ES_3[DISCIPLINE_TYPE],"Out-of-School Suspension")+SUMIFS(ES_3[LENGTH_EX_SU],ES_3[STN],ES_3[[#This Row],[STN]],ES_3[DISCIPLINE_TYPE],"Expulsion")</f>
        <v>2</v>
      </c>
      <c r="J172" s="1">
        <f>IF(ES_3[[#This Row],[Count Exp/Sus]]&gt;10,1,0)</f>
        <v>0</v>
      </c>
      <c r="K172" s="1">
        <f t="shared" si="2"/>
        <v>0</v>
      </c>
      <c r="L172" s="1">
        <f>IF(J172=1,IF(COUNTIFS($A$3:A172,A172,$J$3:J172,1)=1,A172&amp;"-included",0),0)</f>
        <v>0</v>
      </c>
      <c r="M172" s="1" cm="1">
        <f t="array" ref="M172">IF(ES_3[[#This Row],[Included Exp/Sus]]=1,IF(SUMPRODUCT((ES_3[STN]=ES_3[[#This Row],[STN]])*(ES_3[Included Exp/Sus]=1)*(ROW(ES_3[STN])&lt;=ROW()))=1,1,0),0)</f>
        <v>0</v>
      </c>
      <c r="N172" s="1" t="str">
        <f>_xlfn.XLOOKUP(ES_3[[#This Row],[STN]],SE_3[STN],SE_3[Ethnicity],"",0)</f>
        <v>White</v>
      </c>
    </row>
    <row r="173" spans="1:14" ht="14.45">
      <c r="A173" s="1">
        <v>810414142</v>
      </c>
      <c r="B173" s="1">
        <v>7</v>
      </c>
      <c r="C173" s="2">
        <v>2</v>
      </c>
      <c r="D173" s="1" t="s">
        <v>31</v>
      </c>
      <c r="E173" s="2">
        <v>15</v>
      </c>
      <c r="F173" s="1" t="s">
        <v>27</v>
      </c>
      <c r="G173" s="2">
        <v>1</v>
      </c>
      <c r="H173" s="1" t="s">
        <v>29</v>
      </c>
      <c r="I173" s="1">
        <f>SUMIFS(ES_3[LENGTH_EX_SU],ES_3[STN],ES_3[[#This Row],[STN]],ES_3[DISCIPLINE_TYPE],"Out-of-School Suspension")+SUMIFS(ES_3[LENGTH_EX_SU],ES_3[STN],ES_3[[#This Row],[STN]],ES_3[DISCIPLINE_TYPE],"Expulsion")</f>
        <v>2</v>
      </c>
      <c r="J173" s="1">
        <f>IF(ES_3[[#This Row],[Count Exp/Sus]]&gt;10,1,0)</f>
        <v>0</v>
      </c>
      <c r="K173" s="1">
        <f t="shared" si="2"/>
        <v>0</v>
      </c>
      <c r="L173" s="1">
        <f>IF(J173=1,IF(COUNTIFS($A$3:A173,A173,$J$3:J173,1)=1,A173&amp;"-included",0),0)</f>
        <v>0</v>
      </c>
      <c r="M173" s="1" cm="1">
        <f t="array" ref="M173">IF(ES_3[[#This Row],[Included Exp/Sus]]=1,IF(SUMPRODUCT((ES_3[STN]=ES_3[[#This Row],[STN]])*(ES_3[Included Exp/Sus]=1)*(ROW(ES_3[STN])&lt;=ROW()))=1,1,0),0)</f>
        <v>0</v>
      </c>
      <c r="N173" s="1" t="str">
        <f>_xlfn.XLOOKUP(ES_3[[#This Row],[STN]],SE_3[STN],SE_3[Ethnicity],"",0)</f>
        <v>White</v>
      </c>
    </row>
    <row r="174" spans="1:14" ht="14.45">
      <c r="A174" s="1">
        <v>810414142</v>
      </c>
      <c r="B174" s="1">
        <v>7</v>
      </c>
      <c r="C174" s="2">
        <v>1</v>
      </c>
      <c r="D174" s="1" t="s">
        <v>24</v>
      </c>
      <c r="E174" s="2">
        <v>15</v>
      </c>
      <c r="F174" s="1" t="s">
        <v>27</v>
      </c>
      <c r="G174" s="2">
        <v>1</v>
      </c>
      <c r="H174" s="1" t="s">
        <v>29</v>
      </c>
      <c r="I174" s="1">
        <f>SUMIFS(ES_3[LENGTH_EX_SU],ES_3[STN],ES_3[[#This Row],[STN]],ES_3[DISCIPLINE_TYPE],"Out-of-School Suspension")+SUMIFS(ES_3[LENGTH_EX_SU],ES_3[STN],ES_3[[#This Row],[STN]],ES_3[DISCIPLINE_TYPE],"Expulsion")</f>
        <v>2</v>
      </c>
      <c r="J174" s="1">
        <f>IF(ES_3[[#This Row],[Count Exp/Sus]]&gt;10,1,0)</f>
        <v>0</v>
      </c>
      <c r="K174" s="1">
        <f t="shared" si="2"/>
        <v>0</v>
      </c>
      <c r="L174" s="1">
        <f>IF(J174=1,IF(COUNTIFS($A$3:A174,A174,$J$3:J174,1)=1,A174&amp;"-included",0),0)</f>
        <v>0</v>
      </c>
      <c r="M174" s="1" cm="1">
        <f t="array" ref="M174">IF(ES_3[[#This Row],[Included Exp/Sus]]=1,IF(SUMPRODUCT((ES_3[STN]=ES_3[[#This Row],[STN]])*(ES_3[Included Exp/Sus]=1)*(ROW(ES_3[STN])&lt;=ROW()))=1,1,0),0)</f>
        <v>0</v>
      </c>
      <c r="N174" s="1" t="str">
        <f>_xlfn.XLOOKUP(ES_3[[#This Row],[STN]],SE_3[STN],SE_3[Ethnicity],"",0)</f>
        <v>White</v>
      </c>
    </row>
    <row r="175" spans="1:14" ht="14.45">
      <c r="A175" s="1">
        <v>810414142</v>
      </c>
      <c r="B175" s="1">
        <v>7</v>
      </c>
      <c r="C175" s="2">
        <v>1</v>
      </c>
      <c r="D175" s="1" t="s">
        <v>24</v>
      </c>
      <c r="E175" s="2">
        <v>15</v>
      </c>
      <c r="F175" s="1" t="s">
        <v>27</v>
      </c>
      <c r="G175" s="2">
        <v>1</v>
      </c>
      <c r="H175" s="1" t="s">
        <v>29</v>
      </c>
      <c r="I175" s="1">
        <f>SUMIFS(ES_3[LENGTH_EX_SU],ES_3[STN],ES_3[[#This Row],[STN]],ES_3[DISCIPLINE_TYPE],"Out-of-School Suspension")+SUMIFS(ES_3[LENGTH_EX_SU],ES_3[STN],ES_3[[#This Row],[STN]],ES_3[DISCIPLINE_TYPE],"Expulsion")</f>
        <v>2</v>
      </c>
      <c r="J175" s="1">
        <f>IF(ES_3[[#This Row],[Count Exp/Sus]]&gt;10,1,0)</f>
        <v>0</v>
      </c>
      <c r="K175" s="1">
        <f t="shared" si="2"/>
        <v>0</v>
      </c>
      <c r="L175" s="1">
        <f>IF(J175=1,IF(COUNTIFS($A$3:A175,A175,$J$3:J175,1)=1,A175&amp;"-included",0),0)</f>
        <v>0</v>
      </c>
      <c r="M175" s="1" cm="1">
        <f t="array" ref="M175">IF(ES_3[[#This Row],[Included Exp/Sus]]=1,IF(SUMPRODUCT((ES_3[STN]=ES_3[[#This Row],[STN]])*(ES_3[Included Exp/Sus]=1)*(ROW(ES_3[STN])&lt;=ROW()))=1,1,0),0)</f>
        <v>0</v>
      </c>
      <c r="N175" s="1" t="str">
        <f>_xlfn.XLOOKUP(ES_3[[#This Row],[STN]],SE_3[STN],SE_3[Ethnicity],"",0)</f>
        <v>White</v>
      </c>
    </row>
    <row r="176" spans="1:14" ht="14.45">
      <c r="A176" s="1">
        <v>810414142</v>
      </c>
      <c r="B176" s="1">
        <v>7</v>
      </c>
      <c r="C176" s="2">
        <v>1</v>
      </c>
      <c r="D176" s="1" t="s">
        <v>24</v>
      </c>
      <c r="E176" s="2">
        <v>15</v>
      </c>
      <c r="F176" s="1" t="s">
        <v>27</v>
      </c>
      <c r="G176" s="2">
        <v>2</v>
      </c>
      <c r="H176" s="1" t="s">
        <v>29</v>
      </c>
      <c r="I176" s="1">
        <f>SUMIFS(ES_3[LENGTH_EX_SU],ES_3[STN],ES_3[[#This Row],[STN]],ES_3[DISCIPLINE_TYPE],"Out-of-School Suspension")+SUMIFS(ES_3[LENGTH_EX_SU],ES_3[STN],ES_3[[#This Row],[STN]],ES_3[DISCIPLINE_TYPE],"Expulsion")</f>
        <v>2</v>
      </c>
      <c r="J176" s="1">
        <f>IF(ES_3[[#This Row],[Count Exp/Sus]]&gt;10,1,0)</f>
        <v>0</v>
      </c>
      <c r="K176" s="1">
        <f t="shared" si="2"/>
        <v>0</v>
      </c>
      <c r="L176" s="1">
        <f>IF(J176=1,IF(COUNTIFS($A$3:A176,A176,$J$3:J176,1)=1,A176&amp;"-included",0),0)</f>
        <v>0</v>
      </c>
      <c r="M176" s="1" cm="1">
        <f t="array" ref="M176">IF(ES_3[[#This Row],[Included Exp/Sus]]=1,IF(SUMPRODUCT((ES_3[STN]=ES_3[[#This Row],[STN]])*(ES_3[Included Exp/Sus]=1)*(ROW(ES_3[STN])&lt;=ROW()))=1,1,0),0)</f>
        <v>0</v>
      </c>
      <c r="N176" s="1" t="str">
        <f>_xlfn.XLOOKUP(ES_3[[#This Row],[STN]],SE_3[STN],SE_3[Ethnicity],"",0)</f>
        <v>White</v>
      </c>
    </row>
    <row r="177" spans="1:14" ht="14.45">
      <c r="A177" s="1">
        <v>810414142</v>
      </c>
      <c r="B177" s="1">
        <v>7</v>
      </c>
      <c r="C177" s="2">
        <v>1</v>
      </c>
      <c r="D177" s="1" t="s">
        <v>24</v>
      </c>
      <c r="E177" s="2">
        <v>15</v>
      </c>
      <c r="F177" s="1" t="s">
        <v>27</v>
      </c>
      <c r="G177" s="2">
        <v>2</v>
      </c>
      <c r="H177" s="1" t="s">
        <v>29</v>
      </c>
      <c r="I177" s="1">
        <f>SUMIFS(ES_3[LENGTH_EX_SU],ES_3[STN],ES_3[[#This Row],[STN]],ES_3[DISCIPLINE_TYPE],"Out-of-School Suspension")+SUMIFS(ES_3[LENGTH_EX_SU],ES_3[STN],ES_3[[#This Row],[STN]],ES_3[DISCIPLINE_TYPE],"Expulsion")</f>
        <v>2</v>
      </c>
      <c r="J177" s="1">
        <f>IF(ES_3[[#This Row],[Count Exp/Sus]]&gt;10,1,0)</f>
        <v>0</v>
      </c>
      <c r="K177" s="1">
        <f t="shared" si="2"/>
        <v>0</v>
      </c>
      <c r="L177" s="1">
        <f>IF(J177=1,IF(COUNTIFS($A$3:A177,A177,$J$3:J177,1)=1,A177&amp;"-included",0),0)</f>
        <v>0</v>
      </c>
      <c r="M177" s="1" cm="1">
        <f t="array" ref="M177">IF(ES_3[[#This Row],[Included Exp/Sus]]=1,IF(SUMPRODUCT((ES_3[STN]=ES_3[[#This Row],[STN]])*(ES_3[Included Exp/Sus]=1)*(ROW(ES_3[STN])&lt;=ROW()))=1,1,0),0)</f>
        <v>0</v>
      </c>
      <c r="N177" s="1" t="str">
        <f>_xlfn.XLOOKUP(ES_3[[#This Row],[STN]],SE_3[STN],SE_3[Ethnicity],"",0)</f>
        <v>White</v>
      </c>
    </row>
    <row r="178" spans="1:14" ht="14.45">
      <c r="A178" s="1">
        <v>810414142</v>
      </c>
      <c r="B178" s="1">
        <v>7</v>
      </c>
      <c r="C178" s="2">
        <v>2</v>
      </c>
      <c r="D178" s="1" t="s">
        <v>31</v>
      </c>
      <c r="E178" s="2">
        <v>15</v>
      </c>
      <c r="F178" s="1" t="s">
        <v>27</v>
      </c>
      <c r="G178" s="2">
        <v>1</v>
      </c>
      <c r="H178" s="1" t="s">
        <v>29</v>
      </c>
      <c r="I178" s="1">
        <f>SUMIFS(ES_3[LENGTH_EX_SU],ES_3[STN],ES_3[[#This Row],[STN]],ES_3[DISCIPLINE_TYPE],"Out-of-School Suspension")+SUMIFS(ES_3[LENGTH_EX_SU],ES_3[STN],ES_3[[#This Row],[STN]],ES_3[DISCIPLINE_TYPE],"Expulsion")</f>
        <v>2</v>
      </c>
      <c r="J178" s="1">
        <f>IF(ES_3[[#This Row],[Count Exp/Sus]]&gt;10,1,0)</f>
        <v>0</v>
      </c>
      <c r="K178" s="1">
        <f t="shared" si="2"/>
        <v>0</v>
      </c>
      <c r="L178" s="1">
        <f>IF(J178=1,IF(COUNTIFS($A$3:A178,A178,$J$3:J178,1)=1,A178&amp;"-included",0),0)</f>
        <v>0</v>
      </c>
      <c r="M178" s="1" cm="1">
        <f t="array" ref="M178">IF(ES_3[[#This Row],[Included Exp/Sus]]=1,IF(SUMPRODUCT((ES_3[STN]=ES_3[[#This Row],[STN]])*(ES_3[Included Exp/Sus]=1)*(ROW(ES_3[STN])&lt;=ROW()))=1,1,0),0)</f>
        <v>0</v>
      </c>
      <c r="N178" s="1" t="str">
        <f>_xlfn.XLOOKUP(ES_3[[#This Row],[STN]],SE_3[STN],SE_3[Ethnicity],"",0)</f>
        <v>White</v>
      </c>
    </row>
    <row r="179" spans="1:14" ht="14.45">
      <c r="A179" s="1">
        <v>810414150</v>
      </c>
      <c r="B179" s="1">
        <v>7</v>
      </c>
      <c r="C179" s="2">
        <v>2</v>
      </c>
      <c r="D179" s="1" t="s">
        <v>31</v>
      </c>
      <c r="E179" s="2">
        <v>7</v>
      </c>
      <c r="F179" s="1" t="s">
        <v>30</v>
      </c>
      <c r="G179" s="2">
        <v>1</v>
      </c>
      <c r="H179" s="1" t="s">
        <v>29</v>
      </c>
      <c r="I179" s="1">
        <f>SUMIFS(ES_3[LENGTH_EX_SU],ES_3[STN],ES_3[[#This Row],[STN]],ES_3[DISCIPLINE_TYPE],"Out-of-School Suspension")+SUMIFS(ES_3[LENGTH_EX_SU],ES_3[STN],ES_3[[#This Row],[STN]],ES_3[DISCIPLINE_TYPE],"Expulsion")</f>
        <v>1</v>
      </c>
      <c r="J179" s="1">
        <f>IF(ES_3[[#This Row],[Count Exp/Sus]]&gt;10,1,0)</f>
        <v>0</v>
      </c>
      <c r="K179" s="1">
        <f t="shared" si="2"/>
        <v>0</v>
      </c>
      <c r="L179" s="1">
        <f>IF(J179=1,IF(COUNTIFS($A$3:A179,A179,$J$3:J179,1)=1,A179&amp;"-included",0),0)</f>
        <v>0</v>
      </c>
      <c r="M179" s="1" cm="1">
        <f t="array" ref="M179">IF(ES_3[[#This Row],[Included Exp/Sus]]=1,IF(SUMPRODUCT((ES_3[STN]=ES_3[[#This Row],[STN]])*(ES_3[Included Exp/Sus]=1)*(ROW(ES_3[STN])&lt;=ROW()))=1,1,0),0)</f>
        <v>0</v>
      </c>
      <c r="N179" s="1" t="str">
        <f>_xlfn.XLOOKUP(ES_3[[#This Row],[STN]],SE_3[STN],SE_3[Ethnicity],"",0)</f>
        <v>Multiracial (two or more races)</v>
      </c>
    </row>
    <row r="180" spans="1:14" ht="14.45">
      <c r="A180" s="1">
        <v>810419028</v>
      </c>
      <c r="B180" s="1">
        <v>2</v>
      </c>
      <c r="C180" s="2">
        <v>2</v>
      </c>
      <c r="D180" s="1" t="s">
        <v>31</v>
      </c>
      <c r="E180" s="2">
        <v>21</v>
      </c>
      <c r="F180" s="1" t="s">
        <v>47</v>
      </c>
      <c r="G180" s="2">
        <v>5</v>
      </c>
      <c r="H180" s="1" t="s">
        <v>26</v>
      </c>
      <c r="I180" s="1">
        <f>SUMIFS(ES_3[LENGTH_EX_SU],ES_3[STN],ES_3[[#This Row],[STN]],ES_3[DISCIPLINE_TYPE],"Out-of-School Suspension")+SUMIFS(ES_3[LENGTH_EX_SU],ES_3[STN],ES_3[[#This Row],[STN]],ES_3[DISCIPLINE_TYPE],"Expulsion")</f>
        <v>5</v>
      </c>
      <c r="J180" s="1">
        <f>IF(ES_3[[#This Row],[Count Exp/Sus]]&gt;10,1,0)</f>
        <v>0</v>
      </c>
      <c r="K180" s="1">
        <f t="shared" si="2"/>
        <v>0</v>
      </c>
      <c r="L180" s="1">
        <f>IF(J180=1,IF(COUNTIFS($A$3:A180,A180,$J$3:J180,1)=1,A180&amp;"-included",0),0)</f>
        <v>0</v>
      </c>
      <c r="M180" s="1" cm="1">
        <f t="array" ref="M180">IF(ES_3[[#This Row],[Included Exp/Sus]]=1,IF(SUMPRODUCT((ES_3[STN]=ES_3[[#This Row],[STN]])*(ES_3[Included Exp/Sus]=1)*(ROW(ES_3[STN])&lt;=ROW()))=1,1,0),0)</f>
        <v>0</v>
      </c>
      <c r="N180" s="1" t="str">
        <f>_xlfn.XLOOKUP(ES_3[[#This Row],[STN]],SE_3[STN],SE_3[Ethnicity],"",0)</f>
        <v>Black - African American</v>
      </c>
    </row>
    <row r="181" spans="1:14" ht="14.45">
      <c r="A181" s="1">
        <v>810419090</v>
      </c>
      <c r="B181" s="1">
        <v>8</v>
      </c>
      <c r="C181" s="2">
        <v>1</v>
      </c>
      <c r="D181" s="1" t="s">
        <v>24</v>
      </c>
      <c r="E181" s="2">
        <v>14</v>
      </c>
      <c r="F181" s="1" t="s">
        <v>32</v>
      </c>
      <c r="G181" s="2">
        <v>1</v>
      </c>
      <c r="H181" s="1" t="s">
        <v>29</v>
      </c>
      <c r="I181" s="1">
        <f>SUMIFS(ES_3[LENGTH_EX_SU],ES_3[STN],ES_3[[#This Row],[STN]],ES_3[DISCIPLINE_TYPE],"Out-of-School Suspension")+SUMIFS(ES_3[LENGTH_EX_SU],ES_3[STN],ES_3[[#This Row],[STN]],ES_3[DISCIPLINE_TYPE],"Expulsion")</f>
        <v>0</v>
      </c>
      <c r="J181" s="1">
        <f>IF(ES_3[[#This Row],[Count Exp/Sus]]&gt;10,1,0)</f>
        <v>0</v>
      </c>
      <c r="K181" s="1">
        <f t="shared" si="2"/>
        <v>0</v>
      </c>
      <c r="L181" s="1">
        <f>IF(J181=1,IF(COUNTIFS($A$3:A181,A181,$J$3:J181,1)=1,A181&amp;"-included",0),0)</f>
        <v>0</v>
      </c>
      <c r="M181" s="1" cm="1">
        <f t="array" ref="M181">IF(ES_3[[#This Row],[Included Exp/Sus]]=1,IF(SUMPRODUCT((ES_3[STN]=ES_3[[#This Row],[STN]])*(ES_3[Included Exp/Sus]=1)*(ROW(ES_3[STN])&lt;=ROW()))=1,1,0),0)</f>
        <v>0</v>
      </c>
      <c r="N181" s="1" t="str">
        <f>_xlfn.XLOOKUP(ES_3[[#This Row],[STN]],SE_3[STN],SE_3[Ethnicity],"",0)</f>
        <v>White</v>
      </c>
    </row>
    <row r="182" spans="1:14" ht="14.45">
      <c r="A182" s="1">
        <v>810419090</v>
      </c>
      <c r="B182" s="1">
        <v>8</v>
      </c>
      <c r="C182" s="2">
        <v>1</v>
      </c>
      <c r="D182" s="1" t="s">
        <v>24</v>
      </c>
      <c r="E182" s="2">
        <v>15</v>
      </c>
      <c r="F182" s="1" t="s">
        <v>27</v>
      </c>
      <c r="G182" s="2">
        <v>2</v>
      </c>
      <c r="H182" s="1" t="s">
        <v>29</v>
      </c>
      <c r="I182" s="1">
        <f>SUMIFS(ES_3[LENGTH_EX_SU],ES_3[STN],ES_3[[#This Row],[STN]],ES_3[DISCIPLINE_TYPE],"Out-of-School Suspension")+SUMIFS(ES_3[LENGTH_EX_SU],ES_3[STN],ES_3[[#This Row],[STN]],ES_3[DISCIPLINE_TYPE],"Expulsion")</f>
        <v>0</v>
      </c>
      <c r="J182" s="1">
        <f>IF(ES_3[[#This Row],[Count Exp/Sus]]&gt;10,1,0)</f>
        <v>0</v>
      </c>
      <c r="K182" s="1">
        <f t="shared" si="2"/>
        <v>0</v>
      </c>
      <c r="L182" s="1">
        <f>IF(J182=1,IF(COUNTIFS($A$3:A182,A182,$J$3:J182,1)=1,A182&amp;"-included",0),0)</f>
        <v>0</v>
      </c>
      <c r="M182" s="1" cm="1">
        <f t="array" ref="M182">IF(ES_3[[#This Row],[Included Exp/Sus]]=1,IF(SUMPRODUCT((ES_3[STN]=ES_3[[#This Row],[STN]])*(ES_3[Included Exp/Sus]=1)*(ROW(ES_3[STN])&lt;=ROW()))=1,1,0),0)</f>
        <v>0</v>
      </c>
      <c r="N182" s="1" t="str">
        <f>_xlfn.XLOOKUP(ES_3[[#This Row],[STN]],SE_3[STN],SE_3[Ethnicity],"",0)</f>
        <v>White</v>
      </c>
    </row>
    <row r="183" spans="1:14" ht="14.45">
      <c r="A183" s="1">
        <v>810509910</v>
      </c>
      <c r="B183" s="1">
        <v>9</v>
      </c>
      <c r="C183" s="2">
        <v>2</v>
      </c>
      <c r="D183" s="1" t="s">
        <v>31</v>
      </c>
      <c r="E183" s="2">
        <v>11</v>
      </c>
      <c r="F183" s="1" t="s">
        <v>36</v>
      </c>
      <c r="G183" s="2">
        <v>4</v>
      </c>
      <c r="H183" s="1" t="s">
        <v>29</v>
      </c>
      <c r="I183" s="1">
        <f>SUMIFS(ES_3[LENGTH_EX_SU],ES_3[STN],ES_3[[#This Row],[STN]],ES_3[DISCIPLINE_TYPE],"Out-of-School Suspension")+SUMIFS(ES_3[LENGTH_EX_SU],ES_3[STN],ES_3[[#This Row],[STN]],ES_3[DISCIPLINE_TYPE],"Expulsion")</f>
        <v>4</v>
      </c>
      <c r="J183" s="1">
        <f>IF(ES_3[[#This Row],[Count Exp/Sus]]&gt;10,1,0)</f>
        <v>0</v>
      </c>
      <c r="K183" s="1">
        <f t="shared" si="2"/>
        <v>0</v>
      </c>
      <c r="L183" s="1">
        <f>IF(J183=1,IF(COUNTIFS($A$3:A183,A183,$J$3:J183,1)=1,A183&amp;"-included",0),0)</f>
        <v>0</v>
      </c>
      <c r="M183" s="1" cm="1">
        <f t="array" ref="M183">IF(ES_3[[#This Row],[Included Exp/Sus]]=1,IF(SUMPRODUCT((ES_3[STN]=ES_3[[#This Row],[STN]])*(ES_3[Included Exp/Sus]=1)*(ROW(ES_3[STN])&lt;=ROW()))=1,1,0),0)</f>
        <v>0</v>
      </c>
      <c r="N183" s="1" t="str">
        <f>_xlfn.XLOOKUP(ES_3[[#This Row],[STN]],SE_3[STN],SE_3[Ethnicity],"",0)</f>
        <v>White</v>
      </c>
    </row>
    <row r="184" spans="1:14" ht="14.45">
      <c r="A184" s="1">
        <v>810512012</v>
      </c>
      <c r="B184" s="1">
        <v>9</v>
      </c>
      <c r="C184" s="2">
        <v>1</v>
      </c>
      <c r="D184" s="1" t="s">
        <v>24</v>
      </c>
      <c r="E184" s="2">
        <v>15</v>
      </c>
      <c r="F184" s="1" t="s">
        <v>27</v>
      </c>
      <c r="G184" s="2">
        <v>1</v>
      </c>
      <c r="H184" s="1" t="s">
        <v>29</v>
      </c>
      <c r="I184" s="1">
        <f>SUMIFS(ES_3[LENGTH_EX_SU],ES_3[STN],ES_3[[#This Row],[STN]],ES_3[DISCIPLINE_TYPE],"Out-of-School Suspension")+SUMIFS(ES_3[LENGTH_EX_SU],ES_3[STN],ES_3[[#This Row],[STN]],ES_3[DISCIPLINE_TYPE],"Expulsion")</f>
        <v>0</v>
      </c>
      <c r="J184" s="1">
        <f>IF(ES_3[[#This Row],[Count Exp/Sus]]&gt;10,1,0)</f>
        <v>0</v>
      </c>
      <c r="K184" s="1">
        <f t="shared" si="2"/>
        <v>0</v>
      </c>
      <c r="L184" s="1">
        <f>IF(J184=1,IF(COUNTIFS($A$3:A184,A184,$J$3:J184,1)=1,A184&amp;"-included",0),0)</f>
        <v>0</v>
      </c>
      <c r="M184" s="1" cm="1">
        <f t="array" ref="M184">IF(ES_3[[#This Row],[Included Exp/Sus]]=1,IF(SUMPRODUCT((ES_3[STN]=ES_3[[#This Row],[STN]])*(ES_3[Included Exp/Sus]=1)*(ROW(ES_3[STN])&lt;=ROW()))=1,1,0),0)</f>
        <v>0</v>
      </c>
      <c r="N184" s="1" t="str">
        <f>_xlfn.XLOOKUP(ES_3[[#This Row],[STN]],SE_3[STN],SE_3[Ethnicity],"",0)</f>
        <v>White</v>
      </c>
    </row>
    <row r="185" spans="1:14" ht="14.45">
      <c r="A185" s="1">
        <v>810513032</v>
      </c>
      <c r="B185" s="1">
        <v>8</v>
      </c>
      <c r="C185" s="2">
        <v>1</v>
      </c>
      <c r="D185" s="1" t="s">
        <v>24</v>
      </c>
      <c r="E185" s="2">
        <v>15</v>
      </c>
      <c r="F185" s="1" t="s">
        <v>27</v>
      </c>
      <c r="G185" s="2">
        <v>2</v>
      </c>
      <c r="H185" s="1" t="s">
        <v>29</v>
      </c>
      <c r="I185" s="1">
        <f>SUMIFS(ES_3[LENGTH_EX_SU],ES_3[STN],ES_3[[#This Row],[STN]],ES_3[DISCIPLINE_TYPE],"Out-of-School Suspension")+SUMIFS(ES_3[LENGTH_EX_SU],ES_3[STN],ES_3[[#This Row],[STN]],ES_3[DISCIPLINE_TYPE],"Expulsion")</f>
        <v>0</v>
      </c>
      <c r="J185" s="1">
        <f>IF(ES_3[[#This Row],[Count Exp/Sus]]&gt;10,1,0)</f>
        <v>0</v>
      </c>
      <c r="K185" s="1">
        <f t="shared" si="2"/>
        <v>0</v>
      </c>
      <c r="L185" s="1">
        <f>IF(J185=1,IF(COUNTIFS($A$3:A185,A185,$J$3:J185,1)=1,A185&amp;"-included",0),0)</f>
        <v>0</v>
      </c>
      <c r="M185" s="1" cm="1">
        <f t="array" ref="M185">IF(ES_3[[#This Row],[Included Exp/Sus]]=1,IF(SUMPRODUCT((ES_3[STN]=ES_3[[#This Row],[STN]])*(ES_3[Included Exp/Sus]=1)*(ROW(ES_3[STN])&lt;=ROW()))=1,1,0),0)</f>
        <v>0</v>
      </c>
      <c r="N185" s="1" t="str">
        <f>_xlfn.XLOOKUP(ES_3[[#This Row],[STN]],SE_3[STN],SE_3[Ethnicity],"",0)</f>
        <v>White</v>
      </c>
    </row>
    <row r="186" spans="1:14" ht="14.45">
      <c r="A186" s="1">
        <v>810513032</v>
      </c>
      <c r="B186" s="1">
        <v>8</v>
      </c>
      <c r="C186" s="2">
        <v>1</v>
      </c>
      <c r="D186" s="1" t="s">
        <v>24</v>
      </c>
      <c r="E186" s="2">
        <v>15</v>
      </c>
      <c r="F186" s="1" t="s">
        <v>27</v>
      </c>
      <c r="G186" s="2">
        <v>1</v>
      </c>
      <c r="H186" s="1" t="s">
        <v>29</v>
      </c>
      <c r="I186" s="1">
        <f>SUMIFS(ES_3[LENGTH_EX_SU],ES_3[STN],ES_3[[#This Row],[STN]],ES_3[DISCIPLINE_TYPE],"Out-of-School Suspension")+SUMIFS(ES_3[LENGTH_EX_SU],ES_3[STN],ES_3[[#This Row],[STN]],ES_3[DISCIPLINE_TYPE],"Expulsion")</f>
        <v>0</v>
      </c>
      <c r="J186" s="1">
        <f>IF(ES_3[[#This Row],[Count Exp/Sus]]&gt;10,1,0)</f>
        <v>0</v>
      </c>
      <c r="K186" s="1">
        <f t="shared" si="2"/>
        <v>0</v>
      </c>
      <c r="L186" s="1">
        <f>IF(J186=1,IF(COUNTIFS($A$3:A186,A186,$J$3:J186,1)=1,A186&amp;"-included",0),0)</f>
        <v>0</v>
      </c>
      <c r="M186" s="1" cm="1">
        <f t="array" ref="M186">IF(ES_3[[#This Row],[Included Exp/Sus]]=1,IF(SUMPRODUCT((ES_3[STN]=ES_3[[#This Row],[STN]])*(ES_3[Included Exp/Sus]=1)*(ROW(ES_3[STN])&lt;=ROW()))=1,1,0),0)</f>
        <v>0</v>
      </c>
      <c r="N186" s="1" t="str">
        <f>_xlfn.XLOOKUP(ES_3[[#This Row],[STN]],SE_3[STN],SE_3[Ethnicity],"",0)</f>
        <v>White</v>
      </c>
    </row>
    <row r="187" spans="1:14" ht="14.45">
      <c r="A187" s="1">
        <v>810513037</v>
      </c>
      <c r="B187" s="1">
        <v>8</v>
      </c>
      <c r="C187" s="2">
        <v>2</v>
      </c>
      <c r="D187" s="1" t="s">
        <v>31</v>
      </c>
      <c r="E187" s="2">
        <v>15</v>
      </c>
      <c r="F187" s="1" t="s">
        <v>27</v>
      </c>
      <c r="G187" s="2">
        <v>1</v>
      </c>
      <c r="H187" s="1" t="s">
        <v>26</v>
      </c>
      <c r="I187" s="1">
        <f>SUMIFS(ES_3[LENGTH_EX_SU],ES_3[STN],ES_3[[#This Row],[STN]],ES_3[DISCIPLINE_TYPE],"Out-of-School Suspension")+SUMIFS(ES_3[LENGTH_EX_SU],ES_3[STN],ES_3[[#This Row],[STN]],ES_3[DISCIPLINE_TYPE],"Expulsion")</f>
        <v>1</v>
      </c>
      <c r="J187" s="1">
        <f>IF(ES_3[[#This Row],[Count Exp/Sus]]&gt;10,1,0)</f>
        <v>0</v>
      </c>
      <c r="K187" s="1">
        <f t="shared" si="2"/>
        <v>0</v>
      </c>
      <c r="L187" s="1">
        <f>IF(J187=1,IF(COUNTIFS($A$3:A187,A187,$J$3:J187,1)=1,A187&amp;"-included",0),0)</f>
        <v>0</v>
      </c>
      <c r="M187" s="1" cm="1">
        <f t="array" ref="M187">IF(ES_3[[#This Row],[Included Exp/Sus]]=1,IF(SUMPRODUCT((ES_3[STN]=ES_3[[#This Row],[STN]])*(ES_3[Included Exp/Sus]=1)*(ROW(ES_3[STN])&lt;=ROW()))=1,1,0),0)</f>
        <v>0</v>
      </c>
      <c r="N187" s="1" t="str">
        <f>_xlfn.XLOOKUP(ES_3[[#This Row],[STN]],SE_3[STN],SE_3[Ethnicity],"",0)</f>
        <v>Black - African American</v>
      </c>
    </row>
    <row r="188" spans="1:14" ht="14.45">
      <c r="A188" s="1">
        <v>810513037</v>
      </c>
      <c r="B188" s="1">
        <v>8</v>
      </c>
      <c r="C188" s="2">
        <v>1</v>
      </c>
      <c r="D188" s="1" t="s">
        <v>24</v>
      </c>
      <c r="E188" s="2">
        <v>16</v>
      </c>
      <c r="F188" s="1" t="s">
        <v>28</v>
      </c>
      <c r="G188" s="2">
        <v>1</v>
      </c>
      <c r="H188" s="1" t="s">
        <v>26</v>
      </c>
      <c r="I188" s="1">
        <f>SUMIFS(ES_3[LENGTH_EX_SU],ES_3[STN],ES_3[[#This Row],[STN]],ES_3[DISCIPLINE_TYPE],"Out-of-School Suspension")+SUMIFS(ES_3[LENGTH_EX_SU],ES_3[STN],ES_3[[#This Row],[STN]],ES_3[DISCIPLINE_TYPE],"Expulsion")</f>
        <v>1</v>
      </c>
      <c r="J188" s="1">
        <f>IF(ES_3[[#This Row],[Count Exp/Sus]]&gt;10,1,0)</f>
        <v>0</v>
      </c>
      <c r="K188" s="1">
        <f t="shared" si="2"/>
        <v>0</v>
      </c>
      <c r="L188" s="1">
        <f>IF(J188=1,IF(COUNTIFS($A$3:A188,A188,$J$3:J188,1)=1,A188&amp;"-included",0),0)</f>
        <v>0</v>
      </c>
      <c r="M188" s="1" cm="1">
        <f t="array" ref="M188">IF(ES_3[[#This Row],[Included Exp/Sus]]=1,IF(SUMPRODUCT((ES_3[STN]=ES_3[[#This Row],[STN]])*(ES_3[Included Exp/Sus]=1)*(ROW(ES_3[STN])&lt;=ROW()))=1,1,0),0)</f>
        <v>0</v>
      </c>
      <c r="N188" s="1" t="str">
        <f>_xlfn.XLOOKUP(ES_3[[#This Row],[STN]],SE_3[STN],SE_3[Ethnicity],"",0)</f>
        <v>Black - African American</v>
      </c>
    </row>
    <row r="189" spans="1:14" ht="14.45">
      <c r="A189" s="1">
        <v>810513037</v>
      </c>
      <c r="B189" s="1">
        <v>8</v>
      </c>
      <c r="C189" s="2">
        <v>1</v>
      </c>
      <c r="D189" s="1" t="s">
        <v>24</v>
      </c>
      <c r="E189" s="2">
        <v>16</v>
      </c>
      <c r="F189" s="1" t="s">
        <v>28</v>
      </c>
      <c r="G189" s="2">
        <v>1</v>
      </c>
      <c r="H189" s="1" t="s">
        <v>26</v>
      </c>
      <c r="I189" s="1">
        <f>SUMIFS(ES_3[LENGTH_EX_SU],ES_3[STN],ES_3[[#This Row],[STN]],ES_3[DISCIPLINE_TYPE],"Out-of-School Suspension")+SUMIFS(ES_3[LENGTH_EX_SU],ES_3[STN],ES_3[[#This Row],[STN]],ES_3[DISCIPLINE_TYPE],"Expulsion")</f>
        <v>1</v>
      </c>
      <c r="J189" s="1">
        <f>IF(ES_3[[#This Row],[Count Exp/Sus]]&gt;10,1,0)</f>
        <v>0</v>
      </c>
      <c r="K189" s="1">
        <f t="shared" si="2"/>
        <v>0</v>
      </c>
      <c r="L189" s="1">
        <f>IF(J189=1,IF(COUNTIFS($A$3:A189,A189,$J$3:J189,1)=1,A189&amp;"-included",0),0)</f>
        <v>0</v>
      </c>
      <c r="M189" s="1" cm="1">
        <f t="array" ref="M189">IF(ES_3[[#This Row],[Included Exp/Sus]]=1,IF(SUMPRODUCT((ES_3[STN]=ES_3[[#This Row],[STN]])*(ES_3[Included Exp/Sus]=1)*(ROW(ES_3[STN])&lt;=ROW()))=1,1,0),0)</f>
        <v>0</v>
      </c>
      <c r="N189" s="1" t="str">
        <f>_xlfn.XLOOKUP(ES_3[[#This Row],[STN]],SE_3[STN],SE_3[Ethnicity],"",0)</f>
        <v>Black - African American</v>
      </c>
    </row>
    <row r="190" spans="1:14" ht="14.45">
      <c r="A190" s="1">
        <v>810513040</v>
      </c>
      <c r="B190" s="1">
        <v>8</v>
      </c>
      <c r="C190" s="2">
        <v>1</v>
      </c>
      <c r="D190" s="1" t="s">
        <v>24</v>
      </c>
      <c r="E190" s="2">
        <v>2</v>
      </c>
      <c r="F190" s="1" t="s">
        <v>33</v>
      </c>
      <c r="G190" s="2">
        <v>5</v>
      </c>
      <c r="H190" s="1" t="s">
        <v>29</v>
      </c>
      <c r="I190" s="1">
        <f>SUMIFS(ES_3[LENGTH_EX_SU],ES_3[STN],ES_3[[#This Row],[STN]],ES_3[DISCIPLINE_TYPE],"Out-of-School Suspension")+SUMIFS(ES_3[LENGTH_EX_SU],ES_3[STN],ES_3[[#This Row],[STN]],ES_3[DISCIPLINE_TYPE],"Expulsion")</f>
        <v>0</v>
      </c>
      <c r="J190" s="1">
        <f>IF(ES_3[[#This Row],[Count Exp/Sus]]&gt;10,1,0)</f>
        <v>0</v>
      </c>
      <c r="K190" s="1">
        <f t="shared" si="2"/>
        <v>0</v>
      </c>
      <c r="L190" s="1">
        <f>IF(J190=1,IF(COUNTIFS($A$3:A190,A190,$J$3:J190,1)=1,A190&amp;"-included",0),0)</f>
        <v>0</v>
      </c>
      <c r="M190" s="1" cm="1">
        <f t="array" ref="M190">IF(ES_3[[#This Row],[Included Exp/Sus]]=1,IF(SUMPRODUCT((ES_3[STN]=ES_3[[#This Row],[STN]])*(ES_3[Included Exp/Sus]=1)*(ROW(ES_3[STN])&lt;=ROW()))=1,1,0),0)</f>
        <v>0</v>
      </c>
      <c r="N190" s="1" t="str">
        <f>_xlfn.XLOOKUP(ES_3[[#This Row],[STN]],SE_3[STN],SE_3[Ethnicity],"",0)</f>
        <v>White</v>
      </c>
    </row>
    <row r="191" spans="1:14" ht="14.45">
      <c r="A191" s="1">
        <v>810818038</v>
      </c>
      <c r="B191" s="1">
        <v>5</v>
      </c>
      <c r="C191" s="2">
        <v>2</v>
      </c>
      <c r="D191" s="1" t="s">
        <v>31</v>
      </c>
      <c r="E191" s="2">
        <v>11</v>
      </c>
      <c r="F191" s="1" t="s">
        <v>36</v>
      </c>
      <c r="G191" s="2">
        <v>1</v>
      </c>
      <c r="H191" s="1" t="s">
        <v>29</v>
      </c>
      <c r="I191" s="1">
        <f>SUMIFS(ES_3[LENGTH_EX_SU],ES_3[STN],ES_3[[#This Row],[STN]],ES_3[DISCIPLINE_TYPE],"Out-of-School Suspension")+SUMIFS(ES_3[LENGTH_EX_SU],ES_3[STN],ES_3[[#This Row],[STN]],ES_3[DISCIPLINE_TYPE],"Expulsion")</f>
        <v>1</v>
      </c>
      <c r="J191" s="1">
        <f>IF(ES_3[[#This Row],[Count Exp/Sus]]&gt;10,1,0)</f>
        <v>0</v>
      </c>
      <c r="K191" s="1">
        <f t="shared" si="2"/>
        <v>0</v>
      </c>
      <c r="L191" s="1">
        <f>IF(J191=1,IF(COUNTIFS($A$3:A191,A191,$J$3:J191,1)=1,A191&amp;"-included",0),0)</f>
        <v>0</v>
      </c>
      <c r="M191" s="1" cm="1">
        <f t="array" ref="M191">IF(ES_3[[#This Row],[Included Exp/Sus]]=1,IF(SUMPRODUCT((ES_3[STN]=ES_3[[#This Row],[STN]])*(ES_3[Included Exp/Sus]=1)*(ROW(ES_3[STN])&lt;=ROW()))=1,1,0),0)</f>
        <v>0</v>
      </c>
      <c r="N191" s="1" t="str">
        <f>_xlfn.XLOOKUP(ES_3[[#This Row],[STN]],SE_3[STN],SE_3[Ethnicity],"",0)</f>
        <v>White</v>
      </c>
    </row>
    <row r="192" spans="1:14" ht="14.45">
      <c r="A192" s="1">
        <v>810821044</v>
      </c>
      <c r="B192" s="1" t="s">
        <v>41</v>
      </c>
      <c r="C192" s="2">
        <v>2</v>
      </c>
      <c r="D192" s="1" t="s">
        <v>31</v>
      </c>
      <c r="E192" s="2">
        <v>12</v>
      </c>
      <c r="F192" s="1" t="s">
        <v>46</v>
      </c>
      <c r="G192" s="2">
        <v>1</v>
      </c>
      <c r="H192" s="1" t="s">
        <v>29</v>
      </c>
      <c r="I192" s="1">
        <f>SUMIFS(ES_3[LENGTH_EX_SU],ES_3[STN],ES_3[[#This Row],[STN]],ES_3[DISCIPLINE_TYPE],"Out-of-School Suspension")+SUMIFS(ES_3[LENGTH_EX_SU],ES_3[STN],ES_3[[#This Row],[STN]],ES_3[DISCIPLINE_TYPE],"Expulsion")</f>
        <v>1</v>
      </c>
      <c r="J192" s="1">
        <f>IF(ES_3[[#This Row],[Count Exp/Sus]]&gt;10,1,0)</f>
        <v>0</v>
      </c>
      <c r="K192" s="1">
        <f t="shared" si="2"/>
        <v>0</v>
      </c>
      <c r="L192" s="1">
        <f>IF(J192=1,IF(COUNTIFS($A$3:A192,A192,$J$3:J192,1)=1,A192&amp;"-included",0),0)</f>
        <v>0</v>
      </c>
      <c r="M192" s="1" cm="1">
        <f t="array" ref="M192">IF(ES_3[[#This Row],[Included Exp/Sus]]=1,IF(SUMPRODUCT((ES_3[STN]=ES_3[[#This Row],[STN]])*(ES_3[Included Exp/Sus]=1)*(ROW(ES_3[STN])&lt;=ROW()))=1,1,0),0)</f>
        <v>0</v>
      </c>
      <c r="N192" s="1" t="str">
        <f>_xlfn.XLOOKUP(ES_3[[#This Row],[STN]],SE_3[STN],SE_3[Ethnicity],"",0)</f>
        <v>White</v>
      </c>
    </row>
    <row r="193" spans="1:14" ht="14.45">
      <c r="A193" s="1">
        <v>811111012</v>
      </c>
      <c r="B193" s="1">
        <v>10</v>
      </c>
      <c r="C193" s="2">
        <v>1</v>
      </c>
      <c r="D193" s="1" t="s">
        <v>24</v>
      </c>
      <c r="E193" s="2">
        <v>15</v>
      </c>
      <c r="F193" s="1" t="s">
        <v>27</v>
      </c>
      <c r="G193" s="2">
        <v>1</v>
      </c>
      <c r="H193" s="1" t="s">
        <v>29</v>
      </c>
      <c r="I193" s="1">
        <f>SUMIFS(ES_3[LENGTH_EX_SU],ES_3[STN],ES_3[[#This Row],[STN]],ES_3[DISCIPLINE_TYPE],"Out-of-School Suspension")+SUMIFS(ES_3[LENGTH_EX_SU],ES_3[STN],ES_3[[#This Row],[STN]],ES_3[DISCIPLINE_TYPE],"Expulsion")</f>
        <v>0</v>
      </c>
      <c r="J193" s="1">
        <f>IF(ES_3[[#This Row],[Count Exp/Sus]]&gt;10,1,0)</f>
        <v>0</v>
      </c>
      <c r="K193" s="1">
        <f t="shared" si="2"/>
        <v>0</v>
      </c>
      <c r="L193" s="1">
        <f>IF(J193=1,IF(COUNTIFS($A$3:A193,A193,$J$3:J193,1)=1,A193&amp;"-included",0),0)</f>
        <v>0</v>
      </c>
      <c r="M193" s="1" cm="1">
        <f t="array" ref="M193">IF(ES_3[[#This Row],[Included Exp/Sus]]=1,IF(SUMPRODUCT((ES_3[STN]=ES_3[[#This Row],[STN]])*(ES_3[Included Exp/Sus]=1)*(ROW(ES_3[STN])&lt;=ROW()))=1,1,0),0)</f>
        <v>0</v>
      </c>
      <c r="N193" s="1" t="str">
        <f>_xlfn.XLOOKUP(ES_3[[#This Row],[STN]],SE_3[STN],SE_3[Ethnicity],"",0)</f>
        <v>White</v>
      </c>
    </row>
    <row r="194" spans="1:14" ht="14.45">
      <c r="A194" s="1">
        <v>811111092</v>
      </c>
      <c r="B194" s="1">
        <v>10</v>
      </c>
      <c r="C194" s="2">
        <v>1</v>
      </c>
      <c r="D194" s="1" t="s">
        <v>24</v>
      </c>
      <c r="E194" s="2">
        <v>16</v>
      </c>
      <c r="F194" s="1" t="s">
        <v>28</v>
      </c>
      <c r="G194" s="2">
        <v>2</v>
      </c>
      <c r="H194" s="1" t="s">
        <v>29</v>
      </c>
      <c r="I194" s="1">
        <f>SUMIFS(ES_3[LENGTH_EX_SU],ES_3[STN],ES_3[[#This Row],[STN]],ES_3[DISCIPLINE_TYPE],"Out-of-School Suspension")+SUMIFS(ES_3[LENGTH_EX_SU],ES_3[STN],ES_3[[#This Row],[STN]],ES_3[DISCIPLINE_TYPE],"Expulsion")</f>
        <v>0</v>
      </c>
      <c r="J194" s="1">
        <f>IF(ES_3[[#This Row],[Count Exp/Sus]]&gt;10,1,0)</f>
        <v>0</v>
      </c>
      <c r="K194" s="1">
        <f t="shared" si="2"/>
        <v>0</v>
      </c>
      <c r="L194" s="1">
        <f>IF(J194=1,IF(COUNTIFS($A$3:A194,A194,$J$3:J194,1)=1,A194&amp;"-included",0),0)</f>
        <v>0</v>
      </c>
      <c r="M194" s="1" cm="1">
        <f t="array" ref="M194">IF(ES_3[[#This Row],[Included Exp/Sus]]=1,IF(SUMPRODUCT((ES_3[STN]=ES_3[[#This Row],[STN]])*(ES_3[Included Exp/Sus]=1)*(ROW(ES_3[STN])&lt;=ROW()))=1,1,0),0)</f>
        <v>0</v>
      </c>
      <c r="N194" s="1" t="str">
        <f>_xlfn.XLOOKUP(ES_3[[#This Row],[STN]],SE_3[STN],SE_3[Ethnicity],"",0)</f>
        <v>White</v>
      </c>
    </row>
    <row r="195" spans="1:14" ht="14.45">
      <c r="A195" s="1">
        <v>811111092</v>
      </c>
      <c r="B195" s="1">
        <v>10</v>
      </c>
      <c r="C195" s="2">
        <v>1</v>
      </c>
      <c r="D195" s="1" t="s">
        <v>24</v>
      </c>
      <c r="E195" s="2">
        <v>16</v>
      </c>
      <c r="F195" s="1" t="s">
        <v>28</v>
      </c>
      <c r="G195" s="2">
        <v>3</v>
      </c>
      <c r="H195" s="1" t="s">
        <v>29</v>
      </c>
      <c r="I195" s="1">
        <f>SUMIFS(ES_3[LENGTH_EX_SU],ES_3[STN],ES_3[[#This Row],[STN]],ES_3[DISCIPLINE_TYPE],"Out-of-School Suspension")+SUMIFS(ES_3[LENGTH_EX_SU],ES_3[STN],ES_3[[#This Row],[STN]],ES_3[DISCIPLINE_TYPE],"Expulsion")</f>
        <v>0</v>
      </c>
      <c r="J195" s="1">
        <f>IF(ES_3[[#This Row],[Count Exp/Sus]]&gt;10,1,0)</f>
        <v>0</v>
      </c>
      <c r="K195" s="1">
        <f t="shared" ref="K195:K258" si="3">IF(J195=1,A195&amp;"-included",0)</f>
        <v>0</v>
      </c>
      <c r="L195" s="1">
        <f>IF(J195=1,IF(COUNTIFS($A$3:A195,A195,$J$3:J195,1)=1,A195&amp;"-included",0),0)</f>
        <v>0</v>
      </c>
      <c r="M195" s="1" cm="1">
        <f t="array" ref="M195">IF(ES_3[[#This Row],[Included Exp/Sus]]=1,IF(SUMPRODUCT((ES_3[STN]=ES_3[[#This Row],[STN]])*(ES_3[Included Exp/Sus]=1)*(ROW(ES_3[STN])&lt;=ROW()))=1,1,0),0)</f>
        <v>0</v>
      </c>
      <c r="N195" s="1" t="str">
        <f>_xlfn.XLOOKUP(ES_3[[#This Row],[STN]],SE_3[STN],SE_3[Ethnicity],"",0)</f>
        <v>White</v>
      </c>
    </row>
    <row r="196" spans="1:14" ht="14.45">
      <c r="A196" s="1">
        <v>811112028</v>
      </c>
      <c r="B196" s="1">
        <v>9</v>
      </c>
      <c r="C196" s="2">
        <v>2</v>
      </c>
      <c r="D196" s="1" t="s">
        <v>31</v>
      </c>
      <c r="E196" s="2">
        <v>7</v>
      </c>
      <c r="F196" s="1" t="s">
        <v>30</v>
      </c>
      <c r="G196" s="2">
        <v>3</v>
      </c>
      <c r="H196" s="1" t="s">
        <v>29</v>
      </c>
      <c r="I196" s="1">
        <f>SUMIFS(ES_3[LENGTH_EX_SU],ES_3[STN],ES_3[[#This Row],[STN]],ES_3[DISCIPLINE_TYPE],"Out-of-School Suspension")+SUMIFS(ES_3[LENGTH_EX_SU],ES_3[STN],ES_3[[#This Row],[STN]],ES_3[DISCIPLINE_TYPE],"Expulsion")</f>
        <v>3</v>
      </c>
      <c r="J196" s="1">
        <f>IF(ES_3[[#This Row],[Count Exp/Sus]]&gt;10,1,0)</f>
        <v>0</v>
      </c>
      <c r="K196" s="1">
        <f t="shared" si="3"/>
        <v>0</v>
      </c>
      <c r="L196" s="1">
        <f>IF(J196=1,IF(COUNTIFS($A$3:A196,A196,$J$3:J196,1)=1,A196&amp;"-included",0),0)</f>
        <v>0</v>
      </c>
      <c r="M196" s="1" cm="1">
        <f t="array" ref="M196">IF(ES_3[[#This Row],[Included Exp/Sus]]=1,IF(SUMPRODUCT((ES_3[STN]=ES_3[[#This Row],[STN]])*(ES_3[Included Exp/Sus]=1)*(ROW(ES_3[STN])&lt;=ROW()))=1,1,0),0)</f>
        <v>0</v>
      </c>
      <c r="N196" s="1" t="str">
        <f>_xlfn.XLOOKUP(ES_3[[#This Row],[STN]],SE_3[STN],SE_3[Ethnicity],"",0)</f>
        <v>White</v>
      </c>
    </row>
    <row r="197" spans="1:14" ht="14.45">
      <c r="A197" s="1">
        <v>811710088</v>
      </c>
      <c r="B197" s="1">
        <v>11</v>
      </c>
      <c r="C197" s="2">
        <v>1</v>
      </c>
      <c r="D197" s="1" t="s">
        <v>24</v>
      </c>
      <c r="E197" s="2">
        <v>7</v>
      </c>
      <c r="F197" s="1" t="s">
        <v>30</v>
      </c>
      <c r="G197" s="2">
        <v>1</v>
      </c>
      <c r="H197" s="1" t="s">
        <v>29</v>
      </c>
      <c r="I197" s="1">
        <f>SUMIFS(ES_3[LENGTH_EX_SU],ES_3[STN],ES_3[[#This Row],[STN]],ES_3[DISCIPLINE_TYPE],"Out-of-School Suspension")+SUMIFS(ES_3[LENGTH_EX_SU],ES_3[STN],ES_3[[#This Row],[STN]],ES_3[DISCIPLINE_TYPE],"Expulsion")</f>
        <v>0</v>
      </c>
      <c r="J197" s="1">
        <f>IF(ES_3[[#This Row],[Count Exp/Sus]]&gt;10,1,0)</f>
        <v>0</v>
      </c>
      <c r="K197" s="1">
        <f t="shared" si="3"/>
        <v>0</v>
      </c>
      <c r="L197" s="1">
        <f>IF(J197=1,IF(COUNTIFS($A$3:A197,A197,$J$3:J197,1)=1,A197&amp;"-included",0),0)</f>
        <v>0</v>
      </c>
      <c r="M197" s="1" cm="1">
        <f t="array" ref="M197">IF(ES_3[[#This Row],[Included Exp/Sus]]=1,IF(SUMPRODUCT((ES_3[STN]=ES_3[[#This Row],[STN]])*(ES_3[Included Exp/Sus]=1)*(ROW(ES_3[STN])&lt;=ROW()))=1,1,0),0)</f>
        <v>0</v>
      </c>
      <c r="N197" s="1" t="str">
        <f>_xlfn.XLOOKUP(ES_3[[#This Row],[STN]],SE_3[STN],SE_3[Ethnicity],"",0)</f>
        <v>White</v>
      </c>
    </row>
    <row r="198" spans="1:14" ht="14.45">
      <c r="A198" s="1">
        <v>811710922</v>
      </c>
      <c r="B198" s="1">
        <v>7</v>
      </c>
      <c r="C198" s="2">
        <v>2</v>
      </c>
      <c r="D198" s="1" t="s">
        <v>31</v>
      </c>
      <c r="E198" s="2">
        <v>12</v>
      </c>
      <c r="F198" s="1" t="s">
        <v>46</v>
      </c>
      <c r="G198" s="2">
        <v>2</v>
      </c>
      <c r="H198" s="1" t="s">
        <v>29</v>
      </c>
      <c r="I198" s="1">
        <f>SUMIFS(ES_3[LENGTH_EX_SU],ES_3[STN],ES_3[[#This Row],[STN]],ES_3[DISCIPLINE_TYPE],"Out-of-School Suspension")+SUMIFS(ES_3[LENGTH_EX_SU],ES_3[STN],ES_3[[#This Row],[STN]],ES_3[DISCIPLINE_TYPE],"Expulsion")</f>
        <v>7</v>
      </c>
      <c r="J198" s="1">
        <f>IF(ES_3[[#This Row],[Count Exp/Sus]]&gt;10,1,0)</f>
        <v>0</v>
      </c>
      <c r="K198" s="1">
        <f t="shared" si="3"/>
        <v>0</v>
      </c>
      <c r="L198" s="1">
        <f>IF(J198=1,IF(COUNTIFS($A$3:A198,A198,$J$3:J198,1)=1,A198&amp;"-included",0),0)</f>
        <v>0</v>
      </c>
      <c r="M198" s="1" cm="1">
        <f t="array" ref="M198">IF(ES_3[[#This Row],[Included Exp/Sus]]=1,IF(SUMPRODUCT((ES_3[STN]=ES_3[[#This Row],[STN]])*(ES_3[Included Exp/Sus]=1)*(ROW(ES_3[STN])&lt;=ROW()))=1,1,0),0)</f>
        <v>0</v>
      </c>
      <c r="N198" s="1" t="str">
        <f>_xlfn.XLOOKUP(ES_3[[#This Row],[STN]],SE_3[STN],SE_3[Ethnicity],"",0)</f>
        <v>White</v>
      </c>
    </row>
    <row r="199" spans="1:14" ht="14.45">
      <c r="A199" s="1">
        <v>811710922</v>
      </c>
      <c r="B199" s="1">
        <v>7</v>
      </c>
      <c r="C199" s="2">
        <v>2</v>
      </c>
      <c r="D199" s="1" t="s">
        <v>31</v>
      </c>
      <c r="E199" s="2">
        <v>15</v>
      </c>
      <c r="F199" s="1" t="s">
        <v>27</v>
      </c>
      <c r="G199" s="2">
        <v>1</v>
      </c>
      <c r="H199" s="1" t="s">
        <v>29</v>
      </c>
      <c r="I199" s="1">
        <f>SUMIFS(ES_3[LENGTH_EX_SU],ES_3[STN],ES_3[[#This Row],[STN]],ES_3[DISCIPLINE_TYPE],"Out-of-School Suspension")+SUMIFS(ES_3[LENGTH_EX_SU],ES_3[STN],ES_3[[#This Row],[STN]],ES_3[DISCIPLINE_TYPE],"Expulsion")</f>
        <v>7</v>
      </c>
      <c r="J199" s="1">
        <f>IF(ES_3[[#This Row],[Count Exp/Sus]]&gt;10,1,0)</f>
        <v>0</v>
      </c>
      <c r="K199" s="1">
        <f t="shared" si="3"/>
        <v>0</v>
      </c>
      <c r="L199" s="1">
        <f>IF(J199=1,IF(COUNTIFS($A$3:A199,A199,$J$3:J199,1)=1,A199&amp;"-included",0),0)</f>
        <v>0</v>
      </c>
      <c r="M199" s="1" cm="1">
        <f t="array" ref="M199">IF(ES_3[[#This Row],[Included Exp/Sus]]=1,IF(SUMPRODUCT((ES_3[STN]=ES_3[[#This Row],[STN]])*(ES_3[Included Exp/Sus]=1)*(ROW(ES_3[STN])&lt;=ROW()))=1,1,0),0)</f>
        <v>0</v>
      </c>
      <c r="N199" s="1" t="str">
        <f>_xlfn.XLOOKUP(ES_3[[#This Row],[STN]],SE_3[STN],SE_3[Ethnicity],"",0)</f>
        <v>White</v>
      </c>
    </row>
    <row r="200" spans="1:14" ht="14.45">
      <c r="A200" s="1">
        <v>811710922</v>
      </c>
      <c r="B200" s="1">
        <v>7</v>
      </c>
      <c r="C200" s="2">
        <v>2</v>
      </c>
      <c r="D200" s="1" t="s">
        <v>31</v>
      </c>
      <c r="E200" s="2">
        <v>12</v>
      </c>
      <c r="F200" s="1" t="s">
        <v>46</v>
      </c>
      <c r="G200" s="2">
        <v>4</v>
      </c>
      <c r="H200" s="1" t="s">
        <v>29</v>
      </c>
      <c r="I200" s="1">
        <f>SUMIFS(ES_3[LENGTH_EX_SU],ES_3[STN],ES_3[[#This Row],[STN]],ES_3[DISCIPLINE_TYPE],"Out-of-School Suspension")+SUMIFS(ES_3[LENGTH_EX_SU],ES_3[STN],ES_3[[#This Row],[STN]],ES_3[DISCIPLINE_TYPE],"Expulsion")</f>
        <v>7</v>
      </c>
      <c r="J200" s="1">
        <f>IF(ES_3[[#This Row],[Count Exp/Sus]]&gt;10,1,0)</f>
        <v>0</v>
      </c>
      <c r="K200" s="1">
        <f t="shared" si="3"/>
        <v>0</v>
      </c>
      <c r="L200" s="1">
        <f>IF(J200=1,IF(COUNTIFS($A$3:A200,A200,$J$3:J200,1)=1,A200&amp;"-included",0),0)</f>
        <v>0</v>
      </c>
      <c r="M200" s="1" cm="1">
        <f t="array" ref="M200">IF(ES_3[[#This Row],[Included Exp/Sus]]=1,IF(SUMPRODUCT((ES_3[STN]=ES_3[[#This Row],[STN]])*(ES_3[Included Exp/Sus]=1)*(ROW(ES_3[STN])&lt;=ROW()))=1,1,0),0)</f>
        <v>0</v>
      </c>
      <c r="N200" s="1" t="str">
        <f>_xlfn.XLOOKUP(ES_3[[#This Row],[STN]],SE_3[STN],SE_3[Ethnicity],"",0)</f>
        <v>White</v>
      </c>
    </row>
    <row r="201" spans="1:14" ht="14.45">
      <c r="A201" s="1">
        <v>811710922</v>
      </c>
      <c r="B201" s="1">
        <v>7</v>
      </c>
      <c r="C201" s="2">
        <v>1</v>
      </c>
      <c r="D201" s="1" t="s">
        <v>24</v>
      </c>
      <c r="E201" s="2">
        <v>15</v>
      </c>
      <c r="F201" s="1" t="s">
        <v>27</v>
      </c>
      <c r="G201" s="2">
        <v>1</v>
      </c>
      <c r="H201" s="1" t="s">
        <v>29</v>
      </c>
      <c r="I201" s="1">
        <f>SUMIFS(ES_3[LENGTH_EX_SU],ES_3[STN],ES_3[[#This Row],[STN]],ES_3[DISCIPLINE_TYPE],"Out-of-School Suspension")+SUMIFS(ES_3[LENGTH_EX_SU],ES_3[STN],ES_3[[#This Row],[STN]],ES_3[DISCIPLINE_TYPE],"Expulsion")</f>
        <v>7</v>
      </c>
      <c r="J201" s="1">
        <f>IF(ES_3[[#This Row],[Count Exp/Sus]]&gt;10,1,0)</f>
        <v>0</v>
      </c>
      <c r="K201" s="1">
        <f t="shared" si="3"/>
        <v>0</v>
      </c>
      <c r="L201" s="1">
        <f>IF(J201=1,IF(COUNTIFS($A$3:A201,A201,$J$3:J201,1)=1,A201&amp;"-included",0),0)</f>
        <v>0</v>
      </c>
      <c r="M201" s="1" cm="1">
        <f t="array" ref="M201">IF(ES_3[[#This Row],[Included Exp/Sus]]=1,IF(SUMPRODUCT((ES_3[STN]=ES_3[[#This Row],[STN]])*(ES_3[Included Exp/Sus]=1)*(ROW(ES_3[STN])&lt;=ROW()))=1,1,0),0)</f>
        <v>0</v>
      </c>
      <c r="N201" s="1" t="str">
        <f>_xlfn.XLOOKUP(ES_3[[#This Row],[STN]],SE_3[STN],SE_3[Ethnicity],"",0)</f>
        <v>White</v>
      </c>
    </row>
    <row r="202" spans="1:14" ht="14.45">
      <c r="A202" s="1">
        <v>811711060</v>
      </c>
      <c r="B202" s="1">
        <v>10</v>
      </c>
      <c r="C202" s="2">
        <v>2</v>
      </c>
      <c r="D202" s="1" t="s">
        <v>31</v>
      </c>
      <c r="E202" s="2">
        <v>11</v>
      </c>
      <c r="F202" s="1" t="s">
        <v>36</v>
      </c>
      <c r="G202" s="2">
        <v>3</v>
      </c>
      <c r="H202" s="1" t="s">
        <v>29</v>
      </c>
      <c r="I202" s="1">
        <f>SUMIFS(ES_3[LENGTH_EX_SU],ES_3[STN],ES_3[[#This Row],[STN]],ES_3[DISCIPLINE_TYPE],"Out-of-School Suspension")+SUMIFS(ES_3[LENGTH_EX_SU],ES_3[STN],ES_3[[#This Row],[STN]],ES_3[DISCIPLINE_TYPE],"Expulsion")</f>
        <v>3</v>
      </c>
      <c r="J202" s="1">
        <f>IF(ES_3[[#This Row],[Count Exp/Sus]]&gt;10,1,0)</f>
        <v>0</v>
      </c>
      <c r="K202" s="1">
        <f t="shared" si="3"/>
        <v>0</v>
      </c>
      <c r="L202" s="1">
        <f>IF(J202=1,IF(COUNTIFS($A$3:A202,A202,$J$3:J202,1)=1,A202&amp;"-included",0),0)</f>
        <v>0</v>
      </c>
      <c r="M202" s="1" cm="1">
        <f t="array" ref="M202">IF(ES_3[[#This Row],[Included Exp/Sus]]=1,IF(SUMPRODUCT((ES_3[STN]=ES_3[[#This Row],[STN]])*(ES_3[Included Exp/Sus]=1)*(ROW(ES_3[STN])&lt;=ROW()))=1,1,0),0)</f>
        <v>0</v>
      </c>
      <c r="N202" s="1" t="str">
        <f>_xlfn.XLOOKUP(ES_3[[#This Row],[STN]],SE_3[STN],SE_3[Ethnicity],"",0)</f>
        <v>White</v>
      </c>
    </row>
    <row r="203" spans="1:14" ht="14.45">
      <c r="A203" s="1">
        <v>811711090</v>
      </c>
      <c r="B203" s="1">
        <v>9</v>
      </c>
      <c r="C203" s="2">
        <v>1</v>
      </c>
      <c r="D203" s="1" t="s">
        <v>24</v>
      </c>
      <c r="E203" s="2">
        <v>10</v>
      </c>
      <c r="F203" s="1" t="s">
        <v>25</v>
      </c>
      <c r="G203" s="2">
        <v>1</v>
      </c>
      <c r="H203" s="1" t="s">
        <v>29</v>
      </c>
      <c r="I203" s="1">
        <f>SUMIFS(ES_3[LENGTH_EX_SU],ES_3[STN],ES_3[[#This Row],[STN]],ES_3[DISCIPLINE_TYPE],"Out-of-School Suspension")+SUMIFS(ES_3[LENGTH_EX_SU],ES_3[STN],ES_3[[#This Row],[STN]],ES_3[DISCIPLINE_TYPE],"Expulsion")</f>
        <v>9</v>
      </c>
      <c r="J203" s="1">
        <f>IF(ES_3[[#This Row],[Count Exp/Sus]]&gt;10,1,0)</f>
        <v>0</v>
      </c>
      <c r="K203" s="1">
        <f t="shared" si="3"/>
        <v>0</v>
      </c>
      <c r="L203" s="1">
        <f>IF(J203=1,IF(COUNTIFS($A$3:A203,A203,$J$3:J203,1)=1,A203&amp;"-included",0),0)</f>
        <v>0</v>
      </c>
      <c r="M203" s="1" cm="1">
        <f t="array" ref="M203">IF(ES_3[[#This Row],[Included Exp/Sus]]=1,IF(SUMPRODUCT((ES_3[STN]=ES_3[[#This Row],[STN]])*(ES_3[Included Exp/Sus]=1)*(ROW(ES_3[STN])&lt;=ROW()))=1,1,0),0)</f>
        <v>0</v>
      </c>
      <c r="N203" s="1" t="str">
        <f>_xlfn.XLOOKUP(ES_3[[#This Row],[STN]],SE_3[STN],SE_3[Ethnicity],"",0)</f>
        <v>White</v>
      </c>
    </row>
    <row r="204" spans="1:14" ht="14.45">
      <c r="A204" s="1">
        <v>811711090</v>
      </c>
      <c r="B204" s="1">
        <v>9</v>
      </c>
      <c r="C204" s="2">
        <v>2</v>
      </c>
      <c r="D204" s="1" t="s">
        <v>31</v>
      </c>
      <c r="E204" s="2">
        <v>15</v>
      </c>
      <c r="F204" s="1" t="s">
        <v>27</v>
      </c>
      <c r="G204" s="2">
        <v>1</v>
      </c>
      <c r="H204" s="1" t="s">
        <v>29</v>
      </c>
      <c r="I204" s="1">
        <f>SUMIFS(ES_3[LENGTH_EX_SU],ES_3[STN],ES_3[[#This Row],[STN]],ES_3[DISCIPLINE_TYPE],"Out-of-School Suspension")+SUMIFS(ES_3[LENGTH_EX_SU],ES_3[STN],ES_3[[#This Row],[STN]],ES_3[DISCIPLINE_TYPE],"Expulsion")</f>
        <v>9</v>
      </c>
      <c r="J204" s="1">
        <f>IF(ES_3[[#This Row],[Count Exp/Sus]]&gt;10,1,0)</f>
        <v>0</v>
      </c>
      <c r="K204" s="1">
        <f t="shared" si="3"/>
        <v>0</v>
      </c>
      <c r="L204" s="1">
        <f>IF(J204=1,IF(COUNTIFS($A$3:A204,A204,$J$3:J204,1)=1,A204&amp;"-included",0),0)</f>
        <v>0</v>
      </c>
      <c r="M204" s="1" cm="1">
        <f t="array" ref="M204">IF(ES_3[[#This Row],[Included Exp/Sus]]=1,IF(SUMPRODUCT((ES_3[STN]=ES_3[[#This Row],[STN]])*(ES_3[Included Exp/Sus]=1)*(ROW(ES_3[STN])&lt;=ROW()))=1,1,0),0)</f>
        <v>0</v>
      </c>
      <c r="N204" s="1" t="str">
        <f>_xlfn.XLOOKUP(ES_3[[#This Row],[STN]],SE_3[STN],SE_3[Ethnicity],"",0)</f>
        <v>White</v>
      </c>
    </row>
    <row r="205" spans="1:14" ht="14.45">
      <c r="A205" s="1">
        <v>811711090</v>
      </c>
      <c r="B205" s="1">
        <v>9</v>
      </c>
      <c r="C205" s="2">
        <v>1</v>
      </c>
      <c r="D205" s="1" t="s">
        <v>24</v>
      </c>
      <c r="E205" s="2">
        <v>16</v>
      </c>
      <c r="F205" s="1" t="s">
        <v>28</v>
      </c>
      <c r="G205" s="2">
        <v>1</v>
      </c>
      <c r="H205" s="1" t="s">
        <v>29</v>
      </c>
      <c r="I205" s="1">
        <f>SUMIFS(ES_3[LENGTH_EX_SU],ES_3[STN],ES_3[[#This Row],[STN]],ES_3[DISCIPLINE_TYPE],"Out-of-School Suspension")+SUMIFS(ES_3[LENGTH_EX_SU],ES_3[STN],ES_3[[#This Row],[STN]],ES_3[DISCIPLINE_TYPE],"Expulsion")</f>
        <v>9</v>
      </c>
      <c r="J205" s="1">
        <f>IF(ES_3[[#This Row],[Count Exp/Sus]]&gt;10,1,0)</f>
        <v>0</v>
      </c>
      <c r="K205" s="1">
        <f t="shared" si="3"/>
        <v>0</v>
      </c>
      <c r="L205" s="1">
        <f>IF(J205=1,IF(COUNTIFS($A$3:A205,A205,$J$3:J205,1)=1,A205&amp;"-included",0),0)</f>
        <v>0</v>
      </c>
      <c r="M205" s="1" cm="1">
        <f t="array" ref="M205">IF(ES_3[[#This Row],[Included Exp/Sus]]=1,IF(SUMPRODUCT((ES_3[STN]=ES_3[[#This Row],[STN]])*(ES_3[Included Exp/Sus]=1)*(ROW(ES_3[STN])&lt;=ROW()))=1,1,0),0)</f>
        <v>0</v>
      </c>
      <c r="N205" s="1" t="str">
        <f>_xlfn.XLOOKUP(ES_3[[#This Row],[STN]],SE_3[STN],SE_3[Ethnicity],"",0)</f>
        <v>White</v>
      </c>
    </row>
    <row r="206" spans="1:14" ht="14.45">
      <c r="A206" s="1">
        <v>811711090</v>
      </c>
      <c r="B206" s="1">
        <v>9</v>
      </c>
      <c r="C206" s="2">
        <v>1</v>
      </c>
      <c r="D206" s="1" t="s">
        <v>24</v>
      </c>
      <c r="E206" s="2">
        <v>16</v>
      </c>
      <c r="F206" s="1" t="s">
        <v>28</v>
      </c>
      <c r="G206" s="2">
        <v>1</v>
      </c>
      <c r="H206" s="1" t="s">
        <v>29</v>
      </c>
      <c r="I206" s="1">
        <f>SUMIFS(ES_3[LENGTH_EX_SU],ES_3[STN],ES_3[[#This Row],[STN]],ES_3[DISCIPLINE_TYPE],"Out-of-School Suspension")+SUMIFS(ES_3[LENGTH_EX_SU],ES_3[STN],ES_3[[#This Row],[STN]],ES_3[DISCIPLINE_TYPE],"Expulsion")</f>
        <v>9</v>
      </c>
      <c r="J206" s="1">
        <f>IF(ES_3[[#This Row],[Count Exp/Sus]]&gt;10,1,0)</f>
        <v>0</v>
      </c>
      <c r="K206" s="1">
        <f t="shared" si="3"/>
        <v>0</v>
      </c>
      <c r="L206" s="1">
        <f>IF(J206=1,IF(COUNTIFS($A$3:A206,A206,$J$3:J206,1)=1,A206&amp;"-included",0),0)</f>
        <v>0</v>
      </c>
      <c r="M206" s="1" cm="1">
        <f t="array" ref="M206">IF(ES_3[[#This Row],[Included Exp/Sus]]=1,IF(SUMPRODUCT((ES_3[STN]=ES_3[[#This Row],[STN]])*(ES_3[Included Exp/Sus]=1)*(ROW(ES_3[STN])&lt;=ROW()))=1,1,0),0)</f>
        <v>0</v>
      </c>
      <c r="N206" s="1" t="str">
        <f>_xlfn.XLOOKUP(ES_3[[#This Row],[STN]],SE_3[STN],SE_3[Ethnicity],"",0)</f>
        <v>White</v>
      </c>
    </row>
    <row r="207" spans="1:14" ht="14.45">
      <c r="A207" s="1">
        <v>811711090</v>
      </c>
      <c r="B207" s="1">
        <v>9</v>
      </c>
      <c r="C207" s="2">
        <v>1</v>
      </c>
      <c r="D207" s="1" t="s">
        <v>24</v>
      </c>
      <c r="E207" s="2">
        <v>16</v>
      </c>
      <c r="F207" s="1" t="s">
        <v>28</v>
      </c>
      <c r="G207" s="2">
        <v>1</v>
      </c>
      <c r="H207" s="1" t="s">
        <v>29</v>
      </c>
      <c r="I207" s="1">
        <f>SUMIFS(ES_3[LENGTH_EX_SU],ES_3[STN],ES_3[[#This Row],[STN]],ES_3[DISCIPLINE_TYPE],"Out-of-School Suspension")+SUMIFS(ES_3[LENGTH_EX_SU],ES_3[STN],ES_3[[#This Row],[STN]],ES_3[DISCIPLINE_TYPE],"Expulsion")</f>
        <v>9</v>
      </c>
      <c r="J207" s="1">
        <f>IF(ES_3[[#This Row],[Count Exp/Sus]]&gt;10,1,0)</f>
        <v>0</v>
      </c>
      <c r="K207" s="1">
        <f t="shared" si="3"/>
        <v>0</v>
      </c>
      <c r="L207" s="1">
        <f>IF(J207=1,IF(COUNTIFS($A$3:A207,A207,$J$3:J207,1)=1,A207&amp;"-included",0),0)</f>
        <v>0</v>
      </c>
      <c r="M207" s="1" cm="1">
        <f t="array" ref="M207">IF(ES_3[[#This Row],[Included Exp/Sus]]=1,IF(SUMPRODUCT((ES_3[STN]=ES_3[[#This Row],[STN]])*(ES_3[Included Exp/Sus]=1)*(ROW(ES_3[STN])&lt;=ROW()))=1,1,0),0)</f>
        <v>0</v>
      </c>
      <c r="N207" s="1" t="str">
        <f>_xlfn.XLOOKUP(ES_3[[#This Row],[STN]],SE_3[STN],SE_3[Ethnicity],"",0)</f>
        <v>White</v>
      </c>
    </row>
    <row r="208" spans="1:14" ht="14.45">
      <c r="A208" s="1">
        <v>811711090</v>
      </c>
      <c r="B208" s="1">
        <v>9</v>
      </c>
      <c r="C208" s="2">
        <v>1</v>
      </c>
      <c r="D208" s="1" t="s">
        <v>24</v>
      </c>
      <c r="E208" s="2">
        <v>16</v>
      </c>
      <c r="F208" s="1" t="s">
        <v>28</v>
      </c>
      <c r="G208" s="2">
        <v>1</v>
      </c>
      <c r="H208" s="1" t="s">
        <v>29</v>
      </c>
      <c r="I208" s="1">
        <f>SUMIFS(ES_3[LENGTH_EX_SU],ES_3[STN],ES_3[[#This Row],[STN]],ES_3[DISCIPLINE_TYPE],"Out-of-School Suspension")+SUMIFS(ES_3[LENGTH_EX_SU],ES_3[STN],ES_3[[#This Row],[STN]],ES_3[DISCIPLINE_TYPE],"Expulsion")</f>
        <v>9</v>
      </c>
      <c r="J208" s="1">
        <f>IF(ES_3[[#This Row],[Count Exp/Sus]]&gt;10,1,0)</f>
        <v>0</v>
      </c>
      <c r="K208" s="1">
        <f t="shared" si="3"/>
        <v>0</v>
      </c>
      <c r="L208" s="1">
        <f>IF(J208=1,IF(COUNTIFS($A$3:A208,A208,$J$3:J208,1)=1,A208&amp;"-included",0),0)</f>
        <v>0</v>
      </c>
      <c r="M208" s="1" cm="1">
        <f t="array" ref="M208">IF(ES_3[[#This Row],[Included Exp/Sus]]=1,IF(SUMPRODUCT((ES_3[STN]=ES_3[[#This Row],[STN]])*(ES_3[Included Exp/Sus]=1)*(ROW(ES_3[STN])&lt;=ROW()))=1,1,0),0)</f>
        <v>0</v>
      </c>
      <c r="N208" s="1" t="str">
        <f>_xlfn.XLOOKUP(ES_3[[#This Row],[STN]],SE_3[STN],SE_3[Ethnicity],"",0)</f>
        <v>White</v>
      </c>
    </row>
    <row r="209" spans="1:14" ht="14.45">
      <c r="A209" s="1">
        <v>811711090</v>
      </c>
      <c r="B209" s="1">
        <v>9</v>
      </c>
      <c r="C209" s="2">
        <v>2</v>
      </c>
      <c r="D209" s="1" t="s">
        <v>31</v>
      </c>
      <c r="E209" s="2">
        <v>15</v>
      </c>
      <c r="F209" s="1" t="s">
        <v>27</v>
      </c>
      <c r="G209" s="2">
        <v>3</v>
      </c>
      <c r="H209" s="1" t="s">
        <v>29</v>
      </c>
      <c r="I209" s="1">
        <f>SUMIFS(ES_3[LENGTH_EX_SU],ES_3[STN],ES_3[[#This Row],[STN]],ES_3[DISCIPLINE_TYPE],"Out-of-School Suspension")+SUMIFS(ES_3[LENGTH_EX_SU],ES_3[STN],ES_3[[#This Row],[STN]],ES_3[DISCIPLINE_TYPE],"Expulsion")</f>
        <v>9</v>
      </c>
      <c r="J209" s="1">
        <f>IF(ES_3[[#This Row],[Count Exp/Sus]]&gt;10,1,0)</f>
        <v>0</v>
      </c>
      <c r="K209" s="1">
        <f t="shared" si="3"/>
        <v>0</v>
      </c>
      <c r="L209" s="1">
        <f>IF(J209=1,IF(COUNTIFS($A$3:A209,A209,$J$3:J209,1)=1,A209&amp;"-included",0),0)</f>
        <v>0</v>
      </c>
      <c r="M209" s="1" cm="1">
        <f t="array" ref="M209">IF(ES_3[[#This Row],[Included Exp/Sus]]=1,IF(SUMPRODUCT((ES_3[STN]=ES_3[[#This Row],[STN]])*(ES_3[Included Exp/Sus]=1)*(ROW(ES_3[STN])&lt;=ROW()))=1,1,0),0)</f>
        <v>0</v>
      </c>
      <c r="N209" s="1" t="str">
        <f>_xlfn.XLOOKUP(ES_3[[#This Row],[STN]],SE_3[STN],SE_3[Ethnicity],"",0)</f>
        <v>White</v>
      </c>
    </row>
    <row r="210" spans="1:14" ht="14.45">
      <c r="A210" s="1">
        <v>811711090</v>
      </c>
      <c r="B210" s="1">
        <v>9</v>
      </c>
      <c r="C210" s="2">
        <v>2</v>
      </c>
      <c r="D210" s="1" t="s">
        <v>31</v>
      </c>
      <c r="E210" s="2">
        <v>16</v>
      </c>
      <c r="F210" s="1" t="s">
        <v>28</v>
      </c>
      <c r="G210" s="2">
        <v>5</v>
      </c>
      <c r="H210" s="1" t="s">
        <v>29</v>
      </c>
      <c r="I210" s="1">
        <f>SUMIFS(ES_3[LENGTH_EX_SU],ES_3[STN],ES_3[[#This Row],[STN]],ES_3[DISCIPLINE_TYPE],"Out-of-School Suspension")+SUMIFS(ES_3[LENGTH_EX_SU],ES_3[STN],ES_3[[#This Row],[STN]],ES_3[DISCIPLINE_TYPE],"Expulsion")</f>
        <v>9</v>
      </c>
      <c r="J210" s="1">
        <f>IF(ES_3[[#This Row],[Count Exp/Sus]]&gt;10,1,0)</f>
        <v>0</v>
      </c>
      <c r="K210" s="1">
        <f t="shared" si="3"/>
        <v>0</v>
      </c>
      <c r="L210" s="1">
        <f>IF(J210=1,IF(COUNTIFS($A$3:A210,A210,$J$3:J210,1)=1,A210&amp;"-included",0),0)</f>
        <v>0</v>
      </c>
      <c r="M210" s="1" cm="1">
        <f t="array" ref="M210">IF(ES_3[[#This Row],[Included Exp/Sus]]=1,IF(SUMPRODUCT((ES_3[STN]=ES_3[[#This Row],[STN]])*(ES_3[Included Exp/Sus]=1)*(ROW(ES_3[STN])&lt;=ROW()))=1,1,0),0)</f>
        <v>0</v>
      </c>
      <c r="N210" s="1" t="str">
        <f>_xlfn.XLOOKUP(ES_3[[#This Row],[STN]],SE_3[STN],SE_3[Ethnicity],"",0)</f>
        <v>White</v>
      </c>
    </row>
    <row r="211" spans="1:14" ht="14.45">
      <c r="A211" s="1">
        <v>811711153</v>
      </c>
      <c r="B211" s="1">
        <v>10</v>
      </c>
      <c r="C211" s="2">
        <v>2</v>
      </c>
      <c r="D211" s="1" t="s">
        <v>31</v>
      </c>
      <c r="E211" s="2">
        <v>14</v>
      </c>
      <c r="F211" s="1" t="s">
        <v>32</v>
      </c>
      <c r="G211" s="2">
        <v>2</v>
      </c>
      <c r="H211" s="1" t="s">
        <v>26</v>
      </c>
      <c r="I211" s="1">
        <f>SUMIFS(ES_3[LENGTH_EX_SU],ES_3[STN],ES_3[[#This Row],[STN]],ES_3[DISCIPLINE_TYPE],"Out-of-School Suspension")+SUMIFS(ES_3[LENGTH_EX_SU],ES_3[STN],ES_3[[#This Row],[STN]],ES_3[DISCIPLINE_TYPE],"Expulsion")</f>
        <v>2</v>
      </c>
      <c r="J211" s="1">
        <f>IF(ES_3[[#This Row],[Count Exp/Sus]]&gt;10,1,0)</f>
        <v>0</v>
      </c>
      <c r="K211" s="1">
        <f t="shared" si="3"/>
        <v>0</v>
      </c>
      <c r="L211" s="1">
        <f>IF(J211=1,IF(COUNTIFS($A$3:A211,A211,$J$3:J211,1)=1,A211&amp;"-included",0),0)</f>
        <v>0</v>
      </c>
      <c r="M211" s="1" cm="1">
        <f t="array" ref="M211">IF(ES_3[[#This Row],[Included Exp/Sus]]=1,IF(SUMPRODUCT((ES_3[STN]=ES_3[[#This Row],[STN]])*(ES_3[Included Exp/Sus]=1)*(ROW(ES_3[STN])&lt;=ROW()))=1,1,0),0)</f>
        <v>0</v>
      </c>
      <c r="N211" s="1" t="str">
        <f>_xlfn.XLOOKUP(ES_3[[#This Row],[STN]],SE_3[STN],SE_3[Ethnicity],"",0)</f>
        <v>White</v>
      </c>
    </row>
    <row r="212" spans="1:14" ht="14.45">
      <c r="A212" s="1">
        <v>811711165</v>
      </c>
      <c r="B212" s="1">
        <v>8</v>
      </c>
      <c r="C212" s="2">
        <v>2</v>
      </c>
      <c r="D212" s="1" t="s">
        <v>31</v>
      </c>
      <c r="E212" s="2">
        <v>15</v>
      </c>
      <c r="F212" s="1" t="s">
        <v>27</v>
      </c>
      <c r="G212" s="2">
        <v>1</v>
      </c>
      <c r="H212" s="1" t="s">
        <v>26</v>
      </c>
      <c r="I212" s="1">
        <f>SUMIFS(ES_3[LENGTH_EX_SU],ES_3[STN],ES_3[[#This Row],[STN]],ES_3[DISCIPLINE_TYPE],"Out-of-School Suspension")+SUMIFS(ES_3[LENGTH_EX_SU],ES_3[STN],ES_3[[#This Row],[STN]],ES_3[DISCIPLINE_TYPE],"Expulsion")</f>
        <v>9</v>
      </c>
      <c r="J212" s="1">
        <f>IF(ES_3[[#This Row],[Count Exp/Sus]]&gt;10,1,0)</f>
        <v>0</v>
      </c>
      <c r="K212" s="1">
        <f t="shared" si="3"/>
        <v>0</v>
      </c>
      <c r="L212" s="1">
        <f>IF(J212=1,IF(COUNTIFS($A$3:A212,A212,$J$3:J212,1)=1,A212&amp;"-included",0),0)</f>
        <v>0</v>
      </c>
      <c r="M212" s="1" cm="1">
        <f t="array" ref="M212">IF(ES_3[[#This Row],[Included Exp/Sus]]=1,IF(SUMPRODUCT((ES_3[STN]=ES_3[[#This Row],[STN]])*(ES_3[Included Exp/Sus]=1)*(ROW(ES_3[STN])&lt;=ROW()))=1,1,0),0)</f>
        <v>0</v>
      </c>
      <c r="N212" s="1" t="str">
        <f>_xlfn.XLOOKUP(ES_3[[#This Row],[STN]],SE_3[STN],SE_3[Ethnicity],"",0)</f>
        <v>White</v>
      </c>
    </row>
    <row r="213" spans="1:14" ht="14.45">
      <c r="A213" s="1">
        <v>811711165</v>
      </c>
      <c r="B213" s="1">
        <v>8</v>
      </c>
      <c r="C213" s="2">
        <v>2</v>
      </c>
      <c r="D213" s="1" t="s">
        <v>31</v>
      </c>
      <c r="E213" s="2">
        <v>15</v>
      </c>
      <c r="F213" s="1" t="s">
        <v>27</v>
      </c>
      <c r="G213" s="2">
        <v>1</v>
      </c>
      <c r="H213" s="1" t="s">
        <v>26</v>
      </c>
      <c r="I213" s="1">
        <f>SUMIFS(ES_3[LENGTH_EX_SU],ES_3[STN],ES_3[[#This Row],[STN]],ES_3[DISCIPLINE_TYPE],"Out-of-School Suspension")+SUMIFS(ES_3[LENGTH_EX_SU],ES_3[STN],ES_3[[#This Row],[STN]],ES_3[DISCIPLINE_TYPE],"Expulsion")</f>
        <v>9</v>
      </c>
      <c r="J213" s="1">
        <f>IF(ES_3[[#This Row],[Count Exp/Sus]]&gt;10,1,0)</f>
        <v>0</v>
      </c>
      <c r="K213" s="1">
        <f t="shared" si="3"/>
        <v>0</v>
      </c>
      <c r="L213" s="1">
        <f>IF(J213=1,IF(COUNTIFS($A$3:A213,A213,$J$3:J213,1)=1,A213&amp;"-included",0),0)</f>
        <v>0</v>
      </c>
      <c r="M213" s="1" cm="1">
        <f t="array" ref="M213">IF(ES_3[[#This Row],[Included Exp/Sus]]=1,IF(SUMPRODUCT((ES_3[STN]=ES_3[[#This Row],[STN]])*(ES_3[Included Exp/Sus]=1)*(ROW(ES_3[STN])&lt;=ROW()))=1,1,0),0)</f>
        <v>0</v>
      </c>
      <c r="N213" s="1" t="str">
        <f>_xlfn.XLOOKUP(ES_3[[#This Row],[STN]],SE_3[STN],SE_3[Ethnicity],"",0)</f>
        <v>White</v>
      </c>
    </row>
    <row r="214" spans="1:14" ht="14.45">
      <c r="A214" s="1">
        <v>811711165</v>
      </c>
      <c r="B214" s="1">
        <v>8</v>
      </c>
      <c r="C214" s="2">
        <v>1</v>
      </c>
      <c r="D214" s="1" t="s">
        <v>24</v>
      </c>
      <c r="E214" s="2">
        <v>15</v>
      </c>
      <c r="F214" s="1" t="s">
        <v>27</v>
      </c>
      <c r="G214" s="2">
        <v>1</v>
      </c>
      <c r="H214" s="1" t="s">
        <v>26</v>
      </c>
      <c r="I214" s="1">
        <f>SUMIFS(ES_3[LENGTH_EX_SU],ES_3[STN],ES_3[[#This Row],[STN]],ES_3[DISCIPLINE_TYPE],"Out-of-School Suspension")+SUMIFS(ES_3[LENGTH_EX_SU],ES_3[STN],ES_3[[#This Row],[STN]],ES_3[DISCIPLINE_TYPE],"Expulsion")</f>
        <v>9</v>
      </c>
      <c r="J214" s="1">
        <f>IF(ES_3[[#This Row],[Count Exp/Sus]]&gt;10,1,0)</f>
        <v>0</v>
      </c>
      <c r="K214" s="1">
        <f t="shared" si="3"/>
        <v>0</v>
      </c>
      <c r="L214" s="1">
        <f>IF(J214=1,IF(COUNTIFS($A$3:A214,A214,$J$3:J214,1)=1,A214&amp;"-included",0),0)</f>
        <v>0</v>
      </c>
      <c r="M214" s="1" cm="1">
        <f t="array" ref="M214">IF(ES_3[[#This Row],[Included Exp/Sus]]=1,IF(SUMPRODUCT((ES_3[STN]=ES_3[[#This Row],[STN]])*(ES_3[Included Exp/Sus]=1)*(ROW(ES_3[STN])&lt;=ROW()))=1,1,0),0)</f>
        <v>0</v>
      </c>
      <c r="N214" s="1" t="str">
        <f>_xlfn.XLOOKUP(ES_3[[#This Row],[STN]],SE_3[STN],SE_3[Ethnicity],"",0)</f>
        <v>White</v>
      </c>
    </row>
    <row r="215" spans="1:14" ht="14.45">
      <c r="A215" s="1">
        <v>811711165</v>
      </c>
      <c r="B215" s="1">
        <v>8</v>
      </c>
      <c r="C215" s="2">
        <v>1</v>
      </c>
      <c r="D215" s="1" t="s">
        <v>24</v>
      </c>
      <c r="E215" s="2">
        <v>15</v>
      </c>
      <c r="F215" s="1" t="s">
        <v>27</v>
      </c>
      <c r="G215" s="2">
        <v>1</v>
      </c>
      <c r="H215" s="1" t="s">
        <v>26</v>
      </c>
      <c r="I215" s="1">
        <f>SUMIFS(ES_3[LENGTH_EX_SU],ES_3[STN],ES_3[[#This Row],[STN]],ES_3[DISCIPLINE_TYPE],"Out-of-School Suspension")+SUMIFS(ES_3[LENGTH_EX_SU],ES_3[STN],ES_3[[#This Row],[STN]],ES_3[DISCIPLINE_TYPE],"Expulsion")</f>
        <v>9</v>
      </c>
      <c r="J215" s="1">
        <f>IF(ES_3[[#This Row],[Count Exp/Sus]]&gt;10,1,0)</f>
        <v>0</v>
      </c>
      <c r="K215" s="1">
        <f t="shared" si="3"/>
        <v>0</v>
      </c>
      <c r="L215" s="1">
        <f>IF(J215=1,IF(COUNTIFS($A$3:A215,A215,$J$3:J215,1)=1,A215&amp;"-included",0),0)</f>
        <v>0</v>
      </c>
      <c r="M215" s="1" cm="1">
        <f t="array" ref="M215">IF(ES_3[[#This Row],[Included Exp/Sus]]=1,IF(SUMPRODUCT((ES_3[STN]=ES_3[[#This Row],[STN]])*(ES_3[Included Exp/Sus]=1)*(ROW(ES_3[STN])&lt;=ROW()))=1,1,0),0)</f>
        <v>0</v>
      </c>
      <c r="N215" s="1" t="str">
        <f>_xlfn.XLOOKUP(ES_3[[#This Row],[STN]],SE_3[STN],SE_3[Ethnicity],"",0)</f>
        <v>White</v>
      </c>
    </row>
    <row r="216" spans="1:14" ht="14.45">
      <c r="A216" s="1">
        <v>811711165</v>
      </c>
      <c r="B216" s="1">
        <v>8</v>
      </c>
      <c r="C216" s="2">
        <v>2</v>
      </c>
      <c r="D216" s="1" t="s">
        <v>31</v>
      </c>
      <c r="E216" s="2">
        <v>15</v>
      </c>
      <c r="F216" s="1" t="s">
        <v>27</v>
      </c>
      <c r="G216" s="2">
        <v>1</v>
      </c>
      <c r="H216" s="1" t="s">
        <v>26</v>
      </c>
      <c r="I216" s="1">
        <f>SUMIFS(ES_3[LENGTH_EX_SU],ES_3[STN],ES_3[[#This Row],[STN]],ES_3[DISCIPLINE_TYPE],"Out-of-School Suspension")+SUMIFS(ES_3[LENGTH_EX_SU],ES_3[STN],ES_3[[#This Row],[STN]],ES_3[DISCIPLINE_TYPE],"Expulsion")</f>
        <v>9</v>
      </c>
      <c r="J216" s="1">
        <f>IF(ES_3[[#This Row],[Count Exp/Sus]]&gt;10,1,0)</f>
        <v>0</v>
      </c>
      <c r="K216" s="1">
        <f t="shared" si="3"/>
        <v>0</v>
      </c>
      <c r="L216" s="1">
        <f>IF(J216=1,IF(COUNTIFS($A$3:A216,A216,$J$3:J216,1)=1,A216&amp;"-included",0),0)</f>
        <v>0</v>
      </c>
      <c r="M216" s="1" cm="1">
        <f t="array" ref="M216">IF(ES_3[[#This Row],[Included Exp/Sus]]=1,IF(SUMPRODUCT((ES_3[STN]=ES_3[[#This Row],[STN]])*(ES_3[Included Exp/Sus]=1)*(ROW(ES_3[STN])&lt;=ROW()))=1,1,0),0)</f>
        <v>0</v>
      </c>
      <c r="N216" s="1" t="str">
        <f>_xlfn.XLOOKUP(ES_3[[#This Row],[STN]],SE_3[STN],SE_3[Ethnicity],"",0)</f>
        <v>White</v>
      </c>
    </row>
    <row r="217" spans="1:14" ht="14.45">
      <c r="A217" s="1">
        <v>811711165</v>
      </c>
      <c r="B217" s="1">
        <v>8</v>
      </c>
      <c r="C217" s="2">
        <v>1</v>
      </c>
      <c r="D217" s="1" t="s">
        <v>24</v>
      </c>
      <c r="E217" s="2">
        <v>15</v>
      </c>
      <c r="F217" s="1" t="s">
        <v>27</v>
      </c>
      <c r="G217" s="2">
        <v>1</v>
      </c>
      <c r="H217" s="1" t="s">
        <v>26</v>
      </c>
      <c r="I217" s="1">
        <f>SUMIFS(ES_3[LENGTH_EX_SU],ES_3[STN],ES_3[[#This Row],[STN]],ES_3[DISCIPLINE_TYPE],"Out-of-School Suspension")+SUMIFS(ES_3[LENGTH_EX_SU],ES_3[STN],ES_3[[#This Row],[STN]],ES_3[DISCIPLINE_TYPE],"Expulsion")</f>
        <v>9</v>
      </c>
      <c r="J217" s="1">
        <f>IF(ES_3[[#This Row],[Count Exp/Sus]]&gt;10,1,0)</f>
        <v>0</v>
      </c>
      <c r="K217" s="1">
        <f t="shared" si="3"/>
        <v>0</v>
      </c>
      <c r="L217" s="1">
        <f>IF(J217=1,IF(COUNTIFS($A$3:A217,A217,$J$3:J217,1)=1,A217&amp;"-included",0),0)</f>
        <v>0</v>
      </c>
      <c r="M217" s="1" cm="1">
        <f t="array" ref="M217">IF(ES_3[[#This Row],[Included Exp/Sus]]=1,IF(SUMPRODUCT((ES_3[STN]=ES_3[[#This Row],[STN]])*(ES_3[Included Exp/Sus]=1)*(ROW(ES_3[STN])&lt;=ROW()))=1,1,0),0)</f>
        <v>0</v>
      </c>
      <c r="N217" s="1" t="str">
        <f>_xlfn.XLOOKUP(ES_3[[#This Row],[STN]],SE_3[STN],SE_3[Ethnicity],"",0)</f>
        <v>White</v>
      </c>
    </row>
    <row r="218" spans="1:14" ht="14.45">
      <c r="A218" s="1">
        <v>811711165</v>
      </c>
      <c r="B218" s="1">
        <v>8</v>
      </c>
      <c r="C218" s="2">
        <v>2</v>
      </c>
      <c r="D218" s="1" t="s">
        <v>31</v>
      </c>
      <c r="E218" s="2">
        <v>15</v>
      </c>
      <c r="F218" s="1" t="s">
        <v>27</v>
      </c>
      <c r="G218" s="2">
        <v>1</v>
      </c>
      <c r="H218" s="1" t="s">
        <v>26</v>
      </c>
      <c r="I218" s="1">
        <f>SUMIFS(ES_3[LENGTH_EX_SU],ES_3[STN],ES_3[[#This Row],[STN]],ES_3[DISCIPLINE_TYPE],"Out-of-School Suspension")+SUMIFS(ES_3[LENGTH_EX_SU],ES_3[STN],ES_3[[#This Row],[STN]],ES_3[DISCIPLINE_TYPE],"Expulsion")</f>
        <v>9</v>
      </c>
      <c r="J218" s="1">
        <f>IF(ES_3[[#This Row],[Count Exp/Sus]]&gt;10,1,0)</f>
        <v>0</v>
      </c>
      <c r="K218" s="1">
        <f t="shared" si="3"/>
        <v>0</v>
      </c>
      <c r="L218" s="1">
        <f>IF(J218=1,IF(COUNTIFS($A$3:A218,A218,$J$3:J218,1)=1,A218&amp;"-included",0),0)</f>
        <v>0</v>
      </c>
      <c r="M218" s="1" cm="1">
        <f t="array" ref="M218">IF(ES_3[[#This Row],[Included Exp/Sus]]=1,IF(SUMPRODUCT((ES_3[STN]=ES_3[[#This Row],[STN]])*(ES_3[Included Exp/Sus]=1)*(ROW(ES_3[STN])&lt;=ROW()))=1,1,0),0)</f>
        <v>0</v>
      </c>
      <c r="N218" s="1" t="str">
        <f>_xlfn.XLOOKUP(ES_3[[#This Row],[STN]],SE_3[STN],SE_3[Ethnicity],"",0)</f>
        <v>White</v>
      </c>
    </row>
    <row r="219" spans="1:14" ht="14.45">
      <c r="A219" s="1">
        <v>811711165</v>
      </c>
      <c r="B219" s="1">
        <v>8</v>
      </c>
      <c r="C219" s="2">
        <v>2</v>
      </c>
      <c r="D219" s="1" t="s">
        <v>31</v>
      </c>
      <c r="E219" s="2">
        <v>15</v>
      </c>
      <c r="F219" s="1" t="s">
        <v>27</v>
      </c>
      <c r="G219" s="2">
        <v>1</v>
      </c>
      <c r="H219" s="1" t="s">
        <v>26</v>
      </c>
      <c r="I219" s="1">
        <f>SUMIFS(ES_3[LENGTH_EX_SU],ES_3[STN],ES_3[[#This Row],[STN]],ES_3[DISCIPLINE_TYPE],"Out-of-School Suspension")+SUMIFS(ES_3[LENGTH_EX_SU],ES_3[STN],ES_3[[#This Row],[STN]],ES_3[DISCIPLINE_TYPE],"Expulsion")</f>
        <v>9</v>
      </c>
      <c r="J219" s="1">
        <f>IF(ES_3[[#This Row],[Count Exp/Sus]]&gt;10,1,0)</f>
        <v>0</v>
      </c>
      <c r="K219" s="1">
        <f t="shared" si="3"/>
        <v>0</v>
      </c>
      <c r="L219" s="1">
        <f>IF(J219=1,IF(COUNTIFS($A$3:A219,A219,$J$3:J219,1)=1,A219&amp;"-included",0),0)</f>
        <v>0</v>
      </c>
      <c r="M219" s="1" cm="1">
        <f t="array" ref="M219">IF(ES_3[[#This Row],[Included Exp/Sus]]=1,IF(SUMPRODUCT((ES_3[STN]=ES_3[[#This Row],[STN]])*(ES_3[Included Exp/Sus]=1)*(ROW(ES_3[STN])&lt;=ROW()))=1,1,0),0)</f>
        <v>0</v>
      </c>
      <c r="N219" s="1" t="str">
        <f>_xlfn.XLOOKUP(ES_3[[#This Row],[STN]],SE_3[STN],SE_3[Ethnicity],"",0)</f>
        <v>White</v>
      </c>
    </row>
    <row r="220" spans="1:14" ht="14.45">
      <c r="A220" s="1">
        <v>811711165</v>
      </c>
      <c r="B220" s="1">
        <v>8</v>
      </c>
      <c r="C220" s="2">
        <v>2</v>
      </c>
      <c r="D220" s="1" t="s">
        <v>31</v>
      </c>
      <c r="E220" s="2">
        <v>15</v>
      </c>
      <c r="F220" s="1" t="s">
        <v>27</v>
      </c>
      <c r="G220" s="2">
        <v>4</v>
      </c>
      <c r="H220" s="1" t="s">
        <v>26</v>
      </c>
      <c r="I220" s="1">
        <f>SUMIFS(ES_3[LENGTH_EX_SU],ES_3[STN],ES_3[[#This Row],[STN]],ES_3[DISCIPLINE_TYPE],"Out-of-School Suspension")+SUMIFS(ES_3[LENGTH_EX_SU],ES_3[STN],ES_3[[#This Row],[STN]],ES_3[DISCIPLINE_TYPE],"Expulsion")</f>
        <v>9</v>
      </c>
      <c r="J220" s="1">
        <f>IF(ES_3[[#This Row],[Count Exp/Sus]]&gt;10,1,0)</f>
        <v>0</v>
      </c>
      <c r="K220" s="1">
        <f t="shared" si="3"/>
        <v>0</v>
      </c>
      <c r="L220" s="1">
        <f>IF(J220=1,IF(COUNTIFS($A$3:A220,A220,$J$3:J220,1)=1,A220&amp;"-included",0),0)</f>
        <v>0</v>
      </c>
      <c r="M220" s="1" cm="1">
        <f t="array" ref="M220">IF(ES_3[[#This Row],[Included Exp/Sus]]=1,IF(SUMPRODUCT((ES_3[STN]=ES_3[[#This Row],[STN]])*(ES_3[Included Exp/Sus]=1)*(ROW(ES_3[STN])&lt;=ROW()))=1,1,0),0)</f>
        <v>0</v>
      </c>
      <c r="N220" s="1" t="str">
        <f>_xlfn.XLOOKUP(ES_3[[#This Row],[STN]],SE_3[STN],SE_3[Ethnicity],"",0)</f>
        <v>White</v>
      </c>
    </row>
    <row r="221" spans="1:14" ht="14.45">
      <c r="A221" s="1">
        <v>811713015</v>
      </c>
      <c r="B221" s="1">
        <v>8</v>
      </c>
      <c r="C221" s="2">
        <v>2</v>
      </c>
      <c r="D221" s="1" t="s">
        <v>31</v>
      </c>
      <c r="E221" s="2">
        <v>11</v>
      </c>
      <c r="F221" s="1" t="s">
        <v>36</v>
      </c>
      <c r="G221" s="2">
        <v>4</v>
      </c>
      <c r="H221" s="1" t="s">
        <v>26</v>
      </c>
      <c r="I221" s="1">
        <f>SUMIFS(ES_3[LENGTH_EX_SU],ES_3[STN],ES_3[[#This Row],[STN]],ES_3[DISCIPLINE_TYPE],"Out-of-School Suspension")+SUMIFS(ES_3[LENGTH_EX_SU],ES_3[STN],ES_3[[#This Row],[STN]],ES_3[DISCIPLINE_TYPE],"Expulsion")</f>
        <v>4</v>
      </c>
      <c r="J221" s="1">
        <f>IF(ES_3[[#This Row],[Count Exp/Sus]]&gt;10,1,0)</f>
        <v>0</v>
      </c>
      <c r="K221" s="1">
        <f t="shared" si="3"/>
        <v>0</v>
      </c>
      <c r="L221" s="1">
        <f>IF(J221=1,IF(COUNTIFS($A$3:A221,A221,$J$3:J221,1)=1,A221&amp;"-included",0),0)</f>
        <v>0</v>
      </c>
      <c r="M221" s="1" cm="1">
        <f t="array" ref="M221">IF(ES_3[[#This Row],[Included Exp/Sus]]=1,IF(SUMPRODUCT((ES_3[STN]=ES_3[[#This Row],[STN]])*(ES_3[Included Exp/Sus]=1)*(ROW(ES_3[STN])&lt;=ROW()))=1,1,0),0)</f>
        <v>0</v>
      </c>
      <c r="N221" s="1" t="str">
        <f>_xlfn.XLOOKUP(ES_3[[#This Row],[STN]],SE_3[STN],SE_3[Ethnicity],"",0)</f>
        <v>White</v>
      </c>
    </row>
    <row r="222" spans="1:14" ht="14.45">
      <c r="A222" s="1">
        <v>811713015</v>
      </c>
      <c r="B222" s="1">
        <v>8</v>
      </c>
      <c r="C222" s="2">
        <v>1</v>
      </c>
      <c r="D222" s="1" t="s">
        <v>24</v>
      </c>
      <c r="E222" s="2">
        <v>19</v>
      </c>
      <c r="F222" s="1" t="s">
        <v>37</v>
      </c>
      <c r="G222" s="2">
        <v>4</v>
      </c>
      <c r="H222" s="1" t="s">
        <v>26</v>
      </c>
      <c r="I222" s="1">
        <f>SUMIFS(ES_3[LENGTH_EX_SU],ES_3[STN],ES_3[[#This Row],[STN]],ES_3[DISCIPLINE_TYPE],"Out-of-School Suspension")+SUMIFS(ES_3[LENGTH_EX_SU],ES_3[STN],ES_3[[#This Row],[STN]],ES_3[DISCIPLINE_TYPE],"Expulsion")</f>
        <v>4</v>
      </c>
      <c r="J222" s="1">
        <f>IF(ES_3[[#This Row],[Count Exp/Sus]]&gt;10,1,0)</f>
        <v>0</v>
      </c>
      <c r="K222" s="1">
        <f t="shared" si="3"/>
        <v>0</v>
      </c>
      <c r="L222" s="1">
        <f>IF(J222=1,IF(COUNTIFS($A$3:A222,A222,$J$3:J222,1)=1,A222&amp;"-included",0),0)</f>
        <v>0</v>
      </c>
      <c r="M222" s="1" cm="1">
        <f t="array" ref="M222">IF(ES_3[[#This Row],[Included Exp/Sus]]=1,IF(SUMPRODUCT((ES_3[STN]=ES_3[[#This Row],[STN]])*(ES_3[Included Exp/Sus]=1)*(ROW(ES_3[STN])&lt;=ROW()))=1,1,0),0)</f>
        <v>0</v>
      </c>
      <c r="N222" s="1" t="str">
        <f>_xlfn.XLOOKUP(ES_3[[#This Row],[STN]],SE_3[STN],SE_3[Ethnicity],"",0)</f>
        <v>White</v>
      </c>
    </row>
    <row r="223" spans="1:14" ht="14.45">
      <c r="A223" s="1">
        <v>811713028</v>
      </c>
      <c r="B223" s="1">
        <v>8</v>
      </c>
      <c r="C223" s="2">
        <v>1</v>
      </c>
      <c r="D223" s="1" t="s">
        <v>24</v>
      </c>
      <c r="E223" s="2">
        <v>15</v>
      </c>
      <c r="F223" s="1" t="s">
        <v>27</v>
      </c>
      <c r="G223" s="2">
        <v>2</v>
      </c>
      <c r="H223" s="1" t="s">
        <v>29</v>
      </c>
      <c r="I223" s="1">
        <f>SUMIFS(ES_3[LENGTH_EX_SU],ES_3[STN],ES_3[[#This Row],[STN]],ES_3[DISCIPLINE_TYPE],"Out-of-School Suspension")+SUMIFS(ES_3[LENGTH_EX_SU],ES_3[STN],ES_3[[#This Row],[STN]],ES_3[DISCIPLINE_TYPE],"Expulsion")</f>
        <v>0</v>
      </c>
      <c r="J223" s="1">
        <f>IF(ES_3[[#This Row],[Count Exp/Sus]]&gt;10,1,0)</f>
        <v>0</v>
      </c>
      <c r="K223" s="1">
        <f t="shared" si="3"/>
        <v>0</v>
      </c>
      <c r="L223" s="1">
        <f>IF(J223=1,IF(COUNTIFS($A$3:A223,A223,$J$3:J223,1)=1,A223&amp;"-included",0),0)</f>
        <v>0</v>
      </c>
      <c r="M223" s="1" cm="1">
        <f t="array" ref="M223">IF(ES_3[[#This Row],[Included Exp/Sus]]=1,IF(SUMPRODUCT((ES_3[STN]=ES_3[[#This Row],[STN]])*(ES_3[Included Exp/Sus]=1)*(ROW(ES_3[STN])&lt;=ROW()))=1,1,0),0)</f>
        <v>0</v>
      </c>
      <c r="N223" s="1" t="str">
        <f>_xlfn.XLOOKUP(ES_3[[#This Row],[STN]],SE_3[STN],SE_3[Ethnicity],"",0)</f>
        <v>White</v>
      </c>
    </row>
    <row r="224" spans="1:14" ht="14.45">
      <c r="A224" s="1">
        <v>811718003</v>
      </c>
      <c r="B224" s="1">
        <v>3</v>
      </c>
      <c r="C224" s="2">
        <v>1</v>
      </c>
      <c r="D224" s="1" t="s">
        <v>24</v>
      </c>
      <c r="E224" s="2">
        <v>13</v>
      </c>
      <c r="F224" s="1" t="s">
        <v>34</v>
      </c>
      <c r="G224" s="2">
        <v>1</v>
      </c>
      <c r="H224" s="1" t="s">
        <v>29</v>
      </c>
      <c r="I224" s="1">
        <f>SUMIFS(ES_3[LENGTH_EX_SU],ES_3[STN],ES_3[[#This Row],[STN]],ES_3[DISCIPLINE_TYPE],"Out-of-School Suspension")+SUMIFS(ES_3[LENGTH_EX_SU],ES_3[STN],ES_3[[#This Row],[STN]],ES_3[DISCIPLINE_TYPE],"Expulsion")</f>
        <v>0</v>
      </c>
      <c r="J224" s="1">
        <f>IF(ES_3[[#This Row],[Count Exp/Sus]]&gt;10,1,0)</f>
        <v>0</v>
      </c>
      <c r="K224" s="1">
        <f t="shared" si="3"/>
        <v>0</v>
      </c>
      <c r="L224" s="1">
        <f>IF(J224=1,IF(COUNTIFS($A$3:A224,A224,$J$3:J224,1)=1,A224&amp;"-included",0),0)</f>
        <v>0</v>
      </c>
      <c r="M224" s="1" cm="1">
        <f t="array" ref="M224">IF(ES_3[[#This Row],[Included Exp/Sus]]=1,IF(SUMPRODUCT((ES_3[STN]=ES_3[[#This Row],[STN]])*(ES_3[Included Exp/Sus]=1)*(ROW(ES_3[STN])&lt;=ROW()))=1,1,0),0)</f>
        <v>0</v>
      </c>
      <c r="N224" s="1" t="str">
        <f>_xlfn.XLOOKUP(ES_3[[#This Row],[STN]],SE_3[STN],SE_3[Ethnicity],"",0)</f>
        <v>White</v>
      </c>
    </row>
    <row r="225" spans="1:14" ht="14.45">
      <c r="A225" s="1">
        <v>811719017</v>
      </c>
      <c r="B225" s="1">
        <v>2</v>
      </c>
      <c r="C225" s="2">
        <v>1</v>
      </c>
      <c r="D225" s="1" t="s">
        <v>24</v>
      </c>
      <c r="E225" s="2">
        <v>15</v>
      </c>
      <c r="F225" s="1" t="s">
        <v>27</v>
      </c>
      <c r="G225" s="2">
        <v>1</v>
      </c>
      <c r="H225" s="1" t="s">
        <v>29</v>
      </c>
      <c r="I225" s="1">
        <f>SUMIFS(ES_3[LENGTH_EX_SU],ES_3[STN],ES_3[[#This Row],[STN]],ES_3[DISCIPLINE_TYPE],"Out-of-School Suspension")+SUMIFS(ES_3[LENGTH_EX_SU],ES_3[STN],ES_3[[#This Row],[STN]],ES_3[DISCIPLINE_TYPE],"Expulsion")</f>
        <v>0</v>
      </c>
      <c r="J225" s="1">
        <f>IF(ES_3[[#This Row],[Count Exp/Sus]]&gt;10,1,0)</f>
        <v>0</v>
      </c>
      <c r="K225" s="1">
        <f t="shared" si="3"/>
        <v>0</v>
      </c>
      <c r="L225" s="1">
        <f>IF(J225=1,IF(COUNTIFS($A$3:A225,A225,$J$3:J225,1)=1,A225&amp;"-included",0),0)</f>
        <v>0</v>
      </c>
      <c r="M225" s="1" cm="1">
        <f t="array" ref="M225">IF(ES_3[[#This Row],[Included Exp/Sus]]=1,IF(SUMPRODUCT((ES_3[STN]=ES_3[[#This Row],[STN]])*(ES_3[Included Exp/Sus]=1)*(ROW(ES_3[STN])&lt;=ROW()))=1,1,0),0)</f>
        <v>0</v>
      </c>
      <c r="N225" s="1" t="str">
        <f>_xlfn.XLOOKUP(ES_3[[#This Row],[STN]],SE_3[STN],SE_3[Ethnicity],"",0)</f>
        <v>Hispanic Ethnicity and of any race</v>
      </c>
    </row>
    <row r="226" spans="1:14" ht="14.45">
      <c r="A226" s="1">
        <v>811719017</v>
      </c>
      <c r="B226" s="1">
        <v>2</v>
      </c>
      <c r="C226" s="2">
        <v>1</v>
      </c>
      <c r="D226" s="1" t="s">
        <v>24</v>
      </c>
      <c r="E226" s="2">
        <v>15</v>
      </c>
      <c r="F226" s="1" t="s">
        <v>27</v>
      </c>
      <c r="G226" s="2">
        <v>1</v>
      </c>
      <c r="H226" s="1" t="s">
        <v>29</v>
      </c>
      <c r="I226" s="1">
        <f>SUMIFS(ES_3[LENGTH_EX_SU],ES_3[STN],ES_3[[#This Row],[STN]],ES_3[DISCIPLINE_TYPE],"Out-of-School Suspension")+SUMIFS(ES_3[LENGTH_EX_SU],ES_3[STN],ES_3[[#This Row],[STN]],ES_3[DISCIPLINE_TYPE],"Expulsion")</f>
        <v>0</v>
      </c>
      <c r="J226" s="1">
        <f>IF(ES_3[[#This Row],[Count Exp/Sus]]&gt;10,1,0)</f>
        <v>0</v>
      </c>
      <c r="K226" s="1">
        <f t="shared" si="3"/>
        <v>0</v>
      </c>
      <c r="L226" s="1">
        <f>IF(J226=1,IF(COUNTIFS($A$3:A226,A226,$J$3:J226,1)=1,A226&amp;"-included",0),0)</f>
        <v>0</v>
      </c>
      <c r="M226" s="1" cm="1">
        <f t="array" ref="M226">IF(ES_3[[#This Row],[Included Exp/Sus]]=1,IF(SUMPRODUCT((ES_3[STN]=ES_3[[#This Row],[STN]])*(ES_3[Included Exp/Sus]=1)*(ROW(ES_3[STN])&lt;=ROW()))=1,1,0),0)</f>
        <v>0</v>
      </c>
      <c r="N226" s="1" t="str">
        <f>_xlfn.XLOOKUP(ES_3[[#This Row],[STN]],SE_3[STN],SE_3[Ethnicity],"",0)</f>
        <v>Hispanic Ethnicity and of any race</v>
      </c>
    </row>
    <row r="227" spans="1:14" ht="14.45">
      <c r="A227" s="1">
        <v>811909047</v>
      </c>
      <c r="B227" s="1">
        <v>12</v>
      </c>
      <c r="C227" s="2">
        <v>2</v>
      </c>
      <c r="D227" s="1" t="s">
        <v>31</v>
      </c>
      <c r="E227" s="2">
        <v>15</v>
      </c>
      <c r="F227" s="1" t="s">
        <v>27</v>
      </c>
      <c r="G227" s="2">
        <v>1</v>
      </c>
      <c r="H227" s="1" t="s">
        <v>29</v>
      </c>
      <c r="I227" s="1">
        <f>SUMIFS(ES_3[LENGTH_EX_SU],ES_3[STN],ES_3[[#This Row],[STN]],ES_3[DISCIPLINE_TYPE],"Out-of-School Suspension")+SUMIFS(ES_3[LENGTH_EX_SU],ES_3[STN],ES_3[[#This Row],[STN]],ES_3[DISCIPLINE_TYPE],"Expulsion")</f>
        <v>1</v>
      </c>
      <c r="J227" s="1">
        <f>IF(ES_3[[#This Row],[Count Exp/Sus]]&gt;10,1,0)</f>
        <v>0</v>
      </c>
      <c r="K227" s="1">
        <f t="shared" si="3"/>
        <v>0</v>
      </c>
      <c r="L227" s="1">
        <f>IF(J227=1,IF(COUNTIFS($A$3:A227,A227,$J$3:J227,1)=1,A227&amp;"-included",0),0)</f>
        <v>0</v>
      </c>
      <c r="M227" s="1" cm="1">
        <f t="array" ref="M227">IF(ES_3[[#This Row],[Included Exp/Sus]]=1,IF(SUMPRODUCT((ES_3[STN]=ES_3[[#This Row],[STN]])*(ES_3[Included Exp/Sus]=1)*(ROW(ES_3[STN])&lt;=ROW()))=1,1,0),0)</f>
        <v>0</v>
      </c>
      <c r="N227" s="1" t="str">
        <f>_xlfn.XLOOKUP(ES_3[[#This Row],[STN]],SE_3[STN],SE_3[Ethnicity],"",0)</f>
        <v>Black - African American</v>
      </c>
    </row>
    <row r="228" spans="1:14" ht="14.45">
      <c r="A228" s="1">
        <v>815409100</v>
      </c>
      <c r="B228" s="1">
        <v>9</v>
      </c>
      <c r="C228" s="2">
        <v>2</v>
      </c>
      <c r="D228" s="1" t="s">
        <v>31</v>
      </c>
      <c r="E228" s="2">
        <v>2</v>
      </c>
      <c r="F228" s="1" t="s">
        <v>33</v>
      </c>
      <c r="G228" s="2">
        <v>10</v>
      </c>
      <c r="H228" s="1" t="s">
        <v>26</v>
      </c>
      <c r="I228" s="1">
        <f>SUMIFS(ES_3[LENGTH_EX_SU],ES_3[STN],ES_3[[#This Row],[STN]],ES_3[DISCIPLINE_TYPE],"Out-of-School Suspension")+SUMIFS(ES_3[LENGTH_EX_SU],ES_3[STN],ES_3[[#This Row],[STN]],ES_3[DISCIPLINE_TYPE],"Expulsion")</f>
        <v>10</v>
      </c>
      <c r="J228" s="1">
        <f>IF(ES_3[[#This Row],[Count Exp/Sus]]&gt;10,1,0)</f>
        <v>0</v>
      </c>
      <c r="K228" s="1">
        <f t="shared" si="3"/>
        <v>0</v>
      </c>
      <c r="L228" s="1">
        <f>IF(J228=1,IF(COUNTIFS($A$3:A228,A228,$J$3:J228,1)=1,A228&amp;"-included",0),0)</f>
        <v>0</v>
      </c>
      <c r="M228" s="1" cm="1">
        <f t="array" ref="M228">IF(ES_3[[#This Row],[Included Exp/Sus]]=1,IF(SUMPRODUCT((ES_3[STN]=ES_3[[#This Row],[STN]])*(ES_3[Included Exp/Sus]=1)*(ROW(ES_3[STN])&lt;=ROW()))=1,1,0),0)</f>
        <v>0</v>
      </c>
      <c r="N228" s="1" t="str">
        <f>_xlfn.XLOOKUP(ES_3[[#This Row],[STN]],SE_3[STN],SE_3[Ethnicity],"",0)</f>
        <v>White</v>
      </c>
    </row>
    <row r="229" spans="1:14" ht="14.45">
      <c r="A229" s="1">
        <v>815412130</v>
      </c>
      <c r="B229" s="1">
        <v>7</v>
      </c>
      <c r="C229" s="2">
        <v>1</v>
      </c>
      <c r="D229" s="1" t="s">
        <v>24</v>
      </c>
      <c r="E229" s="2">
        <v>16</v>
      </c>
      <c r="F229" s="1" t="s">
        <v>28</v>
      </c>
      <c r="G229" s="2">
        <v>1</v>
      </c>
      <c r="H229" s="1" t="s">
        <v>29</v>
      </c>
      <c r="I229" s="1">
        <f>SUMIFS(ES_3[LENGTH_EX_SU],ES_3[STN],ES_3[[#This Row],[STN]],ES_3[DISCIPLINE_TYPE],"Out-of-School Suspension")+SUMIFS(ES_3[LENGTH_EX_SU],ES_3[STN],ES_3[[#This Row],[STN]],ES_3[DISCIPLINE_TYPE],"Expulsion")</f>
        <v>0</v>
      </c>
      <c r="J229" s="1">
        <f>IF(ES_3[[#This Row],[Count Exp/Sus]]&gt;10,1,0)</f>
        <v>0</v>
      </c>
      <c r="K229" s="1">
        <f t="shared" si="3"/>
        <v>0</v>
      </c>
      <c r="L229" s="1">
        <f>IF(J229=1,IF(COUNTIFS($A$3:A229,A229,$J$3:J229,1)=1,A229&amp;"-included",0),0)</f>
        <v>0</v>
      </c>
      <c r="M229" s="1" cm="1">
        <f t="array" ref="M229">IF(ES_3[[#This Row],[Included Exp/Sus]]=1,IF(SUMPRODUCT((ES_3[STN]=ES_3[[#This Row],[STN]])*(ES_3[Included Exp/Sus]=1)*(ROW(ES_3[STN])&lt;=ROW()))=1,1,0),0)</f>
        <v>0</v>
      </c>
      <c r="N229" s="1" t="str">
        <f>_xlfn.XLOOKUP(ES_3[[#This Row],[STN]],SE_3[STN],SE_3[Ethnicity],"",0)</f>
        <v>White</v>
      </c>
    </row>
    <row r="230" spans="1:14" ht="14.45">
      <c r="A230" s="1">
        <v>815412130</v>
      </c>
      <c r="B230" s="1">
        <v>7</v>
      </c>
      <c r="C230" s="2">
        <v>1</v>
      </c>
      <c r="D230" s="1" t="s">
        <v>24</v>
      </c>
      <c r="E230" s="2">
        <v>13</v>
      </c>
      <c r="F230" s="1" t="s">
        <v>34</v>
      </c>
      <c r="G230" s="2">
        <v>1</v>
      </c>
      <c r="H230" s="1" t="s">
        <v>29</v>
      </c>
      <c r="I230" s="1">
        <f>SUMIFS(ES_3[LENGTH_EX_SU],ES_3[STN],ES_3[[#This Row],[STN]],ES_3[DISCIPLINE_TYPE],"Out-of-School Suspension")+SUMIFS(ES_3[LENGTH_EX_SU],ES_3[STN],ES_3[[#This Row],[STN]],ES_3[DISCIPLINE_TYPE],"Expulsion")</f>
        <v>0</v>
      </c>
      <c r="J230" s="1">
        <f>IF(ES_3[[#This Row],[Count Exp/Sus]]&gt;10,1,0)</f>
        <v>0</v>
      </c>
      <c r="K230" s="1">
        <f t="shared" si="3"/>
        <v>0</v>
      </c>
      <c r="L230" s="1">
        <f>IF(J230=1,IF(COUNTIFS($A$3:A230,A230,$J$3:J230,1)=1,A230&amp;"-included",0),0)</f>
        <v>0</v>
      </c>
      <c r="M230" s="1" cm="1">
        <f t="array" ref="M230">IF(ES_3[[#This Row],[Included Exp/Sus]]=1,IF(SUMPRODUCT((ES_3[STN]=ES_3[[#This Row],[STN]])*(ES_3[Included Exp/Sus]=1)*(ROW(ES_3[STN])&lt;=ROW()))=1,1,0),0)</f>
        <v>0</v>
      </c>
      <c r="N230" s="1" t="str">
        <f>_xlfn.XLOOKUP(ES_3[[#This Row],[STN]],SE_3[STN],SE_3[Ethnicity],"",0)</f>
        <v>White</v>
      </c>
    </row>
    <row r="231" spans="1:14" ht="14.45">
      <c r="A231" s="1">
        <v>816310222</v>
      </c>
      <c r="B231" s="1">
        <v>8</v>
      </c>
      <c r="C231" s="2">
        <v>1</v>
      </c>
      <c r="D231" s="1" t="s">
        <v>24</v>
      </c>
      <c r="E231" s="2">
        <v>14</v>
      </c>
      <c r="F231" s="1" t="s">
        <v>32</v>
      </c>
      <c r="G231" s="2">
        <v>1</v>
      </c>
      <c r="H231" s="1" t="s">
        <v>26</v>
      </c>
      <c r="I231" s="1">
        <f>SUMIFS(ES_3[LENGTH_EX_SU],ES_3[STN],ES_3[[#This Row],[STN]],ES_3[DISCIPLINE_TYPE],"Out-of-School Suspension")+SUMIFS(ES_3[LENGTH_EX_SU],ES_3[STN],ES_3[[#This Row],[STN]],ES_3[DISCIPLINE_TYPE],"Expulsion")</f>
        <v>0</v>
      </c>
      <c r="J231" s="1">
        <f>IF(ES_3[[#This Row],[Count Exp/Sus]]&gt;10,1,0)</f>
        <v>0</v>
      </c>
      <c r="K231" s="1">
        <f t="shared" si="3"/>
        <v>0</v>
      </c>
      <c r="L231" s="1">
        <f>IF(J231=1,IF(COUNTIFS($A$3:A231,A231,$J$3:J231,1)=1,A231&amp;"-included",0),0)</f>
        <v>0</v>
      </c>
      <c r="M231" s="1" cm="1">
        <f t="array" ref="M231">IF(ES_3[[#This Row],[Included Exp/Sus]]=1,IF(SUMPRODUCT((ES_3[STN]=ES_3[[#This Row],[STN]])*(ES_3[Included Exp/Sus]=1)*(ROW(ES_3[STN])&lt;=ROW()))=1,1,0),0)</f>
        <v>0</v>
      </c>
      <c r="N231" s="1" t="str">
        <f>_xlfn.XLOOKUP(ES_3[[#This Row],[STN]],SE_3[STN],SE_3[Ethnicity],"",0)</f>
        <v>White</v>
      </c>
    </row>
    <row r="232" spans="1:14" ht="14.45">
      <c r="A232" s="1">
        <v>816312223</v>
      </c>
      <c r="B232" s="1">
        <v>8</v>
      </c>
      <c r="C232" s="2">
        <v>2</v>
      </c>
      <c r="D232" s="1" t="s">
        <v>31</v>
      </c>
      <c r="E232" s="2">
        <v>7</v>
      </c>
      <c r="F232" s="1" t="s">
        <v>30</v>
      </c>
      <c r="G232" s="2">
        <v>3</v>
      </c>
      <c r="H232" s="1" t="s">
        <v>29</v>
      </c>
      <c r="I232" s="1">
        <f>SUMIFS(ES_3[LENGTH_EX_SU],ES_3[STN],ES_3[[#This Row],[STN]],ES_3[DISCIPLINE_TYPE],"Out-of-School Suspension")+SUMIFS(ES_3[LENGTH_EX_SU],ES_3[STN],ES_3[[#This Row],[STN]],ES_3[DISCIPLINE_TYPE],"Expulsion")</f>
        <v>10</v>
      </c>
      <c r="J232" s="1">
        <f>IF(ES_3[[#This Row],[Count Exp/Sus]]&gt;10,1,0)</f>
        <v>0</v>
      </c>
      <c r="K232" s="1">
        <f t="shared" si="3"/>
        <v>0</v>
      </c>
      <c r="L232" s="1">
        <f>IF(J232=1,IF(COUNTIFS($A$3:A232,A232,$J$3:J232,1)=1,A232&amp;"-included",0),0)</f>
        <v>0</v>
      </c>
      <c r="M232" s="1" cm="1">
        <f t="array" ref="M232">IF(ES_3[[#This Row],[Included Exp/Sus]]=1,IF(SUMPRODUCT((ES_3[STN]=ES_3[[#This Row],[STN]])*(ES_3[Included Exp/Sus]=1)*(ROW(ES_3[STN])&lt;=ROW()))=1,1,0),0)</f>
        <v>0</v>
      </c>
      <c r="N232" s="1" t="str">
        <f>_xlfn.XLOOKUP(ES_3[[#This Row],[STN]],SE_3[STN],SE_3[Ethnicity],"",0)</f>
        <v>White</v>
      </c>
    </row>
    <row r="233" spans="1:14" ht="14.45">
      <c r="A233" s="1">
        <v>816312223</v>
      </c>
      <c r="B233" s="1">
        <v>8</v>
      </c>
      <c r="C233" s="2">
        <v>2</v>
      </c>
      <c r="D233" s="1" t="s">
        <v>31</v>
      </c>
      <c r="E233" s="2">
        <v>11</v>
      </c>
      <c r="F233" s="1" t="s">
        <v>36</v>
      </c>
      <c r="G233" s="2">
        <v>7</v>
      </c>
      <c r="H233" s="1" t="s">
        <v>29</v>
      </c>
      <c r="I233" s="1">
        <f>SUMIFS(ES_3[LENGTH_EX_SU],ES_3[STN],ES_3[[#This Row],[STN]],ES_3[DISCIPLINE_TYPE],"Out-of-School Suspension")+SUMIFS(ES_3[LENGTH_EX_SU],ES_3[STN],ES_3[[#This Row],[STN]],ES_3[DISCIPLINE_TYPE],"Expulsion")</f>
        <v>10</v>
      </c>
      <c r="J233" s="1">
        <f>IF(ES_3[[#This Row],[Count Exp/Sus]]&gt;10,1,0)</f>
        <v>0</v>
      </c>
      <c r="K233" s="1">
        <f t="shared" si="3"/>
        <v>0</v>
      </c>
      <c r="L233" s="1">
        <f>IF(J233=1,IF(COUNTIFS($A$3:A233,A233,$J$3:J233,1)=1,A233&amp;"-included",0),0)</f>
        <v>0</v>
      </c>
      <c r="M233" s="1" cm="1">
        <f t="array" ref="M233">IF(ES_3[[#This Row],[Included Exp/Sus]]=1,IF(SUMPRODUCT((ES_3[STN]=ES_3[[#This Row],[STN]])*(ES_3[Included Exp/Sus]=1)*(ROW(ES_3[STN])&lt;=ROW()))=1,1,0),0)</f>
        <v>0</v>
      </c>
      <c r="N233" s="1" t="str">
        <f>_xlfn.XLOOKUP(ES_3[[#This Row],[STN]],SE_3[STN],SE_3[Ethnicity],"",0)</f>
        <v>White</v>
      </c>
    </row>
    <row r="234" spans="1:14" ht="14.45">
      <c r="A234" s="1">
        <v>820312021</v>
      </c>
      <c r="B234" s="1">
        <v>9</v>
      </c>
      <c r="C234" s="2">
        <v>2</v>
      </c>
      <c r="D234" s="1" t="s">
        <v>31</v>
      </c>
      <c r="E234" s="2">
        <v>16</v>
      </c>
      <c r="F234" s="1" t="s">
        <v>28</v>
      </c>
      <c r="G234" s="2">
        <v>1</v>
      </c>
      <c r="H234" s="1" t="s">
        <v>26</v>
      </c>
      <c r="I234" s="1">
        <f>SUMIFS(ES_3[LENGTH_EX_SU],ES_3[STN],ES_3[[#This Row],[STN]],ES_3[DISCIPLINE_TYPE],"Out-of-School Suspension")+SUMIFS(ES_3[LENGTH_EX_SU],ES_3[STN],ES_3[[#This Row],[STN]],ES_3[DISCIPLINE_TYPE],"Expulsion")</f>
        <v>1</v>
      </c>
      <c r="J234" s="1">
        <f>IF(ES_3[[#This Row],[Count Exp/Sus]]&gt;10,1,0)</f>
        <v>0</v>
      </c>
      <c r="K234" s="1">
        <f t="shared" si="3"/>
        <v>0</v>
      </c>
      <c r="L234" s="1">
        <f>IF(J234=1,IF(COUNTIFS($A$3:A234,A234,$J$3:J234,1)=1,A234&amp;"-included",0),0)</f>
        <v>0</v>
      </c>
      <c r="M234" s="1" cm="1">
        <f t="array" ref="M234">IF(ES_3[[#This Row],[Included Exp/Sus]]=1,IF(SUMPRODUCT((ES_3[STN]=ES_3[[#This Row],[STN]])*(ES_3[Included Exp/Sus]=1)*(ROW(ES_3[STN])&lt;=ROW()))=1,1,0),0)</f>
        <v>0</v>
      </c>
      <c r="N234" s="1" t="str">
        <f>_xlfn.XLOOKUP(ES_3[[#This Row],[STN]],SE_3[STN],SE_3[Ethnicity],"",0)</f>
        <v>Black - African American</v>
      </c>
    </row>
    <row r="235" spans="1:14" ht="14.45">
      <c r="A235" s="1">
        <v>820314053</v>
      </c>
      <c r="B235" s="1">
        <v>7</v>
      </c>
      <c r="C235" s="2">
        <v>2</v>
      </c>
      <c r="D235" s="1" t="s">
        <v>31</v>
      </c>
      <c r="E235" s="2">
        <v>11</v>
      </c>
      <c r="F235" s="1" t="s">
        <v>36</v>
      </c>
      <c r="G235" s="2">
        <v>10</v>
      </c>
      <c r="H235" s="1" t="s">
        <v>29</v>
      </c>
      <c r="I235" s="1">
        <f>SUMIFS(ES_3[LENGTH_EX_SU],ES_3[STN],ES_3[[#This Row],[STN]],ES_3[DISCIPLINE_TYPE],"Out-of-School Suspension")+SUMIFS(ES_3[LENGTH_EX_SU],ES_3[STN],ES_3[[#This Row],[STN]],ES_3[DISCIPLINE_TYPE],"Expulsion")</f>
        <v>10</v>
      </c>
      <c r="J235" s="1">
        <f>IF(ES_3[[#This Row],[Count Exp/Sus]]&gt;10,1,0)</f>
        <v>0</v>
      </c>
      <c r="K235" s="1">
        <f t="shared" si="3"/>
        <v>0</v>
      </c>
      <c r="L235" s="1">
        <f>IF(J235=1,IF(COUNTIFS($A$3:A235,A235,$J$3:J235,1)=1,A235&amp;"-included",0),0)</f>
        <v>0</v>
      </c>
      <c r="M235" s="1" cm="1">
        <f t="array" ref="M235">IF(ES_3[[#This Row],[Included Exp/Sus]]=1,IF(SUMPRODUCT((ES_3[STN]=ES_3[[#This Row],[STN]])*(ES_3[Included Exp/Sus]=1)*(ROW(ES_3[STN])&lt;=ROW()))=1,1,0),0)</f>
        <v>0</v>
      </c>
      <c r="N235" s="1" t="str">
        <f>_xlfn.XLOOKUP(ES_3[[#This Row],[STN]],SE_3[STN],SE_3[Ethnicity],"",0)</f>
        <v>White</v>
      </c>
    </row>
    <row r="236" spans="1:14" ht="14.45">
      <c r="A236" s="1">
        <v>820619018</v>
      </c>
      <c r="B236" s="1">
        <v>6</v>
      </c>
      <c r="C236" s="2">
        <v>1</v>
      </c>
      <c r="D236" s="1" t="s">
        <v>24</v>
      </c>
      <c r="E236" s="2">
        <v>31</v>
      </c>
      <c r="F236" s="1" t="s">
        <v>40</v>
      </c>
      <c r="G236" s="2">
        <v>1</v>
      </c>
      <c r="H236" s="1" t="s">
        <v>29</v>
      </c>
      <c r="I236" s="1">
        <f>SUMIFS(ES_3[LENGTH_EX_SU],ES_3[STN],ES_3[[#This Row],[STN]],ES_3[DISCIPLINE_TYPE],"Out-of-School Suspension")+SUMIFS(ES_3[LENGTH_EX_SU],ES_3[STN],ES_3[[#This Row],[STN]],ES_3[DISCIPLINE_TYPE],"Expulsion")</f>
        <v>0</v>
      </c>
      <c r="J236" s="1">
        <f>IF(ES_3[[#This Row],[Count Exp/Sus]]&gt;10,1,0)</f>
        <v>0</v>
      </c>
      <c r="K236" s="1">
        <f t="shared" si="3"/>
        <v>0</v>
      </c>
      <c r="L236" s="1">
        <f>IF(J236=1,IF(COUNTIFS($A$3:A236,A236,$J$3:J236,1)=1,A236&amp;"-included",0),0)</f>
        <v>0</v>
      </c>
      <c r="M236" s="1" cm="1">
        <f t="array" ref="M236">IF(ES_3[[#This Row],[Included Exp/Sus]]=1,IF(SUMPRODUCT((ES_3[STN]=ES_3[[#This Row],[STN]])*(ES_3[Included Exp/Sus]=1)*(ROW(ES_3[STN])&lt;=ROW()))=1,1,0),0)</f>
        <v>0</v>
      </c>
      <c r="N236" s="1" t="str">
        <f>_xlfn.XLOOKUP(ES_3[[#This Row],[STN]],SE_3[STN],SE_3[Ethnicity],"",0)</f>
        <v>White</v>
      </c>
    </row>
    <row r="237" spans="1:14" ht="14.45">
      <c r="A237" s="1">
        <v>820913031</v>
      </c>
      <c r="B237" s="1">
        <v>7</v>
      </c>
      <c r="C237" s="2">
        <v>1</v>
      </c>
      <c r="D237" s="1" t="s">
        <v>24</v>
      </c>
      <c r="E237" s="2">
        <v>13</v>
      </c>
      <c r="F237" s="1" t="s">
        <v>34</v>
      </c>
      <c r="G237" s="2">
        <v>3</v>
      </c>
      <c r="H237" s="1" t="s">
        <v>26</v>
      </c>
      <c r="I237" s="1">
        <f>SUMIFS(ES_3[LENGTH_EX_SU],ES_3[STN],ES_3[[#This Row],[STN]],ES_3[DISCIPLINE_TYPE],"Out-of-School Suspension")+SUMIFS(ES_3[LENGTH_EX_SU],ES_3[STN],ES_3[[#This Row],[STN]],ES_3[DISCIPLINE_TYPE],"Expulsion")</f>
        <v>0</v>
      </c>
      <c r="J237" s="1">
        <f>IF(ES_3[[#This Row],[Count Exp/Sus]]&gt;10,1,0)</f>
        <v>0</v>
      </c>
      <c r="K237" s="1">
        <f t="shared" si="3"/>
        <v>0</v>
      </c>
      <c r="L237" s="1">
        <f>IF(J237=1,IF(COUNTIFS($A$3:A237,A237,$J$3:J237,1)=1,A237&amp;"-included",0),0)</f>
        <v>0</v>
      </c>
      <c r="M237" s="1" cm="1">
        <f t="array" ref="M237">IF(ES_3[[#This Row],[Included Exp/Sus]]=1,IF(SUMPRODUCT((ES_3[STN]=ES_3[[#This Row],[STN]])*(ES_3[Included Exp/Sus]=1)*(ROW(ES_3[STN])&lt;=ROW()))=1,1,0),0)</f>
        <v>0</v>
      </c>
      <c r="N237" s="1" t="str">
        <f>_xlfn.XLOOKUP(ES_3[[#This Row],[STN]],SE_3[STN],SE_3[Ethnicity],"",0)</f>
        <v>Black - African American</v>
      </c>
    </row>
    <row r="238" spans="1:14" ht="14.45">
      <c r="A238" s="1">
        <v>820914012</v>
      </c>
      <c r="B238" s="1">
        <v>7</v>
      </c>
      <c r="C238" s="2">
        <v>1</v>
      </c>
      <c r="D238" s="1" t="s">
        <v>24</v>
      </c>
      <c r="E238" s="2">
        <v>10</v>
      </c>
      <c r="F238" s="1" t="s">
        <v>25</v>
      </c>
      <c r="G238" s="2">
        <v>1</v>
      </c>
      <c r="H238" s="1" t="s">
        <v>29</v>
      </c>
      <c r="I238" s="1">
        <f>SUMIFS(ES_3[LENGTH_EX_SU],ES_3[STN],ES_3[[#This Row],[STN]],ES_3[DISCIPLINE_TYPE],"Out-of-School Suspension")+SUMIFS(ES_3[LENGTH_EX_SU],ES_3[STN],ES_3[[#This Row],[STN]],ES_3[DISCIPLINE_TYPE],"Expulsion")</f>
        <v>0</v>
      </c>
      <c r="J238" s="1">
        <f>IF(ES_3[[#This Row],[Count Exp/Sus]]&gt;10,1,0)</f>
        <v>0</v>
      </c>
      <c r="K238" s="1">
        <f t="shared" si="3"/>
        <v>0</v>
      </c>
      <c r="L238" s="1">
        <f>IF(J238=1,IF(COUNTIFS($A$3:A238,A238,$J$3:J238,1)=1,A238&amp;"-included",0),0)</f>
        <v>0</v>
      </c>
      <c r="M238" s="1" cm="1">
        <f t="array" ref="M238">IF(ES_3[[#This Row],[Included Exp/Sus]]=1,IF(SUMPRODUCT((ES_3[STN]=ES_3[[#This Row],[STN]])*(ES_3[Included Exp/Sus]=1)*(ROW(ES_3[STN])&lt;=ROW()))=1,1,0),0)</f>
        <v>0</v>
      </c>
      <c r="N238" s="1" t="str">
        <f>_xlfn.XLOOKUP(ES_3[[#This Row],[STN]],SE_3[STN],SE_3[Ethnicity],"",0)</f>
        <v>White</v>
      </c>
    </row>
    <row r="239" spans="1:14" ht="14.45">
      <c r="A239" s="1">
        <v>820914034</v>
      </c>
      <c r="B239" s="1">
        <v>8</v>
      </c>
      <c r="C239" s="2">
        <v>1</v>
      </c>
      <c r="D239" s="1" t="s">
        <v>24</v>
      </c>
      <c r="E239" s="2">
        <v>13</v>
      </c>
      <c r="F239" s="1" t="s">
        <v>34</v>
      </c>
      <c r="G239" s="2">
        <v>2</v>
      </c>
      <c r="H239" s="1" t="s">
        <v>29</v>
      </c>
      <c r="I239" s="1">
        <f>SUMIFS(ES_3[LENGTH_EX_SU],ES_3[STN],ES_3[[#This Row],[STN]],ES_3[DISCIPLINE_TYPE],"Out-of-School Suspension")+SUMIFS(ES_3[LENGTH_EX_SU],ES_3[STN],ES_3[[#This Row],[STN]],ES_3[DISCIPLINE_TYPE],"Expulsion")</f>
        <v>0</v>
      </c>
      <c r="J239" s="1">
        <f>IF(ES_3[[#This Row],[Count Exp/Sus]]&gt;10,1,0)</f>
        <v>0</v>
      </c>
      <c r="K239" s="1">
        <f t="shared" si="3"/>
        <v>0</v>
      </c>
      <c r="L239" s="1">
        <f>IF(J239=1,IF(COUNTIFS($A$3:A239,A239,$J$3:J239,1)=1,A239&amp;"-included",0),0)</f>
        <v>0</v>
      </c>
      <c r="M239" s="1" cm="1">
        <f t="array" ref="M239">IF(ES_3[[#This Row],[Included Exp/Sus]]=1,IF(SUMPRODUCT((ES_3[STN]=ES_3[[#This Row],[STN]])*(ES_3[Included Exp/Sus]=1)*(ROW(ES_3[STN])&lt;=ROW()))=1,1,0),0)</f>
        <v>0</v>
      </c>
      <c r="N239" s="1" t="str">
        <f>_xlfn.XLOOKUP(ES_3[[#This Row],[STN]],SE_3[STN],SE_3[Ethnicity],"",0)</f>
        <v>White</v>
      </c>
    </row>
    <row r="240" spans="1:14" ht="14.45">
      <c r="A240" s="1">
        <v>820914037</v>
      </c>
      <c r="B240" s="1">
        <v>6</v>
      </c>
      <c r="C240" s="2">
        <v>1</v>
      </c>
      <c r="D240" s="1" t="s">
        <v>24</v>
      </c>
      <c r="E240" s="2">
        <v>16</v>
      </c>
      <c r="F240" s="1" t="s">
        <v>28</v>
      </c>
      <c r="G240" s="2">
        <v>1</v>
      </c>
      <c r="H240" s="1" t="s">
        <v>29</v>
      </c>
      <c r="I240" s="1">
        <f>SUMIFS(ES_3[LENGTH_EX_SU],ES_3[STN],ES_3[[#This Row],[STN]],ES_3[DISCIPLINE_TYPE],"Out-of-School Suspension")+SUMIFS(ES_3[LENGTH_EX_SU],ES_3[STN],ES_3[[#This Row],[STN]],ES_3[DISCIPLINE_TYPE],"Expulsion")</f>
        <v>0</v>
      </c>
      <c r="J240" s="1">
        <f>IF(ES_3[[#This Row],[Count Exp/Sus]]&gt;10,1,0)</f>
        <v>0</v>
      </c>
      <c r="K240" s="1">
        <f t="shared" si="3"/>
        <v>0</v>
      </c>
      <c r="L240" s="1">
        <f>IF(J240=1,IF(COUNTIFS($A$3:A240,A240,$J$3:J240,1)=1,A240&amp;"-included",0),0)</f>
        <v>0</v>
      </c>
      <c r="M240" s="1" cm="1">
        <f t="array" ref="M240">IF(ES_3[[#This Row],[Included Exp/Sus]]=1,IF(SUMPRODUCT((ES_3[STN]=ES_3[[#This Row],[STN]])*(ES_3[Included Exp/Sus]=1)*(ROW(ES_3[STN])&lt;=ROW()))=1,1,0),0)</f>
        <v>0</v>
      </c>
      <c r="N240" s="1" t="str">
        <f>_xlfn.XLOOKUP(ES_3[[#This Row],[STN]],SE_3[STN],SE_3[Ethnicity],"",0)</f>
        <v>White</v>
      </c>
    </row>
    <row r="241" spans="1:14" ht="14.45">
      <c r="A241" s="1">
        <v>820914038</v>
      </c>
      <c r="B241" s="1">
        <v>6</v>
      </c>
      <c r="C241" s="2">
        <v>1</v>
      </c>
      <c r="D241" s="1" t="s">
        <v>24</v>
      </c>
      <c r="E241" s="2">
        <v>11</v>
      </c>
      <c r="F241" s="1" t="s">
        <v>36</v>
      </c>
      <c r="G241" s="2">
        <v>2</v>
      </c>
      <c r="H241" s="1" t="s">
        <v>29</v>
      </c>
      <c r="I241" s="1">
        <f>SUMIFS(ES_3[LENGTH_EX_SU],ES_3[STN],ES_3[[#This Row],[STN]],ES_3[DISCIPLINE_TYPE],"Out-of-School Suspension")+SUMIFS(ES_3[LENGTH_EX_SU],ES_3[STN],ES_3[[#This Row],[STN]],ES_3[DISCIPLINE_TYPE],"Expulsion")</f>
        <v>5</v>
      </c>
      <c r="J241" s="1">
        <f>IF(ES_3[[#This Row],[Count Exp/Sus]]&gt;10,1,0)</f>
        <v>0</v>
      </c>
      <c r="K241" s="1">
        <f t="shared" si="3"/>
        <v>0</v>
      </c>
      <c r="L241" s="1">
        <f>IF(J241=1,IF(COUNTIFS($A$3:A241,A241,$J$3:J241,1)=1,A241&amp;"-included",0),0)</f>
        <v>0</v>
      </c>
      <c r="M241" s="1" cm="1">
        <f t="array" ref="M241">IF(ES_3[[#This Row],[Included Exp/Sus]]=1,IF(SUMPRODUCT((ES_3[STN]=ES_3[[#This Row],[STN]])*(ES_3[Included Exp/Sus]=1)*(ROW(ES_3[STN])&lt;=ROW()))=1,1,0),0)</f>
        <v>0</v>
      </c>
      <c r="N241" s="1" t="str">
        <f>_xlfn.XLOOKUP(ES_3[[#This Row],[STN]],SE_3[STN],SE_3[Ethnicity],"",0)</f>
        <v>White</v>
      </c>
    </row>
    <row r="242" spans="1:14" ht="14.45">
      <c r="A242" s="1">
        <v>820914038</v>
      </c>
      <c r="B242" s="1">
        <v>6</v>
      </c>
      <c r="C242" s="2">
        <v>2</v>
      </c>
      <c r="D242" s="1" t="s">
        <v>31</v>
      </c>
      <c r="E242" s="2">
        <v>13</v>
      </c>
      <c r="F242" s="1" t="s">
        <v>34</v>
      </c>
      <c r="G242" s="2">
        <v>5</v>
      </c>
      <c r="H242" s="1" t="s">
        <v>29</v>
      </c>
      <c r="I242" s="1">
        <f>SUMIFS(ES_3[LENGTH_EX_SU],ES_3[STN],ES_3[[#This Row],[STN]],ES_3[DISCIPLINE_TYPE],"Out-of-School Suspension")+SUMIFS(ES_3[LENGTH_EX_SU],ES_3[STN],ES_3[[#This Row],[STN]],ES_3[DISCIPLINE_TYPE],"Expulsion")</f>
        <v>5</v>
      </c>
      <c r="J242" s="1">
        <f>IF(ES_3[[#This Row],[Count Exp/Sus]]&gt;10,1,0)</f>
        <v>0</v>
      </c>
      <c r="K242" s="1">
        <f t="shared" si="3"/>
        <v>0</v>
      </c>
      <c r="L242" s="1">
        <f>IF(J242=1,IF(COUNTIFS($A$3:A242,A242,$J$3:J242,1)=1,A242&amp;"-included",0),0)</f>
        <v>0</v>
      </c>
      <c r="M242" s="1" cm="1">
        <f t="array" ref="M242">IF(ES_3[[#This Row],[Included Exp/Sus]]=1,IF(SUMPRODUCT((ES_3[STN]=ES_3[[#This Row],[STN]])*(ES_3[Included Exp/Sus]=1)*(ROW(ES_3[STN])&lt;=ROW()))=1,1,0),0)</f>
        <v>0</v>
      </c>
      <c r="N242" s="1" t="str">
        <f>_xlfn.XLOOKUP(ES_3[[#This Row],[STN]],SE_3[STN],SE_3[Ethnicity],"",0)</f>
        <v>White</v>
      </c>
    </row>
    <row r="243" spans="1:14" ht="14.45">
      <c r="A243" s="1">
        <v>820916036</v>
      </c>
      <c r="B243" s="1">
        <v>7</v>
      </c>
      <c r="C243" s="2">
        <v>2</v>
      </c>
      <c r="D243" s="1" t="s">
        <v>31</v>
      </c>
      <c r="E243" s="2">
        <v>2</v>
      </c>
      <c r="F243" s="1" t="s">
        <v>33</v>
      </c>
      <c r="G243" s="2">
        <v>5</v>
      </c>
      <c r="H243" s="1" t="s">
        <v>29</v>
      </c>
      <c r="I243" s="1">
        <f>SUMIFS(ES_3[LENGTH_EX_SU],ES_3[STN],ES_3[[#This Row],[STN]],ES_3[DISCIPLINE_TYPE],"Out-of-School Suspension")+SUMIFS(ES_3[LENGTH_EX_SU],ES_3[STN],ES_3[[#This Row],[STN]],ES_3[DISCIPLINE_TYPE],"Expulsion")</f>
        <v>35</v>
      </c>
      <c r="J243" s="1">
        <f>IF(ES_3[[#This Row],[Count Exp/Sus]]&gt;10,1,0)</f>
        <v>1</v>
      </c>
      <c r="K243" s="1" t="str">
        <f t="shared" si="3"/>
        <v>820916036-included</v>
      </c>
      <c r="L243" s="1" t="str">
        <f>IF(J243=1,IF(COUNTIFS($A$3:A243,A243,$J$3:J243,1)=1,A243&amp;"-included",0),0)</f>
        <v>820916036-included</v>
      </c>
      <c r="M243" s="1" cm="1">
        <f t="array" ref="M243">IF(ES_3[[#This Row],[Included Exp/Sus]]=1,IF(SUMPRODUCT((ES_3[STN]=ES_3[[#This Row],[STN]])*(ES_3[Included Exp/Sus]=1)*(ROW(ES_3[STN])&lt;=ROW()))=1,1,0),0)</f>
        <v>1</v>
      </c>
      <c r="N243" s="1" t="str">
        <f>_xlfn.XLOOKUP(ES_3[[#This Row],[STN]],SE_3[STN],SE_3[Ethnicity],"",0)</f>
        <v>White</v>
      </c>
    </row>
    <row r="244" spans="1:14" ht="14.45">
      <c r="A244" s="1">
        <v>820916036</v>
      </c>
      <c r="B244" s="1">
        <v>7</v>
      </c>
      <c r="C244" s="2">
        <v>3</v>
      </c>
      <c r="D244" s="1" t="s">
        <v>35</v>
      </c>
      <c r="E244" s="2">
        <v>19</v>
      </c>
      <c r="F244" s="1" t="s">
        <v>37</v>
      </c>
      <c r="G244" s="2">
        <v>30</v>
      </c>
      <c r="H244" s="1" t="s">
        <v>29</v>
      </c>
      <c r="I244" s="1">
        <f>SUMIFS(ES_3[LENGTH_EX_SU],ES_3[STN],ES_3[[#This Row],[STN]],ES_3[DISCIPLINE_TYPE],"Out-of-School Suspension")+SUMIFS(ES_3[LENGTH_EX_SU],ES_3[STN],ES_3[[#This Row],[STN]],ES_3[DISCIPLINE_TYPE],"Expulsion")</f>
        <v>35</v>
      </c>
      <c r="J244" s="1">
        <f>IF(ES_3[[#This Row],[Count Exp/Sus]]&gt;10,1,0)</f>
        <v>1</v>
      </c>
      <c r="K244" s="1" t="str">
        <f t="shared" si="3"/>
        <v>820916036-included</v>
      </c>
      <c r="L244" s="1">
        <f>IF(J244=1,IF(COUNTIFS($A$3:A244,A244,$J$3:J244,1)=1,A244&amp;"-included",0),0)</f>
        <v>0</v>
      </c>
      <c r="M244" s="1" cm="1">
        <f t="array" ref="M244">IF(ES_3[[#This Row],[Included Exp/Sus]]=1,IF(SUMPRODUCT((ES_3[STN]=ES_3[[#This Row],[STN]])*(ES_3[Included Exp/Sus]=1)*(ROW(ES_3[STN])&lt;=ROW()))=1,1,0),0)</f>
        <v>0</v>
      </c>
      <c r="N244" s="1" t="str">
        <f>_xlfn.XLOOKUP(ES_3[[#This Row],[STN]],SE_3[STN],SE_3[Ethnicity],"",0)</f>
        <v>White</v>
      </c>
    </row>
    <row r="245" spans="1:14" ht="14.45">
      <c r="A245" s="1">
        <v>821313016</v>
      </c>
      <c r="B245" s="1">
        <v>8</v>
      </c>
      <c r="C245" s="2">
        <v>2</v>
      </c>
      <c r="D245" s="1" t="s">
        <v>31</v>
      </c>
      <c r="E245" s="2">
        <v>7</v>
      </c>
      <c r="F245" s="1" t="s">
        <v>30</v>
      </c>
      <c r="G245" s="2">
        <v>5</v>
      </c>
      <c r="H245" s="1" t="s">
        <v>29</v>
      </c>
      <c r="I245" s="1">
        <f>SUMIFS(ES_3[LENGTH_EX_SU],ES_3[STN],ES_3[[#This Row],[STN]],ES_3[DISCIPLINE_TYPE],"Out-of-School Suspension")+SUMIFS(ES_3[LENGTH_EX_SU],ES_3[STN],ES_3[[#This Row],[STN]],ES_3[DISCIPLINE_TYPE],"Expulsion")</f>
        <v>5</v>
      </c>
      <c r="J245" s="1">
        <f>IF(ES_3[[#This Row],[Count Exp/Sus]]&gt;10,1,0)</f>
        <v>0</v>
      </c>
      <c r="K245" s="1">
        <f t="shared" si="3"/>
        <v>0</v>
      </c>
      <c r="L245" s="1">
        <f>IF(J245=1,IF(COUNTIFS($A$3:A245,A245,$J$3:J245,1)=1,A245&amp;"-included",0),0)</f>
        <v>0</v>
      </c>
      <c r="M245" s="1" cm="1">
        <f t="array" ref="M245">IF(ES_3[[#This Row],[Included Exp/Sus]]=1,IF(SUMPRODUCT((ES_3[STN]=ES_3[[#This Row],[STN]])*(ES_3[Included Exp/Sus]=1)*(ROW(ES_3[STN])&lt;=ROW()))=1,1,0),0)</f>
        <v>0</v>
      </c>
      <c r="N245" s="1" t="str">
        <f>_xlfn.XLOOKUP(ES_3[[#This Row],[STN]],SE_3[STN],SE_3[Ethnicity],"",0)</f>
        <v>White</v>
      </c>
    </row>
    <row r="246" spans="1:14" ht="14.45">
      <c r="A246" s="1">
        <v>821313018</v>
      </c>
      <c r="B246" s="1">
        <v>8</v>
      </c>
      <c r="C246" s="2">
        <v>1</v>
      </c>
      <c r="D246" s="1" t="s">
        <v>24</v>
      </c>
      <c r="E246" s="2">
        <v>20</v>
      </c>
      <c r="F246" s="1" t="s">
        <v>42</v>
      </c>
      <c r="G246" s="2">
        <v>1</v>
      </c>
      <c r="H246" s="1" t="s">
        <v>29</v>
      </c>
      <c r="I246" s="1">
        <f>SUMIFS(ES_3[LENGTH_EX_SU],ES_3[STN],ES_3[[#This Row],[STN]],ES_3[DISCIPLINE_TYPE],"Out-of-School Suspension")+SUMIFS(ES_3[LENGTH_EX_SU],ES_3[STN],ES_3[[#This Row],[STN]],ES_3[DISCIPLINE_TYPE],"Expulsion")</f>
        <v>0</v>
      </c>
      <c r="J246" s="1">
        <f>IF(ES_3[[#This Row],[Count Exp/Sus]]&gt;10,1,0)</f>
        <v>0</v>
      </c>
      <c r="K246" s="1">
        <f t="shared" si="3"/>
        <v>0</v>
      </c>
      <c r="L246" s="1">
        <f>IF(J246=1,IF(COUNTIFS($A$3:A246,A246,$J$3:J246,1)=1,A246&amp;"-included",0),0)</f>
        <v>0</v>
      </c>
      <c r="M246" s="1" cm="1">
        <f t="array" ref="M246">IF(ES_3[[#This Row],[Included Exp/Sus]]=1,IF(SUMPRODUCT((ES_3[STN]=ES_3[[#This Row],[STN]])*(ES_3[Included Exp/Sus]=1)*(ROW(ES_3[STN])&lt;=ROW()))=1,1,0),0)</f>
        <v>0</v>
      </c>
      <c r="N246" s="1" t="str">
        <f>_xlfn.XLOOKUP(ES_3[[#This Row],[STN]],SE_3[STN],SE_3[Ethnicity],"",0)</f>
        <v>White</v>
      </c>
    </row>
    <row r="247" spans="1:14" ht="14.45">
      <c r="A247" s="1">
        <v>821314014</v>
      </c>
      <c r="B247" s="1">
        <v>7</v>
      </c>
      <c r="C247" s="2">
        <v>1</v>
      </c>
      <c r="D247" s="1" t="s">
        <v>24</v>
      </c>
      <c r="E247" s="2">
        <v>14</v>
      </c>
      <c r="F247" s="1" t="s">
        <v>32</v>
      </c>
      <c r="G247" s="2">
        <v>2</v>
      </c>
      <c r="H247" s="1" t="s">
        <v>29</v>
      </c>
      <c r="I247" s="1">
        <f>SUMIFS(ES_3[LENGTH_EX_SU],ES_3[STN],ES_3[[#This Row],[STN]],ES_3[DISCIPLINE_TYPE],"Out-of-School Suspension")+SUMIFS(ES_3[LENGTH_EX_SU],ES_3[STN],ES_3[[#This Row],[STN]],ES_3[DISCIPLINE_TYPE],"Expulsion")</f>
        <v>30</v>
      </c>
      <c r="J247" s="1">
        <f>IF(ES_3[[#This Row],[Count Exp/Sus]]&gt;10,1,0)</f>
        <v>1</v>
      </c>
      <c r="K247" s="1" t="str">
        <f t="shared" si="3"/>
        <v>821314014-included</v>
      </c>
      <c r="L247" s="1" t="str">
        <f>IF(J247=1,IF(COUNTIFS($A$3:A247,A247,$J$3:J247,1)=1,A247&amp;"-included",0),0)</f>
        <v>821314014-included</v>
      </c>
      <c r="M247" s="1" cm="1">
        <f t="array" ref="M247">IF(ES_3[[#This Row],[Included Exp/Sus]]=1,IF(SUMPRODUCT((ES_3[STN]=ES_3[[#This Row],[STN]])*(ES_3[Included Exp/Sus]=1)*(ROW(ES_3[STN])&lt;=ROW()))=1,1,0),0)</f>
        <v>1</v>
      </c>
      <c r="N247" s="1" t="str">
        <f>_xlfn.XLOOKUP(ES_3[[#This Row],[STN]],SE_3[STN],SE_3[Ethnicity],"",0)</f>
        <v>White</v>
      </c>
    </row>
    <row r="248" spans="1:14" ht="14.45">
      <c r="A248" s="1">
        <v>821314014</v>
      </c>
      <c r="B248" s="1">
        <v>7</v>
      </c>
      <c r="C248" s="2">
        <v>1</v>
      </c>
      <c r="D248" s="1" t="s">
        <v>24</v>
      </c>
      <c r="E248" s="2">
        <v>19</v>
      </c>
      <c r="F248" s="1" t="s">
        <v>37</v>
      </c>
      <c r="G248" s="2">
        <v>5</v>
      </c>
      <c r="H248" s="1" t="s">
        <v>29</v>
      </c>
      <c r="I248" s="1">
        <f>SUMIFS(ES_3[LENGTH_EX_SU],ES_3[STN],ES_3[[#This Row],[STN]],ES_3[DISCIPLINE_TYPE],"Out-of-School Suspension")+SUMIFS(ES_3[LENGTH_EX_SU],ES_3[STN],ES_3[[#This Row],[STN]],ES_3[DISCIPLINE_TYPE],"Expulsion")</f>
        <v>30</v>
      </c>
      <c r="J248" s="1">
        <f>IF(ES_3[[#This Row],[Count Exp/Sus]]&gt;10,1,0)</f>
        <v>1</v>
      </c>
      <c r="K248" s="1" t="str">
        <f t="shared" si="3"/>
        <v>821314014-included</v>
      </c>
      <c r="L248" s="1">
        <f>IF(J248=1,IF(COUNTIFS($A$3:A248,A248,$J$3:J248,1)=1,A248&amp;"-included",0),0)</f>
        <v>0</v>
      </c>
      <c r="M248" s="1" cm="1">
        <f t="array" ref="M248">IF(ES_3[[#This Row],[Included Exp/Sus]]=1,IF(SUMPRODUCT((ES_3[STN]=ES_3[[#This Row],[STN]])*(ES_3[Included Exp/Sus]=1)*(ROW(ES_3[STN])&lt;=ROW()))=1,1,0),0)</f>
        <v>0</v>
      </c>
      <c r="N248" s="1" t="str">
        <f>_xlfn.XLOOKUP(ES_3[[#This Row],[STN]],SE_3[STN],SE_3[Ethnicity],"",0)</f>
        <v>White</v>
      </c>
    </row>
    <row r="249" spans="1:14" ht="14.45">
      <c r="A249" s="1">
        <v>821314014</v>
      </c>
      <c r="B249" s="1">
        <v>7</v>
      </c>
      <c r="C249" s="2">
        <v>1</v>
      </c>
      <c r="D249" s="1" t="s">
        <v>24</v>
      </c>
      <c r="E249" s="2">
        <v>10</v>
      </c>
      <c r="F249" s="1" t="s">
        <v>25</v>
      </c>
      <c r="G249" s="2">
        <v>1</v>
      </c>
      <c r="H249" s="1" t="s">
        <v>29</v>
      </c>
      <c r="I249" s="1">
        <f>SUMIFS(ES_3[LENGTH_EX_SU],ES_3[STN],ES_3[[#This Row],[STN]],ES_3[DISCIPLINE_TYPE],"Out-of-School Suspension")+SUMIFS(ES_3[LENGTH_EX_SU],ES_3[STN],ES_3[[#This Row],[STN]],ES_3[DISCIPLINE_TYPE],"Expulsion")</f>
        <v>30</v>
      </c>
      <c r="J249" s="1">
        <f>IF(ES_3[[#This Row],[Count Exp/Sus]]&gt;10,1,0)</f>
        <v>1</v>
      </c>
      <c r="K249" s="1" t="str">
        <f t="shared" si="3"/>
        <v>821314014-included</v>
      </c>
      <c r="L249" s="1">
        <f>IF(J249=1,IF(COUNTIFS($A$3:A249,A249,$J$3:J249,1)=1,A249&amp;"-included",0),0)</f>
        <v>0</v>
      </c>
      <c r="M249" s="1" cm="1">
        <f t="array" ref="M249">IF(ES_3[[#This Row],[Included Exp/Sus]]=1,IF(SUMPRODUCT((ES_3[STN]=ES_3[[#This Row],[STN]])*(ES_3[Included Exp/Sus]=1)*(ROW(ES_3[STN])&lt;=ROW()))=1,1,0),0)</f>
        <v>0</v>
      </c>
      <c r="N249" s="1" t="str">
        <f>_xlfn.XLOOKUP(ES_3[[#This Row],[STN]],SE_3[STN],SE_3[Ethnicity],"",0)</f>
        <v>White</v>
      </c>
    </row>
    <row r="250" spans="1:14" ht="14.45">
      <c r="A250" s="1">
        <v>821314014</v>
      </c>
      <c r="B250" s="1">
        <v>7</v>
      </c>
      <c r="C250" s="2">
        <v>3</v>
      </c>
      <c r="D250" s="1" t="s">
        <v>35</v>
      </c>
      <c r="E250" s="2">
        <v>19</v>
      </c>
      <c r="F250" s="1" t="s">
        <v>37</v>
      </c>
      <c r="G250" s="2">
        <v>30</v>
      </c>
      <c r="H250" s="1" t="s">
        <v>29</v>
      </c>
      <c r="I250" s="1">
        <f>SUMIFS(ES_3[LENGTH_EX_SU],ES_3[STN],ES_3[[#This Row],[STN]],ES_3[DISCIPLINE_TYPE],"Out-of-School Suspension")+SUMIFS(ES_3[LENGTH_EX_SU],ES_3[STN],ES_3[[#This Row],[STN]],ES_3[DISCIPLINE_TYPE],"Expulsion")</f>
        <v>30</v>
      </c>
      <c r="J250" s="1">
        <f>IF(ES_3[[#This Row],[Count Exp/Sus]]&gt;10,1,0)</f>
        <v>1</v>
      </c>
      <c r="K250" s="1" t="str">
        <f t="shared" si="3"/>
        <v>821314014-included</v>
      </c>
      <c r="L250" s="1">
        <f>IF(J250=1,IF(COUNTIFS($A$3:A250,A250,$J$3:J250,1)=1,A250&amp;"-included",0),0)</f>
        <v>0</v>
      </c>
      <c r="M250" s="1" cm="1">
        <f t="array" ref="M250">IF(ES_3[[#This Row],[Included Exp/Sus]]=1,IF(SUMPRODUCT((ES_3[STN]=ES_3[[#This Row],[STN]])*(ES_3[Included Exp/Sus]=1)*(ROW(ES_3[STN])&lt;=ROW()))=1,1,0),0)</f>
        <v>0</v>
      </c>
      <c r="N250" s="1" t="str">
        <f>_xlfn.XLOOKUP(ES_3[[#This Row],[STN]],SE_3[STN],SE_3[Ethnicity],"",0)</f>
        <v>White</v>
      </c>
    </row>
    <row r="251" spans="1:14" ht="14.45">
      <c r="A251" s="1">
        <v>821314015</v>
      </c>
      <c r="B251" s="1">
        <v>7</v>
      </c>
      <c r="C251" s="2">
        <v>2</v>
      </c>
      <c r="D251" s="1" t="s">
        <v>31</v>
      </c>
      <c r="E251" s="2">
        <v>19</v>
      </c>
      <c r="F251" s="1" t="s">
        <v>37</v>
      </c>
      <c r="G251" s="2">
        <v>3</v>
      </c>
      <c r="H251" s="1" t="s">
        <v>29</v>
      </c>
      <c r="I251" s="1">
        <f>SUMIFS(ES_3[LENGTH_EX_SU],ES_3[STN],ES_3[[#This Row],[STN]],ES_3[DISCIPLINE_TYPE],"Out-of-School Suspension")+SUMIFS(ES_3[LENGTH_EX_SU],ES_3[STN],ES_3[[#This Row],[STN]],ES_3[DISCIPLINE_TYPE],"Expulsion")</f>
        <v>3</v>
      </c>
      <c r="J251" s="1">
        <f>IF(ES_3[[#This Row],[Count Exp/Sus]]&gt;10,1,0)</f>
        <v>0</v>
      </c>
      <c r="K251" s="1">
        <f t="shared" si="3"/>
        <v>0</v>
      </c>
      <c r="L251" s="1">
        <f>IF(J251=1,IF(COUNTIFS($A$3:A251,A251,$J$3:J251,1)=1,A251&amp;"-included",0),0)</f>
        <v>0</v>
      </c>
      <c r="M251" s="1" cm="1">
        <f t="array" ref="M251">IF(ES_3[[#This Row],[Included Exp/Sus]]=1,IF(SUMPRODUCT((ES_3[STN]=ES_3[[#This Row],[STN]])*(ES_3[Included Exp/Sus]=1)*(ROW(ES_3[STN])&lt;=ROW()))=1,1,0),0)</f>
        <v>0</v>
      </c>
      <c r="N251" s="1" t="str">
        <f>_xlfn.XLOOKUP(ES_3[[#This Row],[STN]],SE_3[STN],SE_3[Ethnicity],"",0)</f>
        <v>White</v>
      </c>
    </row>
    <row r="252" spans="1:14" ht="14.45">
      <c r="A252" s="1">
        <v>821314015</v>
      </c>
      <c r="B252" s="1">
        <v>7</v>
      </c>
      <c r="C252" s="2">
        <v>1</v>
      </c>
      <c r="D252" s="1" t="s">
        <v>24</v>
      </c>
      <c r="E252" s="2">
        <v>10</v>
      </c>
      <c r="F252" s="1" t="s">
        <v>25</v>
      </c>
      <c r="G252" s="2">
        <v>1</v>
      </c>
      <c r="H252" s="1" t="s">
        <v>29</v>
      </c>
      <c r="I252" s="1">
        <f>SUMIFS(ES_3[LENGTH_EX_SU],ES_3[STN],ES_3[[#This Row],[STN]],ES_3[DISCIPLINE_TYPE],"Out-of-School Suspension")+SUMIFS(ES_3[LENGTH_EX_SU],ES_3[STN],ES_3[[#This Row],[STN]],ES_3[DISCIPLINE_TYPE],"Expulsion")</f>
        <v>3</v>
      </c>
      <c r="J252" s="1">
        <f>IF(ES_3[[#This Row],[Count Exp/Sus]]&gt;10,1,0)</f>
        <v>0</v>
      </c>
      <c r="K252" s="1">
        <f t="shared" si="3"/>
        <v>0</v>
      </c>
      <c r="L252" s="1">
        <f>IF(J252=1,IF(COUNTIFS($A$3:A252,A252,$J$3:J252,1)=1,A252&amp;"-included",0),0)</f>
        <v>0</v>
      </c>
      <c r="M252" s="1" cm="1">
        <f t="array" ref="M252">IF(ES_3[[#This Row],[Included Exp/Sus]]=1,IF(SUMPRODUCT((ES_3[STN]=ES_3[[#This Row],[STN]])*(ES_3[Included Exp/Sus]=1)*(ROW(ES_3[STN])&lt;=ROW()))=1,1,0),0)</f>
        <v>0</v>
      </c>
      <c r="N252" s="1" t="str">
        <f>_xlfn.XLOOKUP(ES_3[[#This Row],[STN]],SE_3[STN],SE_3[Ethnicity],"",0)</f>
        <v>White</v>
      </c>
    </row>
    <row r="253" spans="1:14" ht="14.45">
      <c r="A253" s="1">
        <v>821314019</v>
      </c>
      <c r="B253" s="1">
        <v>7</v>
      </c>
      <c r="C253" s="2">
        <v>1</v>
      </c>
      <c r="D253" s="1" t="s">
        <v>24</v>
      </c>
      <c r="E253" s="2">
        <v>15</v>
      </c>
      <c r="F253" s="1" t="s">
        <v>27</v>
      </c>
      <c r="G253" s="2">
        <v>1</v>
      </c>
      <c r="H253" s="1" t="s">
        <v>29</v>
      </c>
      <c r="I253" s="1">
        <f>SUMIFS(ES_3[LENGTH_EX_SU],ES_3[STN],ES_3[[#This Row],[STN]],ES_3[DISCIPLINE_TYPE],"Out-of-School Suspension")+SUMIFS(ES_3[LENGTH_EX_SU],ES_3[STN],ES_3[[#This Row],[STN]],ES_3[DISCIPLINE_TYPE],"Expulsion")</f>
        <v>0</v>
      </c>
      <c r="J253" s="1">
        <f>IF(ES_3[[#This Row],[Count Exp/Sus]]&gt;10,1,0)</f>
        <v>0</v>
      </c>
      <c r="K253" s="1">
        <f t="shared" si="3"/>
        <v>0</v>
      </c>
      <c r="L253" s="1">
        <f>IF(J253=1,IF(COUNTIFS($A$3:A253,A253,$J$3:J253,1)=1,A253&amp;"-included",0),0)</f>
        <v>0</v>
      </c>
      <c r="M253" s="1" cm="1">
        <f t="array" ref="M253">IF(ES_3[[#This Row],[Included Exp/Sus]]=1,IF(SUMPRODUCT((ES_3[STN]=ES_3[[#This Row],[STN]])*(ES_3[Included Exp/Sus]=1)*(ROW(ES_3[STN])&lt;=ROW()))=1,1,0),0)</f>
        <v>0</v>
      </c>
      <c r="N253" s="1" t="str">
        <f>_xlfn.XLOOKUP(ES_3[[#This Row],[STN]],SE_3[STN],SE_3[Ethnicity],"",0)</f>
        <v>White</v>
      </c>
    </row>
    <row r="254" spans="1:14" ht="14.45">
      <c r="A254" s="1">
        <v>821314019</v>
      </c>
      <c r="B254" s="1">
        <v>7</v>
      </c>
      <c r="C254" s="2">
        <v>1</v>
      </c>
      <c r="D254" s="1" t="s">
        <v>24</v>
      </c>
      <c r="E254" s="2">
        <v>11</v>
      </c>
      <c r="F254" s="1" t="s">
        <v>36</v>
      </c>
      <c r="G254" s="2">
        <v>3</v>
      </c>
      <c r="H254" s="1" t="s">
        <v>29</v>
      </c>
      <c r="I254" s="1">
        <f>SUMIFS(ES_3[LENGTH_EX_SU],ES_3[STN],ES_3[[#This Row],[STN]],ES_3[DISCIPLINE_TYPE],"Out-of-School Suspension")+SUMIFS(ES_3[LENGTH_EX_SU],ES_3[STN],ES_3[[#This Row],[STN]],ES_3[DISCIPLINE_TYPE],"Expulsion")</f>
        <v>0</v>
      </c>
      <c r="J254" s="1">
        <f>IF(ES_3[[#This Row],[Count Exp/Sus]]&gt;10,1,0)</f>
        <v>0</v>
      </c>
      <c r="K254" s="1">
        <f t="shared" si="3"/>
        <v>0</v>
      </c>
      <c r="L254" s="1">
        <f>IF(J254=1,IF(COUNTIFS($A$3:A254,A254,$J$3:J254,1)=1,A254&amp;"-included",0),0)</f>
        <v>0</v>
      </c>
      <c r="M254" s="1" cm="1">
        <f t="array" ref="M254">IF(ES_3[[#This Row],[Included Exp/Sus]]=1,IF(SUMPRODUCT((ES_3[STN]=ES_3[[#This Row],[STN]])*(ES_3[Included Exp/Sus]=1)*(ROW(ES_3[STN])&lt;=ROW()))=1,1,0),0)</f>
        <v>0</v>
      </c>
      <c r="N254" s="1" t="str">
        <f>_xlfn.XLOOKUP(ES_3[[#This Row],[STN]],SE_3[STN],SE_3[Ethnicity],"",0)</f>
        <v>White</v>
      </c>
    </row>
    <row r="255" spans="1:14" ht="14.45">
      <c r="A255" s="1">
        <v>821314029</v>
      </c>
      <c r="B255" s="1">
        <v>7</v>
      </c>
      <c r="C255" s="2">
        <v>1</v>
      </c>
      <c r="D255" s="1" t="s">
        <v>24</v>
      </c>
      <c r="E255" s="2">
        <v>31</v>
      </c>
      <c r="F255" s="1" t="s">
        <v>40</v>
      </c>
      <c r="G255" s="2">
        <v>5</v>
      </c>
      <c r="H255" s="1" t="s">
        <v>29</v>
      </c>
      <c r="I255" s="1">
        <f>SUMIFS(ES_3[LENGTH_EX_SU],ES_3[STN],ES_3[[#This Row],[STN]],ES_3[DISCIPLINE_TYPE],"Out-of-School Suspension")+SUMIFS(ES_3[LENGTH_EX_SU],ES_3[STN],ES_3[[#This Row],[STN]],ES_3[DISCIPLINE_TYPE],"Expulsion")</f>
        <v>0</v>
      </c>
      <c r="J255" s="1">
        <f>IF(ES_3[[#This Row],[Count Exp/Sus]]&gt;10,1,0)</f>
        <v>0</v>
      </c>
      <c r="K255" s="1">
        <f t="shared" si="3"/>
        <v>0</v>
      </c>
      <c r="L255" s="1">
        <f>IF(J255=1,IF(COUNTIFS($A$3:A255,A255,$J$3:J255,1)=1,A255&amp;"-included",0),0)</f>
        <v>0</v>
      </c>
      <c r="M255" s="1" cm="1">
        <f t="array" ref="M255">IF(ES_3[[#This Row],[Included Exp/Sus]]=1,IF(SUMPRODUCT((ES_3[STN]=ES_3[[#This Row],[STN]])*(ES_3[Included Exp/Sus]=1)*(ROW(ES_3[STN])&lt;=ROW()))=1,1,0),0)</f>
        <v>0</v>
      </c>
      <c r="N255" s="1" t="str">
        <f>_xlfn.XLOOKUP(ES_3[[#This Row],[STN]],SE_3[STN],SE_3[Ethnicity],"",0)</f>
        <v>White</v>
      </c>
    </row>
    <row r="256" spans="1:14" ht="14.45">
      <c r="A256" s="1">
        <v>821315009</v>
      </c>
      <c r="B256" s="1">
        <v>6</v>
      </c>
      <c r="C256" s="2">
        <v>1</v>
      </c>
      <c r="D256" s="1" t="s">
        <v>24</v>
      </c>
      <c r="E256" s="2">
        <v>15</v>
      </c>
      <c r="F256" s="1" t="s">
        <v>27</v>
      </c>
      <c r="G256" s="2">
        <v>1</v>
      </c>
      <c r="H256" s="1" t="s">
        <v>29</v>
      </c>
      <c r="I256" s="1">
        <f>SUMIFS(ES_3[LENGTH_EX_SU],ES_3[STN],ES_3[[#This Row],[STN]],ES_3[DISCIPLINE_TYPE],"Out-of-School Suspension")+SUMIFS(ES_3[LENGTH_EX_SU],ES_3[STN],ES_3[[#This Row],[STN]],ES_3[DISCIPLINE_TYPE],"Expulsion")</f>
        <v>0</v>
      </c>
      <c r="J256" s="1">
        <f>IF(ES_3[[#This Row],[Count Exp/Sus]]&gt;10,1,0)</f>
        <v>0</v>
      </c>
      <c r="K256" s="1">
        <f t="shared" si="3"/>
        <v>0</v>
      </c>
      <c r="L256" s="1">
        <f>IF(J256=1,IF(COUNTIFS($A$3:A256,A256,$J$3:J256,1)=1,A256&amp;"-included",0),0)</f>
        <v>0</v>
      </c>
      <c r="M256" s="1" cm="1">
        <f t="array" ref="M256">IF(ES_3[[#This Row],[Included Exp/Sus]]=1,IF(SUMPRODUCT((ES_3[STN]=ES_3[[#This Row],[STN]])*(ES_3[Included Exp/Sus]=1)*(ROW(ES_3[STN])&lt;=ROW()))=1,1,0),0)</f>
        <v>0</v>
      </c>
      <c r="N256" s="1" t="str">
        <f>_xlfn.XLOOKUP(ES_3[[#This Row],[STN]],SE_3[STN],SE_3[Ethnicity],"",0)</f>
        <v>Black - African American</v>
      </c>
    </row>
    <row r="257" spans="1:14" ht="14.45">
      <c r="A257" s="1">
        <v>821317060</v>
      </c>
      <c r="B257" s="1">
        <v>8</v>
      </c>
      <c r="C257" s="2">
        <v>2</v>
      </c>
      <c r="D257" s="1" t="s">
        <v>31</v>
      </c>
      <c r="E257" s="2">
        <v>11</v>
      </c>
      <c r="F257" s="1" t="s">
        <v>36</v>
      </c>
      <c r="G257" s="2">
        <v>3</v>
      </c>
      <c r="H257" s="1" t="s">
        <v>29</v>
      </c>
      <c r="I257" s="1">
        <f>SUMIFS(ES_3[LENGTH_EX_SU],ES_3[STN],ES_3[[#This Row],[STN]],ES_3[DISCIPLINE_TYPE],"Out-of-School Suspension")+SUMIFS(ES_3[LENGTH_EX_SU],ES_3[STN],ES_3[[#This Row],[STN]],ES_3[DISCIPLINE_TYPE],"Expulsion")</f>
        <v>3</v>
      </c>
      <c r="J257" s="1">
        <f>IF(ES_3[[#This Row],[Count Exp/Sus]]&gt;10,1,0)</f>
        <v>0</v>
      </c>
      <c r="K257" s="1">
        <f t="shared" si="3"/>
        <v>0</v>
      </c>
      <c r="L257" s="1">
        <f>IF(J257=1,IF(COUNTIFS($A$3:A257,A257,$J$3:J257,1)=1,A257&amp;"-included",0),0)</f>
        <v>0</v>
      </c>
      <c r="M257" s="1" cm="1">
        <f t="array" ref="M257">IF(ES_3[[#This Row],[Included Exp/Sus]]=1,IF(SUMPRODUCT((ES_3[STN]=ES_3[[#This Row],[STN]])*(ES_3[Included Exp/Sus]=1)*(ROW(ES_3[STN])&lt;=ROW()))=1,1,0),0)</f>
        <v>0</v>
      </c>
      <c r="N257" s="1" t="str">
        <f>_xlfn.XLOOKUP(ES_3[[#This Row],[STN]],SE_3[STN],SE_3[Ethnicity],"",0)</f>
        <v>White</v>
      </c>
    </row>
    <row r="258" spans="1:14" ht="14.45">
      <c r="A258" s="1">
        <v>822514028</v>
      </c>
      <c r="B258" s="1">
        <v>6</v>
      </c>
      <c r="C258" s="2">
        <v>2</v>
      </c>
      <c r="D258" s="1" t="s">
        <v>31</v>
      </c>
      <c r="E258" s="2">
        <v>15</v>
      </c>
      <c r="F258" s="1" t="s">
        <v>27</v>
      </c>
      <c r="G258" s="2">
        <v>1</v>
      </c>
      <c r="H258" s="1" t="s">
        <v>29</v>
      </c>
      <c r="I258" s="1">
        <f>SUMIFS(ES_3[LENGTH_EX_SU],ES_3[STN],ES_3[[#This Row],[STN]],ES_3[DISCIPLINE_TYPE],"Out-of-School Suspension")+SUMIFS(ES_3[LENGTH_EX_SU],ES_3[STN],ES_3[[#This Row],[STN]],ES_3[DISCIPLINE_TYPE],"Expulsion")</f>
        <v>1</v>
      </c>
      <c r="J258" s="1">
        <f>IF(ES_3[[#This Row],[Count Exp/Sus]]&gt;10,1,0)</f>
        <v>0</v>
      </c>
      <c r="K258" s="1">
        <f t="shared" si="3"/>
        <v>0</v>
      </c>
      <c r="L258" s="1">
        <f>IF(J258=1,IF(COUNTIFS($A$3:A258,A258,$J$3:J258,1)=1,A258&amp;"-included",0),0)</f>
        <v>0</v>
      </c>
      <c r="M258" s="1" cm="1">
        <f t="array" ref="M258">IF(ES_3[[#This Row],[Included Exp/Sus]]=1,IF(SUMPRODUCT((ES_3[STN]=ES_3[[#This Row],[STN]])*(ES_3[Included Exp/Sus]=1)*(ROW(ES_3[STN])&lt;=ROW()))=1,1,0),0)</f>
        <v>0</v>
      </c>
      <c r="N258" s="1" t="str">
        <f>_xlfn.XLOOKUP(ES_3[[#This Row],[STN]],SE_3[STN],SE_3[Ethnicity],"",0)</f>
        <v>White</v>
      </c>
    </row>
    <row r="259" spans="1:14" ht="14.45">
      <c r="A259" s="1">
        <v>822515042</v>
      </c>
      <c r="B259" s="1">
        <v>5</v>
      </c>
      <c r="C259" s="2">
        <v>2</v>
      </c>
      <c r="D259" s="1" t="s">
        <v>31</v>
      </c>
      <c r="E259" s="2">
        <v>14</v>
      </c>
      <c r="F259" s="1" t="s">
        <v>32</v>
      </c>
      <c r="G259" s="2">
        <v>1</v>
      </c>
      <c r="H259" s="1" t="s">
        <v>29</v>
      </c>
      <c r="I259" s="1">
        <f>SUMIFS(ES_3[LENGTH_EX_SU],ES_3[STN],ES_3[[#This Row],[STN]],ES_3[DISCIPLINE_TYPE],"Out-of-School Suspension")+SUMIFS(ES_3[LENGTH_EX_SU],ES_3[STN],ES_3[[#This Row],[STN]],ES_3[DISCIPLINE_TYPE],"Expulsion")</f>
        <v>1</v>
      </c>
      <c r="J259" s="1">
        <f>IF(ES_3[[#This Row],[Count Exp/Sus]]&gt;10,1,0)</f>
        <v>0</v>
      </c>
      <c r="K259" s="1">
        <f t="shared" ref="K259:K298" si="4">IF(J259=1,A259&amp;"-included",0)</f>
        <v>0</v>
      </c>
      <c r="L259" s="1">
        <f>IF(J259=1,IF(COUNTIFS($A$3:A259,A259,$J$3:J259,1)=1,A259&amp;"-included",0),0)</f>
        <v>0</v>
      </c>
      <c r="M259" s="1" cm="1">
        <f t="array" ref="M259">IF(ES_3[[#This Row],[Included Exp/Sus]]=1,IF(SUMPRODUCT((ES_3[STN]=ES_3[[#This Row],[STN]])*(ES_3[Included Exp/Sus]=1)*(ROW(ES_3[STN])&lt;=ROW()))=1,1,0),0)</f>
        <v>0</v>
      </c>
      <c r="N259" s="1" t="str">
        <f>_xlfn.XLOOKUP(ES_3[[#This Row],[STN]],SE_3[STN],SE_3[Ethnicity],"",0)</f>
        <v>Black - African American</v>
      </c>
    </row>
    <row r="260" spans="1:14" ht="14.45">
      <c r="A260" s="1">
        <v>822517028</v>
      </c>
      <c r="B260" s="1">
        <v>3</v>
      </c>
      <c r="C260" s="2">
        <v>4</v>
      </c>
      <c r="D260" s="1" t="s">
        <v>49</v>
      </c>
      <c r="E260" s="2">
        <v>34</v>
      </c>
      <c r="F260" s="1" t="s">
        <v>50</v>
      </c>
      <c r="G260" s="2">
        <v>0</v>
      </c>
      <c r="H260" s="1" t="s">
        <v>29</v>
      </c>
      <c r="I260" s="1">
        <f>SUMIFS(ES_3[LENGTH_EX_SU],ES_3[STN],ES_3[[#This Row],[STN]],ES_3[DISCIPLINE_TYPE],"Out-of-School Suspension")+SUMIFS(ES_3[LENGTH_EX_SU],ES_3[STN],ES_3[[#This Row],[STN]],ES_3[DISCIPLINE_TYPE],"Expulsion")</f>
        <v>0</v>
      </c>
      <c r="J260" s="1">
        <f>IF(ES_3[[#This Row],[Count Exp/Sus]]&gt;10,1,0)</f>
        <v>0</v>
      </c>
      <c r="K260" s="1">
        <f t="shared" si="4"/>
        <v>0</v>
      </c>
      <c r="L260" s="1">
        <f>IF(J260=1,IF(COUNTIFS($A$3:A260,A260,$J$3:J260,1)=1,A260&amp;"-included",0),0)</f>
        <v>0</v>
      </c>
      <c r="M260" s="1" cm="1">
        <f t="array" ref="M260">IF(ES_3[[#This Row],[Included Exp/Sus]]=1,IF(SUMPRODUCT((ES_3[STN]=ES_3[[#This Row],[STN]])*(ES_3[Included Exp/Sus]=1)*(ROW(ES_3[STN])&lt;=ROW()))=1,1,0),0)</f>
        <v>0</v>
      </c>
      <c r="N260" s="1" t="str">
        <f>_xlfn.XLOOKUP(ES_3[[#This Row],[STN]],SE_3[STN],SE_3[Ethnicity],"",0)</f>
        <v>White</v>
      </c>
    </row>
    <row r="261" spans="1:14" ht="14.45">
      <c r="A261" s="1">
        <v>822518006</v>
      </c>
      <c r="B261" s="1">
        <v>3</v>
      </c>
      <c r="C261" s="2">
        <v>2</v>
      </c>
      <c r="D261" s="1" t="s">
        <v>31</v>
      </c>
      <c r="E261" s="2">
        <v>15</v>
      </c>
      <c r="F261" s="1" t="s">
        <v>27</v>
      </c>
      <c r="G261" s="2">
        <v>1</v>
      </c>
      <c r="H261" s="1" t="s">
        <v>29</v>
      </c>
      <c r="I261" s="1">
        <f>SUMIFS(ES_3[LENGTH_EX_SU],ES_3[STN],ES_3[[#This Row],[STN]],ES_3[DISCIPLINE_TYPE],"Out-of-School Suspension")+SUMIFS(ES_3[LENGTH_EX_SU],ES_3[STN],ES_3[[#This Row],[STN]],ES_3[DISCIPLINE_TYPE],"Expulsion")</f>
        <v>1</v>
      </c>
      <c r="J261" s="1">
        <f>IF(ES_3[[#This Row],[Count Exp/Sus]]&gt;10,1,0)</f>
        <v>0</v>
      </c>
      <c r="K261" s="1">
        <f t="shared" si="4"/>
        <v>0</v>
      </c>
      <c r="L261" s="1">
        <f>IF(J261=1,IF(COUNTIFS($A$3:A261,A261,$J$3:J261,1)=1,A261&amp;"-included",0),0)</f>
        <v>0</v>
      </c>
      <c r="M261" s="1" cm="1">
        <f t="array" ref="M261">IF(ES_3[[#This Row],[Included Exp/Sus]]=1,IF(SUMPRODUCT((ES_3[STN]=ES_3[[#This Row],[STN]])*(ES_3[Included Exp/Sus]=1)*(ROW(ES_3[STN])&lt;=ROW()))=1,1,0),0)</f>
        <v>0</v>
      </c>
      <c r="N261" s="1" t="str">
        <f>_xlfn.XLOOKUP(ES_3[[#This Row],[STN]],SE_3[STN],SE_3[Ethnicity],"",0)</f>
        <v>Hispanic Ethnicity and of any race</v>
      </c>
    </row>
    <row r="262" spans="1:14" ht="14.45">
      <c r="A262" s="1">
        <v>822911094</v>
      </c>
      <c r="B262" s="1">
        <v>8</v>
      </c>
      <c r="C262" s="2">
        <v>2</v>
      </c>
      <c r="D262" s="1" t="s">
        <v>31</v>
      </c>
      <c r="E262" s="2">
        <v>18</v>
      </c>
      <c r="F262" s="1" t="s">
        <v>38</v>
      </c>
      <c r="G262" s="2">
        <v>2</v>
      </c>
      <c r="H262" s="1" t="s">
        <v>26</v>
      </c>
      <c r="I262" s="1">
        <f>SUMIFS(ES_3[LENGTH_EX_SU],ES_3[STN],ES_3[[#This Row],[STN]],ES_3[DISCIPLINE_TYPE],"Out-of-School Suspension")+SUMIFS(ES_3[LENGTH_EX_SU],ES_3[STN],ES_3[[#This Row],[STN]],ES_3[DISCIPLINE_TYPE],"Expulsion")</f>
        <v>2</v>
      </c>
      <c r="J262" s="1">
        <f>IF(ES_3[[#This Row],[Count Exp/Sus]]&gt;10,1,0)</f>
        <v>0</v>
      </c>
      <c r="K262" s="1">
        <f t="shared" si="4"/>
        <v>0</v>
      </c>
      <c r="L262" s="1">
        <f>IF(J262=1,IF(COUNTIFS($A$3:A262,A262,$J$3:J262,1)=1,A262&amp;"-included",0),0)</f>
        <v>0</v>
      </c>
      <c r="M262" s="1" cm="1">
        <f t="array" ref="M262">IF(ES_3[[#This Row],[Included Exp/Sus]]=1,IF(SUMPRODUCT((ES_3[STN]=ES_3[[#This Row],[STN]])*(ES_3[Included Exp/Sus]=1)*(ROW(ES_3[STN])&lt;=ROW()))=1,1,0),0)</f>
        <v>0</v>
      </c>
      <c r="N262" s="1" t="str">
        <f>_xlfn.XLOOKUP(ES_3[[#This Row],[STN]],SE_3[STN],SE_3[Ethnicity],"",0)</f>
        <v>Black - African American</v>
      </c>
    </row>
    <row r="263" spans="1:14" ht="14.45">
      <c r="A263" s="1">
        <v>823114064</v>
      </c>
      <c r="B263" s="1">
        <v>6</v>
      </c>
      <c r="C263" s="2">
        <v>2</v>
      </c>
      <c r="D263" s="1" t="s">
        <v>31</v>
      </c>
      <c r="E263" s="2">
        <v>13</v>
      </c>
      <c r="F263" s="1" t="s">
        <v>34</v>
      </c>
      <c r="G263" s="2">
        <v>2</v>
      </c>
      <c r="H263" s="1" t="s">
        <v>29</v>
      </c>
      <c r="I263" s="1">
        <f>SUMIFS(ES_3[LENGTH_EX_SU],ES_3[STN],ES_3[[#This Row],[STN]],ES_3[DISCIPLINE_TYPE],"Out-of-School Suspension")+SUMIFS(ES_3[LENGTH_EX_SU],ES_3[STN],ES_3[[#This Row],[STN]],ES_3[DISCIPLINE_TYPE],"Expulsion")</f>
        <v>2</v>
      </c>
      <c r="J263" s="1">
        <f>IF(ES_3[[#This Row],[Count Exp/Sus]]&gt;10,1,0)</f>
        <v>0</v>
      </c>
      <c r="K263" s="1">
        <f t="shared" si="4"/>
        <v>0</v>
      </c>
      <c r="L263" s="1">
        <f>IF(J263=1,IF(COUNTIFS($A$3:A263,A263,$J$3:J263,1)=1,A263&amp;"-included",0),0)</f>
        <v>0</v>
      </c>
      <c r="M263" s="1" cm="1">
        <f t="array" ref="M263">IF(ES_3[[#This Row],[Included Exp/Sus]]=1,IF(SUMPRODUCT((ES_3[STN]=ES_3[[#This Row],[STN]])*(ES_3[Included Exp/Sus]=1)*(ROW(ES_3[STN])&lt;=ROW()))=1,1,0),0)</f>
        <v>0</v>
      </c>
      <c r="N263" s="1" t="str">
        <f>_xlfn.XLOOKUP(ES_3[[#This Row],[STN]],SE_3[STN],SE_3[Ethnicity],"",0)</f>
        <v>White</v>
      </c>
    </row>
    <row r="264" spans="1:14" ht="14.45">
      <c r="A264" s="1">
        <v>823721021</v>
      </c>
      <c r="B264" s="1">
        <v>11</v>
      </c>
      <c r="C264" s="2">
        <v>2</v>
      </c>
      <c r="D264" s="1" t="s">
        <v>31</v>
      </c>
      <c r="E264" s="2">
        <v>15</v>
      </c>
      <c r="F264" s="1" t="s">
        <v>27</v>
      </c>
      <c r="G264" s="2">
        <v>2</v>
      </c>
      <c r="H264" s="1" t="s">
        <v>29</v>
      </c>
      <c r="I264" s="1">
        <f>SUMIFS(ES_3[LENGTH_EX_SU],ES_3[STN],ES_3[[#This Row],[STN]],ES_3[DISCIPLINE_TYPE],"Out-of-School Suspension")+SUMIFS(ES_3[LENGTH_EX_SU],ES_3[STN],ES_3[[#This Row],[STN]],ES_3[DISCIPLINE_TYPE],"Expulsion")</f>
        <v>2</v>
      </c>
      <c r="J264" s="1">
        <f>IF(ES_3[[#This Row],[Count Exp/Sus]]&gt;10,1,0)</f>
        <v>0</v>
      </c>
      <c r="K264" s="1">
        <f t="shared" si="4"/>
        <v>0</v>
      </c>
      <c r="L264" s="1">
        <f>IF(J264=1,IF(COUNTIFS($A$3:A264,A264,$J$3:J264,1)=1,A264&amp;"-included",0),0)</f>
        <v>0</v>
      </c>
      <c r="M264" s="1" cm="1">
        <f t="array" ref="M264">IF(ES_3[[#This Row],[Included Exp/Sus]]=1,IF(SUMPRODUCT((ES_3[STN]=ES_3[[#This Row],[STN]])*(ES_3[Included Exp/Sus]=1)*(ROW(ES_3[STN])&lt;=ROW()))=1,1,0),0)</f>
        <v>0</v>
      </c>
      <c r="N264" s="1" t="str">
        <f>_xlfn.XLOOKUP(ES_3[[#This Row],[STN]],SE_3[STN],SE_3[Ethnicity],"",0)</f>
        <v>Black - African American</v>
      </c>
    </row>
    <row r="265" spans="1:14" ht="14.45">
      <c r="A265" s="1">
        <v>825108010</v>
      </c>
      <c r="B265" s="1">
        <v>10</v>
      </c>
      <c r="C265" s="2">
        <v>2</v>
      </c>
      <c r="D265" s="1" t="s">
        <v>31</v>
      </c>
      <c r="E265" s="2">
        <v>11</v>
      </c>
      <c r="F265" s="1" t="s">
        <v>36</v>
      </c>
      <c r="G265" s="2">
        <v>10</v>
      </c>
      <c r="H265" s="1" t="s">
        <v>29</v>
      </c>
      <c r="I265" s="1">
        <f>SUMIFS(ES_3[LENGTH_EX_SU],ES_3[STN],ES_3[[#This Row],[STN]],ES_3[DISCIPLINE_TYPE],"Out-of-School Suspension")+SUMIFS(ES_3[LENGTH_EX_SU],ES_3[STN],ES_3[[#This Row],[STN]],ES_3[DISCIPLINE_TYPE],"Expulsion")</f>
        <v>10</v>
      </c>
      <c r="J265" s="1">
        <f>IF(ES_3[[#This Row],[Count Exp/Sus]]&gt;10,1,0)</f>
        <v>0</v>
      </c>
      <c r="K265" s="1">
        <f t="shared" si="4"/>
        <v>0</v>
      </c>
      <c r="L265" s="1">
        <f>IF(J265=1,IF(COUNTIFS($A$3:A265,A265,$J$3:J265,1)=1,A265&amp;"-included",0),0)</f>
        <v>0</v>
      </c>
      <c r="M265" s="1" cm="1">
        <f t="array" ref="M265">IF(ES_3[[#This Row],[Included Exp/Sus]]=1,IF(SUMPRODUCT((ES_3[STN]=ES_3[[#This Row],[STN]])*(ES_3[Included Exp/Sus]=1)*(ROW(ES_3[STN])&lt;=ROW()))=1,1,0),0)</f>
        <v>0</v>
      </c>
      <c r="N265" s="1" t="str">
        <f>_xlfn.XLOOKUP(ES_3[[#This Row],[STN]],SE_3[STN],SE_3[Ethnicity],"",0)</f>
        <v>White</v>
      </c>
    </row>
    <row r="266" spans="1:14" ht="14.45">
      <c r="A266" s="1">
        <v>825108051</v>
      </c>
      <c r="B266" s="1">
        <v>11</v>
      </c>
      <c r="C266" s="2">
        <v>2</v>
      </c>
      <c r="D266" s="1" t="s">
        <v>31</v>
      </c>
      <c r="E266" s="2">
        <v>14</v>
      </c>
      <c r="F266" s="1" t="s">
        <v>32</v>
      </c>
      <c r="G266" s="2">
        <v>2</v>
      </c>
      <c r="H266" s="1" t="s">
        <v>29</v>
      </c>
      <c r="I266" s="1">
        <f>SUMIFS(ES_3[LENGTH_EX_SU],ES_3[STN],ES_3[[#This Row],[STN]],ES_3[DISCIPLINE_TYPE],"Out-of-School Suspension")+SUMIFS(ES_3[LENGTH_EX_SU],ES_3[STN],ES_3[[#This Row],[STN]],ES_3[DISCIPLINE_TYPE],"Expulsion")</f>
        <v>3</v>
      </c>
      <c r="J266" s="1">
        <f>IF(ES_3[[#This Row],[Count Exp/Sus]]&gt;10,1,0)</f>
        <v>0</v>
      </c>
      <c r="K266" s="1">
        <f t="shared" si="4"/>
        <v>0</v>
      </c>
      <c r="L266" s="1">
        <f>IF(J266=1,IF(COUNTIFS($A$3:A266,A266,$J$3:J266,1)=1,A266&amp;"-included",0),0)</f>
        <v>0</v>
      </c>
      <c r="M266" s="1" cm="1">
        <f t="array" ref="M266">IF(ES_3[[#This Row],[Included Exp/Sus]]=1,IF(SUMPRODUCT((ES_3[STN]=ES_3[[#This Row],[STN]])*(ES_3[Included Exp/Sus]=1)*(ROW(ES_3[STN])&lt;=ROW()))=1,1,0),0)</f>
        <v>0</v>
      </c>
      <c r="N266" s="1" t="str">
        <f>_xlfn.XLOOKUP(ES_3[[#This Row],[STN]],SE_3[STN],SE_3[Ethnicity],"",0)</f>
        <v>White</v>
      </c>
    </row>
    <row r="267" spans="1:14" ht="14.45">
      <c r="A267" s="1">
        <v>825108051</v>
      </c>
      <c r="B267" s="1">
        <v>11</v>
      </c>
      <c r="C267" s="2">
        <v>2</v>
      </c>
      <c r="D267" s="1" t="s">
        <v>31</v>
      </c>
      <c r="E267" s="2">
        <v>15</v>
      </c>
      <c r="F267" s="1" t="s">
        <v>27</v>
      </c>
      <c r="G267" s="2">
        <v>1</v>
      </c>
      <c r="H267" s="1" t="s">
        <v>29</v>
      </c>
      <c r="I267" s="1">
        <f>SUMIFS(ES_3[LENGTH_EX_SU],ES_3[STN],ES_3[[#This Row],[STN]],ES_3[DISCIPLINE_TYPE],"Out-of-School Suspension")+SUMIFS(ES_3[LENGTH_EX_SU],ES_3[STN],ES_3[[#This Row],[STN]],ES_3[DISCIPLINE_TYPE],"Expulsion")</f>
        <v>3</v>
      </c>
      <c r="J267" s="1">
        <f>IF(ES_3[[#This Row],[Count Exp/Sus]]&gt;10,1,0)</f>
        <v>0</v>
      </c>
      <c r="K267" s="1">
        <f t="shared" si="4"/>
        <v>0</v>
      </c>
      <c r="L267" s="1">
        <f>IF(J267=1,IF(COUNTIFS($A$3:A267,A267,$J$3:J267,1)=1,A267&amp;"-included",0),0)</f>
        <v>0</v>
      </c>
      <c r="M267" s="1" cm="1">
        <f t="array" ref="M267">IF(ES_3[[#This Row],[Included Exp/Sus]]=1,IF(SUMPRODUCT((ES_3[STN]=ES_3[[#This Row],[STN]])*(ES_3[Included Exp/Sus]=1)*(ROW(ES_3[STN])&lt;=ROW()))=1,1,0),0)</f>
        <v>0</v>
      </c>
      <c r="N267" s="1" t="str">
        <f>_xlfn.XLOOKUP(ES_3[[#This Row],[STN]],SE_3[STN],SE_3[Ethnicity],"",0)</f>
        <v>White</v>
      </c>
    </row>
    <row r="268" spans="1:14" ht="14.45">
      <c r="A268" s="1">
        <v>825110043</v>
      </c>
      <c r="B268" s="1">
        <v>9</v>
      </c>
      <c r="C268" s="2">
        <v>2</v>
      </c>
      <c r="D268" s="1" t="s">
        <v>31</v>
      </c>
      <c r="E268" s="2">
        <v>16</v>
      </c>
      <c r="F268" s="1" t="s">
        <v>28</v>
      </c>
      <c r="G268" s="2">
        <v>1</v>
      </c>
      <c r="H268" s="1" t="s">
        <v>29</v>
      </c>
      <c r="I268" s="1">
        <f>SUMIFS(ES_3[LENGTH_EX_SU],ES_3[STN],ES_3[[#This Row],[STN]],ES_3[DISCIPLINE_TYPE],"Out-of-School Suspension")+SUMIFS(ES_3[LENGTH_EX_SU],ES_3[STN],ES_3[[#This Row],[STN]],ES_3[DISCIPLINE_TYPE],"Expulsion")</f>
        <v>5</v>
      </c>
      <c r="J268" s="1">
        <f>IF(ES_3[[#This Row],[Count Exp/Sus]]&gt;10,1,0)</f>
        <v>0</v>
      </c>
      <c r="K268" s="1">
        <f t="shared" si="4"/>
        <v>0</v>
      </c>
      <c r="L268" s="1">
        <f>IF(J268=1,IF(COUNTIFS($A$3:A268,A268,$J$3:J268,1)=1,A268&amp;"-included",0),0)</f>
        <v>0</v>
      </c>
      <c r="M268" s="1" cm="1">
        <f t="array" ref="M268">IF(ES_3[[#This Row],[Included Exp/Sus]]=1,IF(SUMPRODUCT((ES_3[STN]=ES_3[[#This Row],[STN]])*(ES_3[Included Exp/Sus]=1)*(ROW(ES_3[STN])&lt;=ROW()))=1,1,0),0)</f>
        <v>0</v>
      </c>
      <c r="N268" s="1" t="str">
        <f>_xlfn.XLOOKUP(ES_3[[#This Row],[STN]],SE_3[STN],SE_3[Ethnicity],"",0)</f>
        <v>White</v>
      </c>
    </row>
    <row r="269" spans="1:14" ht="14.45">
      <c r="A269" s="1">
        <v>825110043</v>
      </c>
      <c r="B269" s="1">
        <v>9</v>
      </c>
      <c r="C269" s="2">
        <v>2</v>
      </c>
      <c r="D269" s="1" t="s">
        <v>31</v>
      </c>
      <c r="E269" s="2">
        <v>2</v>
      </c>
      <c r="F269" s="1" t="s">
        <v>33</v>
      </c>
      <c r="G269" s="2">
        <v>2</v>
      </c>
      <c r="H269" s="1" t="s">
        <v>29</v>
      </c>
      <c r="I269" s="1">
        <f>SUMIFS(ES_3[LENGTH_EX_SU],ES_3[STN],ES_3[[#This Row],[STN]],ES_3[DISCIPLINE_TYPE],"Out-of-School Suspension")+SUMIFS(ES_3[LENGTH_EX_SU],ES_3[STN],ES_3[[#This Row],[STN]],ES_3[DISCIPLINE_TYPE],"Expulsion")</f>
        <v>5</v>
      </c>
      <c r="J269" s="1">
        <f>IF(ES_3[[#This Row],[Count Exp/Sus]]&gt;10,1,0)</f>
        <v>0</v>
      </c>
      <c r="K269" s="1">
        <f t="shared" si="4"/>
        <v>0</v>
      </c>
      <c r="L269" s="1">
        <f>IF(J269=1,IF(COUNTIFS($A$3:A269,A269,$J$3:J269,1)=1,A269&amp;"-included",0),0)</f>
        <v>0</v>
      </c>
      <c r="M269" s="1" cm="1">
        <f t="array" ref="M269">IF(ES_3[[#This Row],[Included Exp/Sus]]=1,IF(SUMPRODUCT((ES_3[STN]=ES_3[[#This Row],[STN]])*(ES_3[Included Exp/Sus]=1)*(ROW(ES_3[STN])&lt;=ROW()))=1,1,0),0)</f>
        <v>0</v>
      </c>
      <c r="N269" s="1" t="str">
        <f>_xlfn.XLOOKUP(ES_3[[#This Row],[STN]],SE_3[STN],SE_3[Ethnicity],"",0)</f>
        <v>White</v>
      </c>
    </row>
    <row r="270" spans="1:14" ht="14.45">
      <c r="A270" s="1">
        <v>825110043</v>
      </c>
      <c r="B270" s="1">
        <v>9</v>
      </c>
      <c r="C270" s="2">
        <v>2</v>
      </c>
      <c r="D270" s="1" t="s">
        <v>31</v>
      </c>
      <c r="E270" s="2">
        <v>10</v>
      </c>
      <c r="F270" s="1" t="s">
        <v>25</v>
      </c>
      <c r="G270" s="2">
        <v>2</v>
      </c>
      <c r="H270" s="1" t="s">
        <v>29</v>
      </c>
      <c r="I270" s="1">
        <f>SUMIFS(ES_3[LENGTH_EX_SU],ES_3[STN],ES_3[[#This Row],[STN]],ES_3[DISCIPLINE_TYPE],"Out-of-School Suspension")+SUMIFS(ES_3[LENGTH_EX_SU],ES_3[STN],ES_3[[#This Row],[STN]],ES_3[DISCIPLINE_TYPE],"Expulsion")</f>
        <v>5</v>
      </c>
      <c r="J270" s="1">
        <f>IF(ES_3[[#This Row],[Count Exp/Sus]]&gt;10,1,0)</f>
        <v>0</v>
      </c>
      <c r="K270" s="1">
        <f t="shared" si="4"/>
        <v>0</v>
      </c>
      <c r="L270" s="1">
        <f>IF(J270=1,IF(COUNTIFS($A$3:A270,A270,$J$3:J270,1)=1,A270&amp;"-included",0),0)</f>
        <v>0</v>
      </c>
      <c r="M270" s="1" cm="1">
        <f t="array" ref="M270">IF(ES_3[[#This Row],[Included Exp/Sus]]=1,IF(SUMPRODUCT((ES_3[STN]=ES_3[[#This Row],[STN]])*(ES_3[Included Exp/Sus]=1)*(ROW(ES_3[STN])&lt;=ROW()))=1,1,0),0)</f>
        <v>0</v>
      </c>
      <c r="N270" s="1" t="str">
        <f>_xlfn.XLOOKUP(ES_3[[#This Row],[STN]],SE_3[STN],SE_3[Ethnicity],"",0)</f>
        <v>White</v>
      </c>
    </row>
    <row r="271" spans="1:14" ht="14.45">
      <c r="A271" s="1">
        <v>825111019</v>
      </c>
      <c r="B271" s="1">
        <v>9</v>
      </c>
      <c r="C271" s="2">
        <v>2</v>
      </c>
      <c r="D271" s="1" t="s">
        <v>31</v>
      </c>
      <c r="E271" s="2">
        <v>15</v>
      </c>
      <c r="F271" s="1" t="s">
        <v>27</v>
      </c>
      <c r="G271" s="2">
        <v>1</v>
      </c>
      <c r="H271" s="1" t="s">
        <v>29</v>
      </c>
      <c r="I271" s="1">
        <f>SUMIFS(ES_3[LENGTH_EX_SU],ES_3[STN],ES_3[[#This Row],[STN]],ES_3[DISCIPLINE_TYPE],"Out-of-School Suspension")+SUMIFS(ES_3[LENGTH_EX_SU],ES_3[STN],ES_3[[#This Row],[STN]],ES_3[DISCIPLINE_TYPE],"Expulsion")</f>
        <v>11</v>
      </c>
      <c r="J271" s="1">
        <f>IF(ES_3[[#This Row],[Count Exp/Sus]]&gt;10,1,0)</f>
        <v>1</v>
      </c>
      <c r="K271" s="1" t="str">
        <f t="shared" si="4"/>
        <v>825111019-included</v>
      </c>
      <c r="L271" s="1" t="str">
        <f>IF(J271=1,IF(COUNTIFS($A$3:A271,A271,$J$3:J271,1)=1,A271&amp;"-included",0),0)</f>
        <v>825111019-included</v>
      </c>
      <c r="M271" s="1" cm="1">
        <f t="array" ref="M271">IF(ES_3[[#This Row],[Included Exp/Sus]]=1,IF(SUMPRODUCT((ES_3[STN]=ES_3[[#This Row],[STN]])*(ES_3[Included Exp/Sus]=1)*(ROW(ES_3[STN])&lt;=ROW()))=1,1,0),0)</f>
        <v>1</v>
      </c>
      <c r="N271" s="1" t="str">
        <f>_xlfn.XLOOKUP(ES_3[[#This Row],[STN]],SE_3[STN],SE_3[Ethnicity],"",0)</f>
        <v>Black - African American</v>
      </c>
    </row>
    <row r="272" spans="1:14" ht="14.45">
      <c r="A272" s="1">
        <v>825111019</v>
      </c>
      <c r="B272" s="1">
        <v>9</v>
      </c>
      <c r="C272" s="2">
        <v>3</v>
      </c>
      <c r="D272" s="1" t="s">
        <v>35</v>
      </c>
      <c r="E272" s="2">
        <v>11</v>
      </c>
      <c r="F272" s="1" t="s">
        <v>36</v>
      </c>
      <c r="G272" s="2">
        <v>10</v>
      </c>
      <c r="H272" s="1" t="s">
        <v>29</v>
      </c>
      <c r="I272" s="1">
        <f>SUMIFS(ES_3[LENGTH_EX_SU],ES_3[STN],ES_3[[#This Row],[STN]],ES_3[DISCIPLINE_TYPE],"Out-of-School Suspension")+SUMIFS(ES_3[LENGTH_EX_SU],ES_3[STN],ES_3[[#This Row],[STN]],ES_3[DISCIPLINE_TYPE],"Expulsion")</f>
        <v>11</v>
      </c>
      <c r="J272" s="1">
        <f>IF(ES_3[[#This Row],[Count Exp/Sus]]&gt;10,1,0)</f>
        <v>1</v>
      </c>
      <c r="K272" s="1" t="str">
        <f t="shared" si="4"/>
        <v>825111019-included</v>
      </c>
      <c r="L272" s="1">
        <f>IF(J272=1,IF(COUNTIFS($A$3:A272,A272,$J$3:J272,1)=1,A272&amp;"-included",0),0)</f>
        <v>0</v>
      </c>
      <c r="M272" s="1" cm="1">
        <f t="array" ref="M272">IF(ES_3[[#This Row],[Included Exp/Sus]]=1,IF(SUMPRODUCT((ES_3[STN]=ES_3[[#This Row],[STN]])*(ES_3[Included Exp/Sus]=1)*(ROW(ES_3[STN])&lt;=ROW()))=1,1,0),0)</f>
        <v>0</v>
      </c>
      <c r="N272" s="1" t="str">
        <f>_xlfn.XLOOKUP(ES_3[[#This Row],[STN]],SE_3[STN],SE_3[Ethnicity],"",0)</f>
        <v>Black - African American</v>
      </c>
    </row>
    <row r="273" spans="1:14" ht="14.45">
      <c r="A273" s="1">
        <v>825115011</v>
      </c>
      <c r="B273" s="1">
        <v>6</v>
      </c>
      <c r="C273" s="2">
        <v>2</v>
      </c>
      <c r="D273" s="1" t="s">
        <v>31</v>
      </c>
      <c r="E273" s="2">
        <v>10</v>
      </c>
      <c r="F273" s="1" t="s">
        <v>25</v>
      </c>
      <c r="G273" s="2">
        <v>1</v>
      </c>
      <c r="H273" s="1" t="s">
        <v>26</v>
      </c>
      <c r="I273" s="1">
        <f>SUMIFS(ES_3[LENGTH_EX_SU],ES_3[STN],ES_3[[#This Row],[STN]],ES_3[DISCIPLINE_TYPE],"Out-of-School Suspension")+SUMIFS(ES_3[LENGTH_EX_SU],ES_3[STN],ES_3[[#This Row],[STN]],ES_3[DISCIPLINE_TYPE],"Expulsion")</f>
        <v>1</v>
      </c>
      <c r="J273" s="1">
        <f>IF(ES_3[[#This Row],[Count Exp/Sus]]&gt;10,1,0)</f>
        <v>0</v>
      </c>
      <c r="K273" s="1">
        <f t="shared" si="4"/>
        <v>0</v>
      </c>
      <c r="L273" s="1">
        <f>IF(J273=1,IF(COUNTIFS($A$3:A273,A273,$J$3:J273,1)=1,A273&amp;"-included",0),0)</f>
        <v>0</v>
      </c>
      <c r="M273" s="1" cm="1">
        <f t="array" ref="M273">IF(ES_3[[#This Row],[Included Exp/Sus]]=1,IF(SUMPRODUCT((ES_3[STN]=ES_3[[#This Row],[STN]])*(ES_3[Included Exp/Sus]=1)*(ROW(ES_3[STN])&lt;=ROW()))=1,1,0),0)</f>
        <v>0</v>
      </c>
      <c r="N273" s="1" t="str">
        <f>_xlfn.XLOOKUP(ES_3[[#This Row],[STN]],SE_3[STN],SE_3[Ethnicity],"",0)</f>
        <v>White</v>
      </c>
    </row>
    <row r="274" spans="1:14" ht="14.45">
      <c r="A274" s="1">
        <v>826110041</v>
      </c>
      <c r="B274" s="1">
        <v>10</v>
      </c>
      <c r="C274" s="2">
        <v>2</v>
      </c>
      <c r="D274" s="1" t="s">
        <v>31</v>
      </c>
      <c r="E274" s="2">
        <v>15</v>
      </c>
      <c r="F274" s="1" t="s">
        <v>27</v>
      </c>
      <c r="G274" s="2">
        <v>1</v>
      </c>
      <c r="H274" s="1" t="s">
        <v>29</v>
      </c>
      <c r="I274" s="1">
        <f>SUMIFS(ES_3[LENGTH_EX_SU],ES_3[STN],ES_3[[#This Row],[STN]],ES_3[DISCIPLINE_TYPE],"Out-of-School Suspension")+SUMIFS(ES_3[LENGTH_EX_SU],ES_3[STN],ES_3[[#This Row],[STN]],ES_3[DISCIPLINE_TYPE],"Expulsion")</f>
        <v>1</v>
      </c>
      <c r="J274" s="1">
        <f>IF(ES_3[[#This Row],[Count Exp/Sus]]&gt;10,1,0)</f>
        <v>0</v>
      </c>
      <c r="K274" s="1">
        <f t="shared" si="4"/>
        <v>0</v>
      </c>
      <c r="L274" s="1">
        <f>IF(J274=1,IF(COUNTIFS($A$3:A274,A274,$J$3:J274,1)=1,A274&amp;"-included",0),0)</f>
        <v>0</v>
      </c>
      <c r="M274" s="1" cm="1">
        <f t="array" ref="M274">IF(ES_3[[#This Row],[Included Exp/Sus]]=1,IF(SUMPRODUCT((ES_3[STN]=ES_3[[#This Row],[STN]])*(ES_3[Included Exp/Sus]=1)*(ROW(ES_3[STN])&lt;=ROW()))=1,1,0),0)</f>
        <v>0</v>
      </c>
      <c r="N274" s="1" t="str">
        <f>_xlfn.XLOOKUP(ES_3[[#This Row],[STN]],SE_3[STN],SE_3[Ethnicity],"",0)</f>
        <v>White</v>
      </c>
    </row>
    <row r="275" spans="1:14" ht="14.45">
      <c r="A275" s="1">
        <v>826114093</v>
      </c>
      <c r="B275" s="1">
        <v>6</v>
      </c>
      <c r="C275" s="2">
        <v>4</v>
      </c>
      <c r="D275" s="1" t="s">
        <v>49</v>
      </c>
      <c r="E275" s="2">
        <v>31</v>
      </c>
      <c r="F275" s="1" t="s">
        <v>40</v>
      </c>
      <c r="G275" s="2">
        <v>0</v>
      </c>
      <c r="H275" s="1" t="s">
        <v>29</v>
      </c>
      <c r="I275" s="1">
        <f>SUMIFS(ES_3[LENGTH_EX_SU],ES_3[STN],ES_3[[#This Row],[STN]],ES_3[DISCIPLINE_TYPE],"Out-of-School Suspension")+SUMIFS(ES_3[LENGTH_EX_SU],ES_3[STN],ES_3[[#This Row],[STN]],ES_3[DISCIPLINE_TYPE],"Expulsion")</f>
        <v>1</v>
      </c>
      <c r="J275" s="1">
        <f>IF(ES_3[[#This Row],[Count Exp/Sus]]&gt;10,1,0)</f>
        <v>0</v>
      </c>
      <c r="K275" s="1">
        <f t="shared" si="4"/>
        <v>0</v>
      </c>
      <c r="L275" s="1">
        <f>IF(J275=1,IF(COUNTIFS($A$3:A275,A275,$J$3:J275,1)=1,A275&amp;"-included",0),0)</f>
        <v>0</v>
      </c>
      <c r="M275" s="1" cm="1">
        <f t="array" ref="M275">IF(ES_3[[#This Row],[Included Exp/Sus]]=1,IF(SUMPRODUCT((ES_3[STN]=ES_3[[#This Row],[STN]])*(ES_3[Included Exp/Sus]=1)*(ROW(ES_3[STN])&lt;=ROW()))=1,1,0),0)</f>
        <v>0</v>
      </c>
      <c r="N275" s="1" t="str">
        <f>_xlfn.XLOOKUP(ES_3[[#This Row],[STN]],SE_3[STN],SE_3[Ethnicity],"",0)</f>
        <v>Multiracial (two or more races)</v>
      </c>
    </row>
    <row r="276" spans="1:14" ht="14.45">
      <c r="A276" s="1">
        <v>826114093</v>
      </c>
      <c r="B276" s="1">
        <v>6</v>
      </c>
      <c r="C276" s="2">
        <v>2</v>
      </c>
      <c r="D276" s="1" t="s">
        <v>31</v>
      </c>
      <c r="E276" s="2">
        <v>31</v>
      </c>
      <c r="F276" s="1" t="s">
        <v>40</v>
      </c>
      <c r="G276" s="2">
        <v>1</v>
      </c>
      <c r="H276" s="1" t="s">
        <v>29</v>
      </c>
      <c r="I276" s="1">
        <f>SUMIFS(ES_3[LENGTH_EX_SU],ES_3[STN],ES_3[[#This Row],[STN]],ES_3[DISCIPLINE_TYPE],"Out-of-School Suspension")+SUMIFS(ES_3[LENGTH_EX_SU],ES_3[STN],ES_3[[#This Row],[STN]],ES_3[DISCIPLINE_TYPE],"Expulsion")</f>
        <v>1</v>
      </c>
      <c r="J276" s="1">
        <f>IF(ES_3[[#This Row],[Count Exp/Sus]]&gt;10,1,0)</f>
        <v>0</v>
      </c>
      <c r="K276" s="1">
        <f t="shared" si="4"/>
        <v>0</v>
      </c>
      <c r="L276" s="1">
        <f>IF(J276=1,IF(COUNTIFS($A$3:A276,A276,$J$3:J276,1)=1,A276&amp;"-included",0),0)</f>
        <v>0</v>
      </c>
      <c r="M276" s="1" cm="1">
        <f t="array" ref="M276">IF(ES_3[[#This Row],[Included Exp/Sus]]=1,IF(SUMPRODUCT((ES_3[STN]=ES_3[[#This Row],[STN]])*(ES_3[Included Exp/Sus]=1)*(ROW(ES_3[STN])&lt;=ROW()))=1,1,0),0)</f>
        <v>0</v>
      </c>
      <c r="N276" s="1" t="str">
        <f>_xlfn.XLOOKUP(ES_3[[#This Row],[STN]],SE_3[STN],SE_3[Ethnicity],"",0)</f>
        <v>Multiracial (two or more races)</v>
      </c>
    </row>
    <row r="277" spans="1:14" ht="14.45">
      <c r="A277" s="1">
        <v>919609006</v>
      </c>
      <c r="B277" s="1">
        <v>12</v>
      </c>
      <c r="C277" s="2">
        <v>1</v>
      </c>
      <c r="D277" s="1" t="s">
        <v>24</v>
      </c>
      <c r="E277" s="2">
        <v>14</v>
      </c>
      <c r="F277" s="1" t="s">
        <v>32</v>
      </c>
      <c r="G277" s="2">
        <v>3</v>
      </c>
      <c r="H277" s="1" t="s">
        <v>26</v>
      </c>
      <c r="I277" s="1">
        <f>SUMIFS(ES_3[LENGTH_EX_SU],ES_3[STN],ES_3[[#This Row],[STN]],ES_3[DISCIPLINE_TYPE],"Out-of-School Suspension")+SUMIFS(ES_3[LENGTH_EX_SU],ES_3[STN],ES_3[[#This Row],[STN]],ES_3[DISCIPLINE_TYPE],"Expulsion")</f>
        <v>1</v>
      </c>
      <c r="J277" s="1">
        <f>IF(ES_3[[#This Row],[Count Exp/Sus]]&gt;10,1,0)</f>
        <v>0</v>
      </c>
      <c r="K277" s="1">
        <f t="shared" si="4"/>
        <v>0</v>
      </c>
      <c r="L277" s="1">
        <f>IF(J277=1,IF(COUNTIFS($A$3:A277,A277,$J$3:J277,1)=1,A277&amp;"-included",0),0)</f>
        <v>0</v>
      </c>
      <c r="M277" s="1" cm="1">
        <f t="array" ref="M277">IF(ES_3[[#This Row],[Included Exp/Sus]]=1,IF(SUMPRODUCT((ES_3[STN]=ES_3[[#This Row],[STN]])*(ES_3[Included Exp/Sus]=1)*(ROW(ES_3[STN])&lt;=ROW()))=1,1,0),0)</f>
        <v>0</v>
      </c>
      <c r="N277" s="1" t="str">
        <f>_xlfn.XLOOKUP(ES_3[[#This Row],[STN]],SE_3[STN],SE_3[Ethnicity],"",0)</f>
        <v>White</v>
      </c>
    </row>
    <row r="278" spans="1:14" ht="14.45">
      <c r="A278" s="1">
        <v>919609006</v>
      </c>
      <c r="B278" s="1">
        <v>12</v>
      </c>
      <c r="C278" s="2">
        <v>2</v>
      </c>
      <c r="D278" s="1" t="s">
        <v>31</v>
      </c>
      <c r="E278" s="2">
        <v>15</v>
      </c>
      <c r="F278" s="1" t="s">
        <v>27</v>
      </c>
      <c r="G278" s="2">
        <v>1</v>
      </c>
      <c r="H278" s="1" t="s">
        <v>26</v>
      </c>
      <c r="I278" s="1">
        <f>SUMIFS(ES_3[LENGTH_EX_SU],ES_3[STN],ES_3[[#This Row],[STN]],ES_3[DISCIPLINE_TYPE],"Out-of-School Suspension")+SUMIFS(ES_3[LENGTH_EX_SU],ES_3[STN],ES_3[[#This Row],[STN]],ES_3[DISCIPLINE_TYPE],"Expulsion")</f>
        <v>1</v>
      </c>
      <c r="J278" s="1">
        <f>IF(ES_3[[#This Row],[Count Exp/Sus]]&gt;10,1,0)</f>
        <v>0</v>
      </c>
      <c r="K278" s="1">
        <f t="shared" si="4"/>
        <v>0</v>
      </c>
      <c r="L278" s="1">
        <f>IF(J278=1,IF(COUNTIFS($A$3:A278,A278,$J$3:J278,1)=1,A278&amp;"-included",0),0)</f>
        <v>0</v>
      </c>
      <c r="M278" s="1" cm="1">
        <f t="array" ref="M278">IF(ES_3[[#This Row],[Included Exp/Sus]]=1,IF(SUMPRODUCT((ES_3[STN]=ES_3[[#This Row],[STN]])*(ES_3[Included Exp/Sus]=1)*(ROW(ES_3[STN])&lt;=ROW()))=1,1,0),0)</f>
        <v>0</v>
      </c>
      <c r="N278" s="1" t="str">
        <f>_xlfn.XLOOKUP(ES_3[[#This Row],[STN]],SE_3[STN],SE_3[Ethnicity],"",0)</f>
        <v>White</v>
      </c>
    </row>
    <row r="279" spans="1:14" ht="14.45">
      <c r="A279" s="1">
        <v>919609006</v>
      </c>
      <c r="B279" s="1">
        <v>12</v>
      </c>
      <c r="C279" s="2">
        <v>1</v>
      </c>
      <c r="D279" s="1" t="s">
        <v>24</v>
      </c>
      <c r="E279" s="2">
        <v>14</v>
      </c>
      <c r="F279" s="1" t="s">
        <v>32</v>
      </c>
      <c r="G279" s="2">
        <v>1</v>
      </c>
      <c r="H279" s="1" t="s">
        <v>26</v>
      </c>
      <c r="I279" s="1">
        <f>SUMIFS(ES_3[LENGTH_EX_SU],ES_3[STN],ES_3[[#This Row],[STN]],ES_3[DISCIPLINE_TYPE],"Out-of-School Suspension")+SUMIFS(ES_3[LENGTH_EX_SU],ES_3[STN],ES_3[[#This Row],[STN]],ES_3[DISCIPLINE_TYPE],"Expulsion")</f>
        <v>1</v>
      </c>
      <c r="J279" s="1">
        <f>IF(ES_3[[#This Row],[Count Exp/Sus]]&gt;10,1,0)</f>
        <v>0</v>
      </c>
      <c r="K279" s="1">
        <f t="shared" si="4"/>
        <v>0</v>
      </c>
      <c r="L279" s="1">
        <f>IF(J279=1,IF(COUNTIFS($A$3:A279,A279,$J$3:J279,1)=1,A279&amp;"-included",0),0)</f>
        <v>0</v>
      </c>
      <c r="M279" s="1" cm="1">
        <f t="array" ref="M279">IF(ES_3[[#This Row],[Included Exp/Sus]]=1,IF(SUMPRODUCT((ES_3[STN]=ES_3[[#This Row],[STN]])*(ES_3[Included Exp/Sus]=1)*(ROW(ES_3[STN])&lt;=ROW()))=1,1,0),0)</f>
        <v>0</v>
      </c>
      <c r="N279" s="1" t="str">
        <f>_xlfn.XLOOKUP(ES_3[[#This Row],[STN]],SE_3[STN],SE_3[Ethnicity],"",0)</f>
        <v>White</v>
      </c>
    </row>
    <row r="280" spans="1:14" ht="14.45">
      <c r="A280" s="1">
        <v>919610141</v>
      </c>
      <c r="B280" s="1">
        <v>11</v>
      </c>
      <c r="C280" s="2">
        <v>2</v>
      </c>
      <c r="D280" s="1" t="s">
        <v>31</v>
      </c>
      <c r="E280" s="2">
        <v>3</v>
      </c>
      <c r="F280" s="1" t="s">
        <v>39</v>
      </c>
      <c r="G280" s="2">
        <v>2</v>
      </c>
      <c r="H280" s="1" t="s">
        <v>26</v>
      </c>
      <c r="I280" s="1">
        <f>SUMIFS(ES_3[LENGTH_EX_SU],ES_3[STN],ES_3[[#This Row],[STN]],ES_3[DISCIPLINE_TYPE],"Out-of-School Suspension")+SUMIFS(ES_3[LENGTH_EX_SU],ES_3[STN],ES_3[[#This Row],[STN]],ES_3[DISCIPLINE_TYPE],"Expulsion")</f>
        <v>2</v>
      </c>
      <c r="J280" s="1">
        <f>IF(ES_3[[#This Row],[Count Exp/Sus]]&gt;10,1,0)</f>
        <v>0</v>
      </c>
      <c r="K280" s="1">
        <f t="shared" si="4"/>
        <v>0</v>
      </c>
      <c r="L280" s="1">
        <f>IF(J280=1,IF(COUNTIFS($A$3:A280,A280,$J$3:J280,1)=1,A280&amp;"-included",0),0)</f>
        <v>0</v>
      </c>
      <c r="M280" s="1" cm="1">
        <f t="array" ref="M280">IF(ES_3[[#This Row],[Included Exp/Sus]]=1,IF(SUMPRODUCT((ES_3[STN]=ES_3[[#This Row],[STN]])*(ES_3[Included Exp/Sus]=1)*(ROW(ES_3[STN])&lt;=ROW()))=1,1,0),0)</f>
        <v>0</v>
      </c>
      <c r="N280" s="1" t="str">
        <f>_xlfn.XLOOKUP(ES_3[[#This Row],[STN]],SE_3[STN],SE_3[Ethnicity],"",0)</f>
        <v>White</v>
      </c>
    </row>
    <row r="281" spans="1:14" ht="14.45">
      <c r="A281" s="1">
        <v>919611217</v>
      </c>
      <c r="B281" s="1">
        <v>8</v>
      </c>
      <c r="C281" s="2">
        <v>1</v>
      </c>
      <c r="D281" s="1" t="s">
        <v>24</v>
      </c>
      <c r="E281" s="2">
        <v>11</v>
      </c>
      <c r="F281" s="1" t="s">
        <v>36</v>
      </c>
      <c r="G281" s="2">
        <v>2</v>
      </c>
      <c r="H281" s="1" t="s">
        <v>26</v>
      </c>
      <c r="I281" s="1">
        <f>SUMIFS(ES_3[LENGTH_EX_SU],ES_3[STN],ES_3[[#This Row],[STN]],ES_3[DISCIPLINE_TYPE],"Out-of-School Suspension")+SUMIFS(ES_3[LENGTH_EX_SU],ES_3[STN],ES_3[[#This Row],[STN]],ES_3[DISCIPLINE_TYPE],"Expulsion")</f>
        <v>0</v>
      </c>
      <c r="J281" s="1">
        <f>IF(ES_3[[#This Row],[Count Exp/Sus]]&gt;10,1,0)</f>
        <v>0</v>
      </c>
      <c r="K281" s="1">
        <f t="shared" si="4"/>
        <v>0</v>
      </c>
      <c r="L281" s="1">
        <f>IF(J281=1,IF(COUNTIFS($A$3:A281,A281,$J$3:J281,1)=1,A281&amp;"-included",0),0)</f>
        <v>0</v>
      </c>
      <c r="M281" s="1" cm="1">
        <f t="array" ref="M281">IF(ES_3[[#This Row],[Included Exp/Sus]]=1,IF(SUMPRODUCT((ES_3[STN]=ES_3[[#This Row],[STN]])*(ES_3[Included Exp/Sus]=1)*(ROW(ES_3[STN])&lt;=ROW()))=1,1,0),0)</f>
        <v>0</v>
      </c>
      <c r="N281" s="1" t="str">
        <f>_xlfn.XLOOKUP(ES_3[[#This Row],[STN]],SE_3[STN],SE_3[Ethnicity],"",0)</f>
        <v>White</v>
      </c>
    </row>
    <row r="282" spans="1:14" ht="14.45">
      <c r="A282" s="1">
        <v>919617045</v>
      </c>
      <c r="B282" s="1">
        <v>2</v>
      </c>
      <c r="C282" s="2">
        <v>2</v>
      </c>
      <c r="D282" s="1" t="s">
        <v>31</v>
      </c>
      <c r="E282" s="2">
        <v>15</v>
      </c>
      <c r="F282" s="1" t="s">
        <v>27</v>
      </c>
      <c r="G282" s="2">
        <v>3</v>
      </c>
      <c r="H282" s="1" t="s">
        <v>29</v>
      </c>
      <c r="I282" s="1">
        <f>SUMIFS(ES_3[LENGTH_EX_SU],ES_3[STN],ES_3[[#This Row],[STN]],ES_3[DISCIPLINE_TYPE],"Out-of-School Suspension")+SUMIFS(ES_3[LENGTH_EX_SU],ES_3[STN],ES_3[[#This Row],[STN]],ES_3[DISCIPLINE_TYPE],"Expulsion")</f>
        <v>3</v>
      </c>
      <c r="J282" s="1">
        <f>IF(ES_3[[#This Row],[Count Exp/Sus]]&gt;10,1,0)</f>
        <v>0</v>
      </c>
      <c r="K282" s="1">
        <f t="shared" si="4"/>
        <v>0</v>
      </c>
      <c r="L282" s="1">
        <f>IF(J282=1,IF(COUNTIFS($A$3:A282,A282,$J$3:J282,1)=1,A282&amp;"-included",0),0)</f>
        <v>0</v>
      </c>
      <c r="M282" s="1" cm="1">
        <f t="array" ref="M282">IF(ES_3[[#This Row],[Included Exp/Sus]]=1,IF(SUMPRODUCT((ES_3[STN]=ES_3[[#This Row],[STN]])*(ES_3[Included Exp/Sus]=1)*(ROW(ES_3[STN])&lt;=ROW()))=1,1,0),0)</f>
        <v>0</v>
      </c>
      <c r="N282" s="1" t="str">
        <f>_xlfn.XLOOKUP(ES_3[[#This Row],[STN]],SE_3[STN],SE_3[Ethnicity],"",0)</f>
        <v>Black - African American</v>
      </c>
    </row>
    <row r="283" spans="1:14" ht="14.45">
      <c r="A283" s="1">
        <v>919618110</v>
      </c>
      <c r="B283" s="1">
        <v>7</v>
      </c>
      <c r="C283" s="2">
        <v>2</v>
      </c>
      <c r="D283" s="1" t="s">
        <v>31</v>
      </c>
      <c r="E283" s="2">
        <v>11</v>
      </c>
      <c r="F283" s="1" t="s">
        <v>36</v>
      </c>
      <c r="G283" s="2">
        <v>15</v>
      </c>
      <c r="H283" s="1" t="s">
        <v>29</v>
      </c>
      <c r="I283" s="1">
        <f>SUMIFS(ES_3[LENGTH_EX_SU],ES_3[STN],ES_3[[#This Row],[STN]],ES_3[DISCIPLINE_TYPE],"Out-of-School Suspension")+SUMIFS(ES_3[LENGTH_EX_SU],ES_3[STN],ES_3[[#This Row],[STN]],ES_3[DISCIPLINE_TYPE],"Expulsion")</f>
        <v>15</v>
      </c>
      <c r="J283" s="1">
        <f>IF(ES_3[[#This Row],[Count Exp/Sus]]&gt;10,1,0)</f>
        <v>1</v>
      </c>
      <c r="K283" s="1" t="str">
        <f t="shared" si="4"/>
        <v>919618110-included</v>
      </c>
      <c r="L283" s="1" t="str">
        <f>IF(J283=1,IF(COUNTIFS($A$3:A283,A283,$J$3:J283,1)=1,A283&amp;"-included",0),0)</f>
        <v>919618110-included</v>
      </c>
      <c r="M283" s="1" cm="1">
        <f t="array" ref="M283">IF(ES_3[[#This Row],[Included Exp/Sus]]=1,IF(SUMPRODUCT((ES_3[STN]=ES_3[[#This Row],[STN]])*(ES_3[Included Exp/Sus]=1)*(ROW(ES_3[STN])&lt;=ROW()))=1,1,0),0)</f>
        <v>1</v>
      </c>
      <c r="N283" s="1" t="str">
        <f>_xlfn.XLOOKUP(ES_3[[#This Row],[STN]],SE_3[STN],SE_3[Ethnicity],"",0)</f>
        <v>White</v>
      </c>
    </row>
    <row r="284" spans="1:14" ht="14.45">
      <c r="A284" s="1">
        <v>919715085</v>
      </c>
      <c r="B284" s="1">
        <v>5</v>
      </c>
      <c r="C284" s="2">
        <v>1</v>
      </c>
      <c r="D284" s="1" t="s">
        <v>24</v>
      </c>
      <c r="E284" s="2">
        <v>10</v>
      </c>
      <c r="F284" s="1" t="s">
        <v>25</v>
      </c>
      <c r="G284" s="2">
        <v>1</v>
      </c>
      <c r="H284" s="1" t="s">
        <v>26</v>
      </c>
      <c r="I284" s="1">
        <f>SUMIFS(ES_3[LENGTH_EX_SU],ES_3[STN],ES_3[[#This Row],[STN]],ES_3[DISCIPLINE_TYPE],"Out-of-School Suspension")+SUMIFS(ES_3[LENGTH_EX_SU],ES_3[STN],ES_3[[#This Row],[STN]],ES_3[DISCIPLINE_TYPE],"Expulsion")</f>
        <v>0</v>
      </c>
      <c r="J284" s="1">
        <f>IF(ES_3[[#This Row],[Count Exp/Sus]]&gt;10,1,0)</f>
        <v>0</v>
      </c>
      <c r="K284" s="1">
        <f t="shared" si="4"/>
        <v>0</v>
      </c>
      <c r="L284" s="1">
        <f>IF(J284=1,IF(COUNTIFS($A$3:A284,A284,$J$3:J284,1)=1,A284&amp;"-included",0),0)</f>
        <v>0</v>
      </c>
      <c r="M284" s="1" cm="1">
        <f t="array" ref="M284">IF(ES_3[[#This Row],[Included Exp/Sus]]=1,IF(SUMPRODUCT((ES_3[STN]=ES_3[[#This Row],[STN]])*(ES_3[Included Exp/Sus]=1)*(ROW(ES_3[STN])&lt;=ROW()))=1,1,0),0)</f>
        <v>0</v>
      </c>
      <c r="N284" s="1" t="str">
        <f>_xlfn.XLOOKUP(ES_3[[#This Row],[STN]],SE_3[STN],SE_3[Ethnicity],"",0)</f>
        <v>White</v>
      </c>
    </row>
    <row r="285" spans="1:14" ht="14.45">
      <c r="A285" s="1">
        <v>919716019</v>
      </c>
      <c r="B285" s="1">
        <v>4</v>
      </c>
      <c r="C285" s="2">
        <v>2</v>
      </c>
      <c r="D285" s="1" t="s">
        <v>31</v>
      </c>
      <c r="E285" s="2">
        <v>20</v>
      </c>
      <c r="F285" s="1" t="s">
        <v>42</v>
      </c>
      <c r="G285" s="2">
        <v>3</v>
      </c>
      <c r="H285" s="1" t="s">
        <v>29</v>
      </c>
      <c r="I285" s="1">
        <f>SUMIFS(ES_3[LENGTH_EX_SU],ES_3[STN],ES_3[[#This Row],[STN]],ES_3[DISCIPLINE_TYPE],"Out-of-School Suspension")+SUMIFS(ES_3[LENGTH_EX_SU],ES_3[STN],ES_3[[#This Row],[STN]],ES_3[DISCIPLINE_TYPE],"Expulsion")</f>
        <v>3</v>
      </c>
      <c r="J285" s="1">
        <f>IF(ES_3[[#This Row],[Count Exp/Sus]]&gt;10,1,0)</f>
        <v>0</v>
      </c>
      <c r="K285" s="1">
        <f t="shared" si="4"/>
        <v>0</v>
      </c>
      <c r="L285" s="1">
        <f>IF(J285=1,IF(COUNTIFS($A$3:A285,A285,$J$3:J285,1)=1,A285&amp;"-included",0),0)</f>
        <v>0</v>
      </c>
      <c r="M285" s="1" cm="1">
        <f t="array" ref="M285">IF(ES_3[[#This Row],[Included Exp/Sus]]=1,IF(SUMPRODUCT((ES_3[STN]=ES_3[[#This Row],[STN]])*(ES_3[Included Exp/Sus]=1)*(ROW(ES_3[STN])&lt;=ROW()))=1,1,0),0)</f>
        <v>0</v>
      </c>
      <c r="N285" s="1" t="str">
        <f>_xlfn.XLOOKUP(ES_3[[#This Row],[STN]],SE_3[STN],SE_3[Ethnicity],"",0)</f>
        <v>White</v>
      </c>
    </row>
    <row r="286" spans="1:14" ht="14.45">
      <c r="A286" s="1">
        <v>953221023</v>
      </c>
      <c r="B286" s="1" t="s">
        <v>41</v>
      </c>
      <c r="C286" s="2">
        <v>2</v>
      </c>
      <c r="D286" s="1" t="s">
        <v>31</v>
      </c>
      <c r="E286" s="2">
        <v>12</v>
      </c>
      <c r="F286" s="1" t="s">
        <v>46</v>
      </c>
      <c r="G286" s="2">
        <v>2</v>
      </c>
      <c r="H286" s="1" t="s">
        <v>29</v>
      </c>
      <c r="I286" s="1">
        <f>SUMIFS(ES_3[LENGTH_EX_SU],ES_3[STN],ES_3[[#This Row],[STN]],ES_3[DISCIPLINE_TYPE],"Out-of-School Suspension")+SUMIFS(ES_3[LENGTH_EX_SU],ES_3[STN],ES_3[[#This Row],[STN]],ES_3[DISCIPLINE_TYPE],"Expulsion")</f>
        <v>2</v>
      </c>
      <c r="J286" s="1">
        <f>IF(ES_3[[#This Row],[Count Exp/Sus]]&gt;10,1,0)</f>
        <v>0</v>
      </c>
      <c r="K286" s="1">
        <f t="shared" si="4"/>
        <v>0</v>
      </c>
      <c r="L286" s="1">
        <f>IF(J286=1,IF(COUNTIFS($A$3:A286,A286,$J$3:J286,1)=1,A286&amp;"-included",0),0)</f>
        <v>0</v>
      </c>
      <c r="M286" s="1" cm="1">
        <f t="array" ref="M286">IF(ES_3[[#This Row],[Included Exp/Sus]]=1,IF(SUMPRODUCT((ES_3[STN]=ES_3[[#This Row],[STN]])*(ES_3[Included Exp/Sus]=1)*(ROW(ES_3[STN])&lt;=ROW()))=1,1,0),0)</f>
        <v>0</v>
      </c>
      <c r="N286" s="1" t="str">
        <f>_xlfn.XLOOKUP(ES_3[[#This Row],[STN]],SE_3[STN],SE_3[Ethnicity],"",0)</f>
        <v>Hispanic Ethnicity and of any race</v>
      </c>
    </row>
    <row r="287" spans="1:14" ht="14.45">
      <c r="A287" s="1">
        <v>984514142</v>
      </c>
      <c r="B287" s="1">
        <v>4</v>
      </c>
      <c r="C287" s="2">
        <v>2</v>
      </c>
      <c r="D287" s="1" t="s">
        <v>31</v>
      </c>
      <c r="E287" s="2">
        <v>11</v>
      </c>
      <c r="F287" s="1" t="s">
        <v>36</v>
      </c>
      <c r="G287" s="2">
        <v>1</v>
      </c>
      <c r="H287" s="1" t="s">
        <v>29</v>
      </c>
      <c r="I287" s="1">
        <f>SUMIFS(ES_3[LENGTH_EX_SU],ES_3[STN],ES_3[[#This Row],[STN]],ES_3[DISCIPLINE_TYPE],"Out-of-School Suspension")+SUMIFS(ES_3[LENGTH_EX_SU],ES_3[STN],ES_3[[#This Row],[STN]],ES_3[DISCIPLINE_TYPE],"Expulsion")</f>
        <v>1</v>
      </c>
      <c r="J287" s="1">
        <f>IF(ES_3[[#This Row],[Count Exp/Sus]]&gt;10,1,0)</f>
        <v>0</v>
      </c>
      <c r="K287" s="1">
        <f t="shared" si="4"/>
        <v>0</v>
      </c>
      <c r="L287" s="1">
        <f>IF(J287=1,IF(COUNTIFS($A$3:A287,A287,$J$3:J287,1)=1,A287&amp;"-included",0),0)</f>
        <v>0</v>
      </c>
      <c r="M287" s="1" cm="1">
        <f t="array" ref="M287">IF(ES_3[[#This Row],[Included Exp/Sus]]=1,IF(SUMPRODUCT((ES_3[STN]=ES_3[[#This Row],[STN]])*(ES_3[Included Exp/Sus]=1)*(ROW(ES_3[STN])&lt;=ROW()))=1,1,0),0)</f>
        <v>0</v>
      </c>
      <c r="N287" s="1" t="str">
        <f>_xlfn.XLOOKUP(ES_3[[#This Row],[STN]],SE_3[STN],SE_3[Ethnicity],"",0)</f>
        <v>Asian</v>
      </c>
    </row>
    <row r="288" spans="1:14" ht="14.45">
      <c r="A288" s="1">
        <v>999810022</v>
      </c>
      <c r="B288" s="1">
        <v>10</v>
      </c>
      <c r="C288" s="2">
        <v>1</v>
      </c>
      <c r="D288" s="1" t="s">
        <v>24</v>
      </c>
      <c r="E288" s="2">
        <v>20</v>
      </c>
      <c r="F288" s="1" t="s">
        <v>42</v>
      </c>
      <c r="G288" s="2">
        <v>1</v>
      </c>
      <c r="H288" s="1" t="s">
        <v>29</v>
      </c>
      <c r="I288" s="1">
        <f>SUMIFS(ES_3[LENGTH_EX_SU],ES_3[STN],ES_3[[#This Row],[STN]],ES_3[DISCIPLINE_TYPE],"Out-of-School Suspension")+SUMIFS(ES_3[LENGTH_EX_SU],ES_3[STN],ES_3[[#This Row],[STN]],ES_3[DISCIPLINE_TYPE],"Expulsion")</f>
        <v>0</v>
      </c>
      <c r="J288" s="1">
        <f>IF(ES_3[[#This Row],[Count Exp/Sus]]&gt;10,1,0)</f>
        <v>0</v>
      </c>
      <c r="K288" s="1">
        <f t="shared" si="4"/>
        <v>0</v>
      </c>
      <c r="L288" s="1">
        <f>IF(J288=1,IF(COUNTIFS($A$3:A288,A288,$J$3:J288,1)=1,A288&amp;"-included",0),0)</f>
        <v>0</v>
      </c>
      <c r="M288" s="1" cm="1">
        <f t="array" ref="M288">IF(ES_3[[#This Row],[Included Exp/Sus]]=1,IF(SUMPRODUCT((ES_3[STN]=ES_3[[#This Row],[STN]])*(ES_3[Included Exp/Sus]=1)*(ROW(ES_3[STN])&lt;=ROW()))=1,1,0),0)</f>
        <v>0</v>
      </c>
      <c r="N288" s="1" t="str">
        <f>_xlfn.XLOOKUP(ES_3[[#This Row],[STN]],SE_3[STN],SE_3[Ethnicity],"",0)</f>
        <v>White</v>
      </c>
    </row>
    <row r="289" spans="1:14" ht="14.45">
      <c r="A289" s="1">
        <v>999812054</v>
      </c>
      <c r="B289" s="1">
        <v>5</v>
      </c>
      <c r="C289" s="2">
        <v>2</v>
      </c>
      <c r="D289" s="1" t="s">
        <v>31</v>
      </c>
      <c r="E289" s="2">
        <v>7</v>
      </c>
      <c r="F289" s="1" t="s">
        <v>30</v>
      </c>
      <c r="G289" s="2">
        <v>1</v>
      </c>
      <c r="H289" s="1" t="s">
        <v>29</v>
      </c>
      <c r="I289" s="1">
        <f>SUMIFS(ES_3[LENGTH_EX_SU],ES_3[STN],ES_3[[#This Row],[STN]],ES_3[DISCIPLINE_TYPE],"Out-of-School Suspension")+SUMIFS(ES_3[LENGTH_EX_SU],ES_3[STN],ES_3[[#This Row],[STN]],ES_3[DISCIPLINE_TYPE],"Expulsion")</f>
        <v>1</v>
      </c>
      <c r="J289" s="1">
        <f>IF(ES_3[[#This Row],[Count Exp/Sus]]&gt;10,1,0)</f>
        <v>0</v>
      </c>
      <c r="K289" s="1">
        <f t="shared" si="4"/>
        <v>0</v>
      </c>
      <c r="L289" s="1">
        <f>IF(J289=1,IF(COUNTIFS($A$3:A289,A289,$J$3:J289,1)=1,A289&amp;"-included",0),0)</f>
        <v>0</v>
      </c>
      <c r="M289" s="1" cm="1">
        <f t="array" ref="M289">IF(ES_3[[#This Row],[Included Exp/Sus]]=1,IF(SUMPRODUCT((ES_3[STN]=ES_3[[#This Row],[STN]])*(ES_3[Included Exp/Sus]=1)*(ROW(ES_3[STN])&lt;=ROW()))=1,1,0),0)</f>
        <v>0</v>
      </c>
      <c r="N289" s="1" t="str">
        <f>_xlfn.XLOOKUP(ES_3[[#This Row],[STN]],SE_3[STN],SE_3[Ethnicity],"",0)</f>
        <v>White</v>
      </c>
    </row>
    <row r="290" spans="1:14" ht="14.45">
      <c r="A290" s="1">
        <v>999814003</v>
      </c>
      <c r="B290" s="1">
        <v>5</v>
      </c>
      <c r="C290" s="2">
        <v>2</v>
      </c>
      <c r="D290" s="1" t="s">
        <v>31</v>
      </c>
      <c r="E290" s="2">
        <v>20</v>
      </c>
      <c r="F290" s="1" t="s">
        <v>42</v>
      </c>
      <c r="G290" s="2">
        <v>1</v>
      </c>
      <c r="H290" s="1" t="s">
        <v>26</v>
      </c>
      <c r="I290" s="1">
        <f>SUMIFS(ES_3[LENGTH_EX_SU],ES_3[STN],ES_3[[#This Row],[STN]],ES_3[DISCIPLINE_TYPE],"Out-of-School Suspension")+SUMIFS(ES_3[LENGTH_EX_SU],ES_3[STN],ES_3[[#This Row],[STN]],ES_3[DISCIPLINE_TYPE],"Expulsion")</f>
        <v>1</v>
      </c>
      <c r="J290" s="1">
        <f>IF(ES_3[[#This Row],[Count Exp/Sus]]&gt;10,1,0)</f>
        <v>0</v>
      </c>
      <c r="K290" s="1">
        <f t="shared" si="4"/>
        <v>0</v>
      </c>
      <c r="L290" s="1">
        <f>IF(J290=1,IF(COUNTIFS($A$3:A290,A290,$J$3:J290,1)=1,A290&amp;"-included",0),0)</f>
        <v>0</v>
      </c>
      <c r="M290" s="1" cm="1">
        <f t="array" ref="M290">IF(ES_3[[#This Row],[Included Exp/Sus]]=1,IF(SUMPRODUCT((ES_3[STN]=ES_3[[#This Row],[STN]])*(ES_3[Included Exp/Sus]=1)*(ROW(ES_3[STN])&lt;=ROW()))=1,1,0),0)</f>
        <v>0</v>
      </c>
      <c r="N290" s="1" t="str">
        <f>_xlfn.XLOOKUP(ES_3[[#This Row],[STN]],SE_3[STN],SE_3[Ethnicity],"",0)</f>
        <v>White</v>
      </c>
    </row>
    <row r="291" spans="1:14" ht="14.45">
      <c r="A291" s="1">
        <v>999818041</v>
      </c>
      <c r="B291" s="1" t="s">
        <v>41</v>
      </c>
      <c r="C291" s="2">
        <v>2</v>
      </c>
      <c r="D291" s="1" t="s">
        <v>31</v>
      </c>
      <c r="E291" s="2">
        <v>10</v>
      </c>
      <c r="F291" s="1" t="s">
        <v>25</v>
      </c>
      <c r="G291" s="2">
        <v>1</v>
      </c>
      <c r="H291" s="1" t="s">
        <v>26</v>
      </c>
      <c r="I291" s="1">
        <f>SUMIFS(ES_3[LENGTH_EX_SU],ES_3[STN],ES_3[[#This Row],[STN]],ES_3[DISCIPLINE_TYPE],"Out-of-School Suspension")+SUMIFS(ES_3[LENGTH_EX_SU],ES_3[STN],ES_3[[#This Row],[STN]],ES_3[DISCIPLINE_TYPE],"Expulsion")</f>
        <v>3</v>
      </c>
      <c r="J291" s="1">
        <f>IF(ES_3[[#This Row],[Count Exp/Sus]]&gt;10,1,0)</f>
        <v>0</v>
      </c>
      <c r="K291" s="1">
        <f t="shared" si="4"/>
        <v>0</v>
      </c>
      <c r="L291" s="1">
        <f>IF(J291=1,IF(COUNTIFS($A$3:A291,A291,$J$3:J291,1)=1,A291&amp;"-included",0),0)</f>
        <v>0</v>
      </c>
      <c r="M291" s="1" cm="1">
        <f t="array" ref="M291">IF(ES_3[[#This Row],[Included Exp/Sus]]=1,IF(SUMPRODUCT((ES_3[STN]=ES_3[[#This Row],[STN]])*(ES_3[Included Exp/Sus]=1)*(ROW(ES_3[STN])&lt;=ROW()))=1,1,0),0)</f>
        <v>0</v>
      </c>
      <c r="N291" s="1" t="str">
        <f>_xlfn.XLOOKUP(ES_3[[#This Row],[STN]],SE_3[STN],SE_3[Ethnicity],"",0)</f>
        <v>White</v>
      </c>
    </row>
    <row r="292" spans="1:14" ht="14.45">
      <c r="A292" s="1">
        <v>999818041</v>
      </c>
      <c r="B292" s="1" t="s">
        <v>41</v>
      </c>
      <c r="C292" s="2">
        <v>2</v>
      </c>
      <c r="D292" s="1" t="s">
        <v>31</v>
      </c>
      <c r="E292" s="2">
        <v>10</v>
      </c>
      <c r="F292" s="1" t="s">
        <v>25</v>
      </c>
      <c r="G292" s="2">
        <v>1</v>
      </c>
      <c r="H292" s="1" t="s">
        <v>26</v>
      </c>
      <c r="I292" s="1">
        <f>SUMIFS(ES_3[LENGTH_EX_SU],ES_3[STN],ES_3[[#This Row],[STN]],ES_3[DISCIPLINE_TYPE],"Out-of-School Suspension")+SUMIFS(ES_3[LENGTH_EX_SU],ES_3[STN],ES_3[[#This Row],[STN]],ES_3[DISCIPLINE_TYPE],"Expulsion")</f>
        <v>3</v>
      </c>
      <c r="J292" s="1">
        <f>IF(ES_3[[#This Row],[Count Exp/Sus]]&gt;10,1,0)</f>
        <v>0</v>
      </c>
      <c r="K292" s="1">
        <f t="shared" si="4"/>
        <v>0</v>
      </c>
      <c r="L292" s="1">
        <f>IF(J292=1,IF(COUNTIFS($A$3:A292,A292,$J$3:J292,1)=1,A292&amp;"-included",0),0)</f>
        <v>0</v>
      </c>
      <c r="M292" s="1" cm="1">
        <f t="array" ref="M292">IF(ES_3[[#This Row],[Included Exp/Sus]]=1,IF(SUMPRODUCT((ES_3[STN]=ES_3[[#This Row],[STN]])*(ES_3[Included Exp/Sus]=1)*(ROW(ES_3[STN])&lt;=ROW()))=1,1,0),0)</f>
        <v>0</v>
      </c>
      <c r="N292" s="1" t="str">
        <f>_xlfn.XLOOKUP(ES_3[[#This Row],[STN]],SE_3[STN],SE_3[Ethnicity],"",0)</f>
        <v>White</v>
      </c>
    </row>
    <row r="293" spans="1:14" ht="14.45">
      <c r="A293" s="1">
        <v>999818041</v>
      </c>
      <c r="B293" s="1" t="s">
        <v>41</v>
      </c>
      <c r="C293" s="2">
        <v>2</v>
      </c>
      <c r="D293" s="1" t="s">
        <v>31</v>
      </c>
      <c r="E293" s="2">
        <v>10</v>
      </c>
      <c r="F293" s="1" t="s">
        <v>25</v>
      </c>
      <c r="G293" s="2">
        <v>1</v>
      </c>
      <c r="H293" s="1" t="s">
        <v>26</v>
      </c>
      <c r="I293" s="1">
        <f>SUMIFS(ES_3[LENGTH_EX_SU],ES_3[STN],ES_3[[#This Row],[STN]],ES_3[DISCIPLINE_TYPE],"Out-of-School Suspension")+SUMIFS(ES_3[LENGTH_EX_SU],ES_3[STN],ES_3[[#This Row],[STN]],ES_3[DISCIPLINE_TYPE],"Expulsion")</f>
        <v>3</v>
      </c>
      <c r="J293" s="1">
        <f>IF(ES_3[[#This Row],[Count Exp/Sus]]&gt;10,1,0)</f>
        <v>0</v>
      </c>
      <c r="K293" s="1">
        <f t="shared" si="4"/>
        <v>0</v>
      </c>
      <c r="L293" s="1">
        <f>IF(J293=1,IF(COUNTIFS($A$3:A293,A293,$J$3:J293,1)=1,A293&amp;"-included",0),0)</f>
        <v>0</v>
      </c>
      <c r="M293" s="1" cm="1">
        <f t="array" ref="M293">IF(ES_3[[#This Row],[Included Exp/Sus]]=1,IF(SUMPRODUCT((ES_3[STN]=ES_3[[#This Row],[STN]])*(ES_3[Included Exp/Sus]=1)*(ROW(ES_3[STN])&lt;=ROW()))=1,1,0),0)</f>
        <v>0</v>
      </c>
      <c r="N293" s="1" t="str">
        <f>_xlfn.XLOOKUP(ES_3[[#This Row],[STN]],SE_3[STN],SE_3[Ethnicity],"",0)</f>
        <v>White</v>
      </c>
    </row>
    <row r="294" spans="1:14" ht="14.45">
      <c r="A294" s="1" t="s">
        <v>51</v>
      </c>
      <c r="B294" s="1">
        <v>8</v>
      </c>
      <c r="C294" s="2">
        <v>4</v>
      </c>
      <c r="D294" s="1" t="s">
        <v>49</v>
      </c>
      <c r="E294" s="2">
        <v>31</v>
      </c>
      <c r="F294" s="1" t="s">
        <v>40</v>
      </c>
      <c r="G294" s="2">
        <v>0</v>
      </c>
      <c r="H294" s="1" t="s">
        <v>29</v>
      </c>
      <c r="I294" s="1">
        <f>SUMIFS(ES_3[LENGTH_EX_SU],ES_3[STN],ES_3[[#This Row],[STN]],ES_3[DISCIPLINE_TYPE],"Out-of-School Suspension")+SUMIFS(ES_3[LENGTH_EX_SU],ES_3[STN],ES_3[[#This Row],[STN]],ES_3[DISCIPLINE_TYPE],"Expulsion")</f>
        <v>13</v>
      </c>
      <c r="J294" s="1">
        <f>IF(ES_3[[#This Row],[Count Exp/Sus]]&gt;10,1,0)</f>
        <v>1</v>
      </c>
      <c r="K294" s="1" t="str">
        <f t="shared" si="4"/>
        <v>A15512064-included</v>
      </c>
      <c r="L294" s="1" t="str">
        <f>IF(J294=1,IF(COUNTIFS($A$3:A294,A294,$J$3:J294,1)=1,A294&amp;"-included",0),0)</f>
        <v>A15512064-included</v>
      </c>
      <c r="M294" s="1" cm="1">
        <f t="array" ref="M294">IF(ES_3[[#This Row],[Included Exp/Sus]]=1,IF(SUMPRODUCT((ES_3[STN]=ES_3[[#This Row],[STN]])*(ES_3[Included Exp/Sus]=1)*(ROW(ES_3[STN])&lt;=ROW()))=1,1,0),0)</f>
        <v>1</v>
      </c>
      <c r="N294" s="1" t="str">
        <f>_xlfn.XLOOKUP(ES_3[[#This Row],[STN]],SE_3[STN],SE_3[Ethnicity],"",0)</f>
        <v>White</v>
      </c>
    </row>
    <row r="295" spans="1:14" ht="15.75" customHeight="1">
      <c r="A295" s="1" t="s">
        <v>51</v>
      </c>
      <c r="B295" s="1"/>
      <c r="C295" s="2"/>
      <c r="D295" s="1" t="s">
        <v>31</v>
      </c>
      <c r="E295" s="2"/>
      <c r="F295" s="1"/>
      <c r="G295" s="2">
        <v>13</v>
      </c>
      <c r="H295" s="1" t="s">
        <v>29</v>
      </c>
      <c r="I295" s="1">
        <f>SUMIFS(ES_3[LENGTH_EX_SU],ES_3[STN],ES_3[[#This Row],[STN]],ES_3[DISCIPLINE_TYPE],"Out-of-School Suspension")+SUMIFS(ES_3[LENGTH_EX_SU],ES_3[STN],ES_3[[#This Row],[STN]],ES_3[DISCIPLINE_TYPE],"Expulsion")</f>
        <v>13</v>
      </c>
      <c r="J295" s="1">
        <f>IF(ES_3[[#This Row],[Count Exp/Sus]]&gt;10,1,0)</f>
        <v>1</v>
      </c>
      <c r="K295" s="1" t="str">
        <f t="shared" si="4"/>
        <v>A15512064-included</v>
      </c>
      <c r="L295">
        <f>IF(J295=1,IF(COUNTIFS($A$3:A298,A295,$J$3:J298,1)=1,A295&amp;"-included",0),0)</f>
        <v>0</v>
      </c>
      <c r="M295" cm="1">
        <f t="array" ref="M295">IF(ES_3[[#This Row],[Included Exp/Sus]]=1,IF(SUMPRODUCT((ES_3[STN]=ES_3[[#This Row],[STN]])*(ES_3[Included Exp/Sus]=1)*(ROW(ES_3[STN])&lt;=ROW()))=1,1,0),0)</f>
        <v>0</v>
      </c>
      <c r="N295" s="1" t="str">
        <f>_xlfn.XLOOKUP(ES_3[[#This Row],[STN]],SE_3[STN],SE_3[Ethnicity],"",0)</f>
        <v>White</v>
      </c>
    </row>
    <row r="296" spans="1:14" ht="15.75" customHeight="1">
      <c r="A296" s="1">
        <v>543616042</v>
      </c>
      <c r="B296" s="1"/>
      <c r="C296" s="2"/>
      <c r="D296" s="1" t="s">
        <v>31</v>
      </c>
      <c r="E296" s="2"/>
      <c r="F296" s="1"/>
      <c r="G296" s="2">
        <v>11</v>
      </c>
      <c r="H296" s="1" t="s">
        <v>26</v>
      </c>
      <c r="I296" s="1">
        <f>SUMIFS(ES_3[LENGTH_EX_SU],ES_3[STN],ES_3[[#This Row],[STN]],ES_3[DISCIPLINE_TYPE],"Out-of-School Suspension")+SUMIFS(ES_3[LENGTH_EX_SU],ES_3[STN],ES_3[[#This Row],[STN]],ES_3[DISCIPLINE_TYPE],"Expulsion")</f>
        <v>34</v>
      </c>
      <c r="J296" s="1">
        <f>IF(ES_3[[#This Row],[Count Exp/Sus]]&gt;10,1,0)</f>
        <v>1</v>
      </c>
      <c r="K296" s="1" t="str">
        <f t="shared" si="4"/>
        <v>543616042-included</v>
      </c>
      <c r="L296">
        <f>IF(J296=1,IF(COUNTIFS($A$3:A298,A296,$J$3:J298,1)=1,A296&amp;"-included",0),0)</f>
        <v>0</v>
      </c>
      <c r="M296" cm="1">
        <f t="array" ref="M296">IF(ES_3[[#This Row],[Included Exp/Sus]]=1,IF(SUMPRODUCT((ES_3[STN]=ES_3[[#This Row],[STN]])*(ES_3[Included Exp/Sus]=1)*(ROW(ES_3[STN])&lt;=ROW()))=1,1,0),0)</f>
        <v>0</v>
      </c>
      <c r="N296" s="1" t="str">
        <f>_xlfn.XLOOKUP(ES_3[[#This Row],[STN]],SE_3[STN],SE_3[Ethnicity],"",0)</f>
        <v>White</v>
      </c>
    </row>
    <row r="297" spans="1:14" ht="15.75" customHeight="1">
      <c r="A297" s="1">
        <v>543616043</v>
      </c>
      <c r="B297" s="1"/>
      <c r="C297" s="2"/>
      <c r="D297" s="1" t="s">
        <v>35</v>
      </c>
      <c r="E297" s="2"/>
      <c r="F297" s="1"/>
      <c r="G297" s="2">
        <v>12</v>
      </c>
      <c r="H297" s="1" t="s">
        <v>26</v>
      </c>
      <c r="I297" s="1">
        <f>SUMIFS(ES_3[LENGTH_EX_SU],ES_3[STN],ES_3[[#This Row],[STN]],ES_3[DISCIPLINE_TYPE],"Out-of-School Suspension")+SUMIFS(ES_3[LENGTH_EX_SU],ES_3[STN],ES_3[[#This Row],[STN]],ES_3[DISCIPLINE_TYPE],"Expulsion")</f>
        <v>26</v>
      </c>
      <c r="J297" s="1">
        <f>IF(ES_3[[#This Row],[Count Exp/Sus]]&gt;10,1,0)</f>
        <v>1</v>
      </c>
      <c r="K297" s="1" t="str">
        <f t="shared" si="4"/>
        <v>543616043-included</v>
      </c>
      <c r="L297">
        <f>IF(J297=1,IF(COUNTIFS($A$3:A298,A297,$J$3:J298,1)=1,A297&amp;"-included",0),0)</f>
        <v>0</v>
      </c>
      <c r="M297" cm="1">
        <f t="array" ref="M297">IF(ES_3[[#This Row],[Included Exp/Sus]]=1,IF(SUMPRODUCT((ES_3[STN]=ES_3[[#This Row],[STN]])*(ES_3[Included Exp/Sus]=1)*(ROW(ES_3[STN])&lt;=ROW()))=1,1,0),0)</f>
        <v>1</v>
      </c>
      <c r="N297" s="1" t="str">
        <f>_xlfn.XLOOKUP(ES_3[[#This Row],[STN]],SE_3[STN],SE_3[Ethnicity],"",0)</f>
        <v/>
      </c>
    </row>
    <row r="298" spans="1:14" ht="15.75" customHeight="1">
      <c r="A298" s="1">
        <v>543616043</v>
      </c>
      <c r="B298" s="1"/>
      <c r="C298" s="2"/>
      <c r="D298" s="1" t="s">
        <v>35</v>
      </c>
      <c r="E298" s="2"/>
      <c r="F298" s="1"/>
      <c r="G298" s="2">
        <v>14</v>
      </c>
      <c r="H298" s="1" t="s">
        <v>26</v>
      </c>
      <c r="I298" s="1">
        <f>SUMIFS(ES_3[LENGTH_EX_SU],ES_3[STN],ES_3[[#This Row],[STN]],ES_3[DISCIPLINE_TYPE],"Out-of-School Suspension")+SUMIFS(ES_3[LENGTH_EX_SU],ES_3[STN],ES_3[[#This Row],[STN]],ES_3[DISCIPLINE_TYPE],"Expulsion")</f>
        <v>26</v>
      </c>
      <c r="J298" s="1">
        <f>IF(ES_3[[#This Row],[Count Exp/Sus]]&gt;10,1,0)</f>
        <v>1</v>
      </c>
      <c r="K298" s="1" t="str">
        <f t="shared" si="4"/>
        <v>543616043-included</v>
      </c>
      <c r="L298">
        <f>IF(J298=1,IF(COUNTIFS($A$3:A298,A298,$J$3:J298,1)=1,A298&amp;"-included",0),0)</f>
        <v>0</v>
      </c>
      <c r="M298" cm="1">
        <f t="array" ref="M298">IF(ES_3[[#This Row],[Included Exp/Sus]]=1,IF(SUMPRODUCT((ES_3[STN]=ES_3[[#This Row],[STN]])*(ES_3[Included Exp/Sus]=1)*(ROW(ES_3[STN])&lt;=ROW()))=1,1,0),0)</f>
        <v>0</v>
      </c>
      <c r="N298" s="1" t="str">
        <f>_xlfn.XLOOKUP(ES_3[[#This Row],[STN]],SE_3[STN],SE_3[Ethnicity],"",0)</f>
        <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outlinePr summaryBelow="0" summaryRight="0"/>
  </sheetPr>
  <dimension ref="A1:J303"/>
  <sheetViews>
    <sheetView workbookViewId="0">
      <selection activeCell="B2" sqref="B2"/>
    </sheetView>
  </sheetViews>
  <sheetFormatPr defaultColWidth="12.5703125" defaultRowHeight="15.75" customHeight="1"/>
  <cols>
    <col min="1" max="1" width="16.7109375" customWidth="1"/>
    <col min="2" max="2" width="22.5703125" customWidth="1"/>
    <col min="3" max="3" width="40.7109375" customWidth="1"/>
    <col min="4" max="4" width="30" customWidth="1"/>
    <col min="5" max="5" width="29.5703125" customWidth="1"/>
    <col min="6" max="6" width="17.42578125" customWidth="1"/>
    <col min="7" max="7" width="24.85546875" customWidth="1"/>
    <col min="8" max="8" width="28" customWidth="1"/>
    <col min="9" max="9" width="15.28515625" customWidth="1"/>
    <col min="10" max="10" width="20.140625" customWidth="1"/>
    <col min="13" max="13" width="36" customWidth="1"/>
  </cols>
  <sheetData>
    <row r="1" spans="1:10" ht="15.75" customHeight="1">
      <c r="A1" s="3" t="s">
        <v>10</v>
      </c>
      <c r="B1" s="3" t="s">
        <v>52</v>
      </c>
      <c r="C1" s="3" t="s">
        <v>53</v>
      </c>
      <c r="D1" s="3" t="s">
        <v>54</v>
      </c>
      <c r="E1" s="3" t="s">
        <v>55</v>
      </c>
      <c r="F1" s="3" t="s">
        <v>56</v>
      </c>
      <c r="G1" s="3" t="s">
        <v>57</v>
      </c>
      <c r="H1" s="3" t="s">
        <v>58</v>
      </c>
      <c r="I1" s="3" t="s">
        <v>23</v>
      </c>
      <c r="J1" s="3" t="s">
        <v>59</v>
      </c>
    </row>
    <row r="2" spans="1:10" ht="15.75" customHeight="1">
      <c r="A2">
        <v>22912234</v>
      </c>
      <c r="B2" s="4">
        <v>4</v>
      </c>
      <c r="C2" s="5" t="s">
        <v>60</v>
      </c>
      <c r="D2" s="1">
        <v>7</v>
      </c>
      <c r="E2" s="1">
        <v>9</v>
      </c>
      <c r="F2" s="94">
        <v>41119</v>
      </c>
      <c r="G2" s="3">
        <v>10</v>
      </c>
      <c r="H2" s="3" t="s">
        <v>61</v>
      </c>
      <c r="I2" s="6" t="s">
        <v>7</v>
      </c>
      <c r="J2" s="7" t="b">
        <v>1</v>
      </c>
    </row>
    <row r="3" spans="1:10" ht="15.75" customHeight="1">
      <c r="A3">
        <v>22912273</v>
      </c>
      <c r="B3" s="4">
        <v>6</v>
      </c>
      <c r="C3" s="5" t="s">
        <v>62</v>
      </c>
      <c r="D3" s="1">
        <v>1</v>
      </c>
      <c r="E3" s="1">
        <v>9</v>
      </c>
      <c r="F3" s="94">
        <v>39705</v>
      </c>
      <c r="G3" s="3">
        <v>14</v>
      </c>
      <c r="H3" s="3" t="s">
        <v>63</v>
      </c>
      <c r="I3" s="6" t="s">
        <v>7</v>
      </c>
      <c r="J3" s="7" t="b">
        <v>1</v>
      </c>
    </row>
    <row r="4" spans="1:10" ht="15.75" customHeight="1">
      <c r="A4">
        <v>22910308</v>
      </c>
      <c r="B4" s="4">
        <v>7</v>
      </c>
      <c r="C4" s="5" t="s">
        <v>60</v>
      </c>
      <c r="D4" s="1">
        <v>17</v>
      </c>
      <c r="E4" s="1"/>
      <c r="F4" s="94">
        <v>40448</v>
      </c>
      <c r="G4" s="5">
        <v>12</v>
      </c>
      <c r="H4" s="3" t="s">
        <v>61</v>
      </c>
      <c r="I4" s="6" t="s">
        <v>4</v>
      </c>
      <c r="J4" s="7" t="b">
        <v>1</v>
      </c>
    </row>
    <row r="5" spans="1:10" ht="15.75" customHeight="1">
      <c r="A5">
        <v>22911047</v>
      </c>
      <c r="B5" s="4">
        <v>8</v>
      </c>
      <c r="C5" s="5" t="s">
        <v>64</v>
      </c>
      <c r="D5" s="1">
        <v>15</v>
      </c>
      <c r="E5" s="1">
        <v>9</v>
      </c>
      <c r="F5" s="94">
        <v>41499</v>
      </c>
      <c r="G5" s="5">
        <v>9</v>
      </c>
      <c r="H5" s="3" t="s">
        <v>61</v>
      </c>
      <c r="I5" s="6" t="s">
        <v>7</v>
      </c>
      <c r="J5" s="7" t="b">
        <v>1</v>
      </c>
    </row>
    <row r="6" spans="1:10" ht="15.75" customHeight="1">
      <c r="A6">
        <v>22911143</v>
      </c>
      <c r="B6" s="4">
        <v>8</v>
      </c>
      <c r="C6" s="5" t="s">
        <v>60</v>
      </c>
      <c r="D6" s="1">
        <v>7</v>
      </c>
      <c r="E6" s="1"/>
      <c r="F6" s="94">
        <v>38036</v>
      </c>
      <c r="G6" s="3">
        <v>18</v>
      </c>
      <c r="H6" s="3" t="s">
        <v>61</v>
      </c>
      <c r="I6" s="6" t="s">
        <v>8</v>
      </c>
      <c r="J6" s="7" t="b">
        <v>1</v>
      </c>
    </row>
    <row r="7" spans="1:10" ht="15.75" customHeight="1">
      <c r="A7">
        <v>22913229</v>
      </c>
      <c r="B7" s="4">
        <v>6</v>
      </c>
      <c r="C7" s="5" t="s">
        <v>60</v>
      </c>
      <c r="D7" s="1">
        <v>9</v>
      </c>
      <c r="E7" s="1"/>
      <c r="F7" s="94">
        <v>41962</v>
      </c>
      <c r="G7" s="3">
        <v>8</v>
      </c>
      <c r="H7" s="3" t="s">
        <v>61</v>
      </c>
      <c r="I7" s="6" t="s">
        <v>6</v>
      </c>
      <c r="J7" s="7" t="b">
        <v>1</v>
      </c>
    </row>
    <row r="8" spans="1:10" ht="15.75" customHeight="1">
      <c r="A8">
        <v>22913229</v>
      </c>
      <c r="B8" s="4">
        <v>6</v>
      </c>
      <c r="C8" s="5" t="s">
        <v>62</v>
      </c>
      <c r="D8" s="1">
        <v>15</v>
      </c>
      <c r="E8" s="1">
        <v>9</v>
      </c>
      <c r="F8" s="94">
        <v>38877</v>
      </c>
      <c r="G8" s="3">
        <v>16</v>
      </c>
      <c r="H8" s="3" t="s">
        <v>63</v>
      </c>
      <c r="I8" s="6" t="s">
        <v>7</v>
      </c>
      <c r="J8" s="7" t="b">
        <v>1</v>
      </c>
    </row>
    <row r="9" spans="1:10" ht="15.75" customHeight="1">
      <c r="A9">
        <v>22913229</v>
      </c>
      <c r="B9" s="4">
        <v>6</v>
      </c>
      <c r="C9" s="5" t="s">
        <v>62</v>
      </c>
      <c r="D9" s="1">
        <v>11</v>
      </c>
      <c r="E9" s="1">
        <v>9</v>
      </c>
      <c r="F9" s="94">
        <v>42046</v>
      </c>
      <c r="G9" s="3">
        <v>7</v>
      </c>
      <c r="H9" s="3" t="s">
        <v>63</v>
      </c>
      <c r="I9" s="6" t="s">
        <v>7</v>
      </c>
      <c r="J9" s="7" t="b">
        <v>1</v>
      </c>
    </row>
    <row r="10" spans="1:10" ht="15.75" customHeight="1">
      <c r="A10">
        <v>22914091</v>
      </c>
      <c r="B10" s="4">
        <v>4</v>
      </c>
      <c r="C10" s="5" t="s">
        <v>60</v>
      </c>
      <c r="D10" s="1">
        <v>7</v>
      </c>
      <c r="E10" s="1"/>
      <c r="F10" s="94">
        <v>40057</v>
      </c>
      <c r="G10" s="3">
        <v>13</v>
      </c>
      <c r="H10" s="3" t="s">
        <v>61</v>
      </c>
      <c r="I10" s="6" t="s">
        <v>7</v>
      </c>
      <c r="J10" s="7" t="b">
        <v>1</v>
      </c>
    </row>
    <row r="11" spans="1:10" ht="15.75" customHeight="1">
      <c r="A11">
        <v>22915224</v>
      </c>
      <c r="B11" s="4">
        <v>4</v>
      </c>
      <c r="C11" s="5" t="s">
        <v>65</v>
      </c>
      <c r="D11" s="1">
        <v>15</v>
      </c>
      <c r="E11" s="1">
        <v>9</v>
      </c>
      <c r="F11" s="94">
        <v>40554</v>
      </c>
      <c r="G11" s="3">
        <v>11</v>
      </c>
      <c r="H11" s="3" t="s">
        <v>63</v>
      </c>
      <c r="I11" s="6" t="s">
        <v>7</v>
      </c>
      <c r="J11" s="7" t="b">
        <v>1</v>
      </c>
    </row>
    <row r="12" spans="1:10" ht="15.75" customHeight="1">
      <c r="A12">
        <v>22912405</v>
      </c>
      <c r="B12" s="4">
        <v>5</v>
      </c>
      <c r="C12" s="5" t="s">
        <v>60</v>
      </c>
      <c r="D12" s="1">
        <v>7</v>
      </c>
      <c r="E12" s="1"/>
      <c r="F12" s="94">
        <v>38841</v>
      </c>
      <c r="G12" s="3">
        <v>16</v>
      </c>
      <c r="H12" s="3" t="s">
        <v>61</v>
      </c>
      <c r="I12" s="6" t="s">
        <v>7</v>
      </c>
      <c r="J12" s="7" t="b">
        <v>1</v>
      </c>
    </row>
    <row r="13" spans="1:10" ht="15.75" customHeight="1">
      <c r="A13">
        <v>22908743</v>
      </c>
      <c r="B13" s="4">
        <v>11</v>
      </c>
      <c r="C13" s="5" t="s">
        <v>60</v>
      </c>
      <c r="D13" s="1">
        <v>7</v>
      </c>
      <c r="E13" s="1"/>
      <c r="F13" s="94">
        <v>39405</v>
      </c>
      <c r="G13" s="3">
        <v>15</v>
      </c>
      <c r="H13" s="3" t="s">
        <v>61</v>
      </c>
      <c r="I13" s="9" t="s">
        <v>4</v>
      </c>
      <c r="J13" s="7" t="b">
        <v>1</v>
      </c>
    </row>
    <row r="14" spans="1:10" ht="15.75" customHeight="1">
      <c r="A14">
        <v>22909622</v>
      </c>
      <c r="B14" s="4">
        <v>10</v>
      </c>
      <c r="C14" s="5" t="s">
        <v>60</v>
      </c>
      <c r="D14" s="1">
        <v>7</v>
      </c>
      <c r="E14" s="1"/>
      <c r="F14" s="94">
        <v>39252</v>
      </c>
      <c r="G14" s="3">
        <v>15</v>
      </c>
      <c r="H14" s="3" t="s">
        <v>61</v>
      </c>
      <c r="I14" s="6" t="s">
        <v>7</v>
      </c>
      <c r="J14" s="7" t="b">
        <v>1</v>
      </c>
    </row>
    <row r="15" spans="1:10" ht="15.75" customHeight="1">
      <c r="A15">
        <v>22909622</v>
      </c>
      <c r="B15" s="4">
        <v>10</v>
      </c>
      <c r="C15" s="5" t="s">
        <v>64</v>
      </c>
      <c r="D15" s="1">
        <v>2</v>
      </c>
      <c r="E15" s="1"/>
      <c r="F15" s="94">
        <v>42772</v>
      </c>
      <c r="G15" s="5">
        <v>5</v>
      </c>
      <c r="H15" s="3" t="s">
        <v>63</v>
      </c>
      <c r="I15" s="6" t="s">
        <v>7</v>
      </c>
      <c r="J15" s="7" t="b">
        <v>1</v>
      </c>
    </row>
    <row r="16" spans="1:10" ht="15.75" customHeight="1">
      <c r="A16">
        <v>22909622</v>
      </c>
      <c r="B16" s="4">
        <v>10</v>
      </c>
      <c r="C16" s="5" t="s">
        <v>60</v>
      </c>
      <c r="D16" s="1">
        <v>9</v>
      </c>
      <c r="E16" s="1"/>
      <c r="F16" s="94">
        <v>42075</v>
      </c>
      <c r="G16" s="3">
        <v>7</v>
      </c>
      <c r="H16" s="3" t="s">
        <v>63</v>
      </c>
      <c r="I16" s="6" t="s">
        <v>4</v>
      </c>
      <c r="J16" s="7" t="b">
        <v>1</v>
      </c>
    </row>
    <row r="17" spans="1:10" ht="15.75" customHeight="1">
      <c r="A17">
        <v>22910242</v>
      </c>
      <c r="B17" s="4">
        <v>8</v>
      </c>
      <c r="C17" s="5" t="s">
        <v>60</v>
      </c>
      <c r="D17" s="1">
        <v>9</v>
      </c>
      <c r="E17" s="1"/>
      <c r="F17" s="94">
        <v>39977</v>
      </c>
      <c r="G17" s="3">
        <v>13</v>
      </c>
      <c r="H17" s="3" t="s">
        <v>63</v>
      </c>
      <c r="I17" s="6" t="s">
        <v>7</v>
      </c>
      <c r="J17" s="7" t="b">
        <v>1</v>
      </c>
    </row>
    <row r="18" spans="1:10" ht="15.75" customHeight="1">
      <c r="A18">
        <v>22910242</v>
      </c>
      <c r="B18" s="4">
        <v>8</v>
      </c>
      <c r="C18" s="5" t="s">
        <v>60</v>
      </c>
      <c r="D18" s="1">
        <v>7</v>
      </c>
      <c r="E18" s="1">
        <v>9</v>
      </c>
      <c r="F18" s="94">
        <v>41740</v>
      </c>
      <c r="G18" s="5">
        <v>8</v>
      </c>
      <c r="H18" s="3" t="s">
        <v>63</v>
      </c>
      <c r="I18" s="6" t="s">
        <v>6</v>
      </c>
      <c r="J18" s="7" t="b">
        <v>1</v>
      </c>
    </row>
    <row r="19" spans="1:10" ht="15.75" customHeight="1">
      <c r="A19">
        <v>22909544</v>
      </c>
      <c r="B19" s="4">
        <v>9</v>
      </c>
      <c r="C19" s="5" t="s">
        <v>60</v>
      </c>
      <c r="D19" s="1">
        <v>7</v>
      </c>
      <c r="E19" s="1"/>
      <c r="F19" s="94">
        <v>41312</v>
      </c>
      <c r="G19" s="5">
        <v>9</v>
      </c>
      <c r="H19" s="3" t="s">
        <v>61</v>
      </c>
      <c r="I19" s="6" t="s">
        <v>7</v>
      </c>
      <c r="J19" s="7" t="b">
        <v>1</v>
      </c>
    </row>
    <row r="20" spans="1:10" ht="15.75" customHeight="1">
      <c r="A20">
        <v>22907674</v>
      </c>
      <c r="B20" s="4">
        <v>10</v>
      </c>
      <c r="C20" s="5" t="s">
        <v>60</v>
      </c>
      <c r="D20" s="1">
        <v>9</v>
      </c>
      <c r="E20" s="1"/>
      <c r="F20" s="94">
        <v>39734</v>
      </c>
      <c r="G20" s="3">
        <v>14</v>
      </c>
      <c r="H20" s="3" t="s">
        <v>61</v>
      </c>
      <c r="I20" s="6" t="s">
        <v>7</v>
      </c>
      <c r="J20" s="7" t="b">
        <v>1</v>
      </c>
    </row>
    <row r="21" spans="1:10" ht="15.75" customHeight="1">
      <c r="A21">
        <v>22907674</v>
      </c>
      <c r="B21" s="4">
        <v>10</v>
      </c>
      <c r="C21" s="5" t="s">
        <v>60</v>
      </c>
      <c r="D21" s="1">
        <v>7</v>
      </c>
      <c r="E21" s="1"/>
      <c r="F21" s="94">
        <v>41351</v>
      </c>
      <c r="G21" s="5">
        <v>9</v>
      </c>
      <c r="H21" s="3" t="s">
        <v>61</v>
      </c>
      <c r="I21" s="6" t="s">
        <v>4</v>
      </c>
      <c r="J21" s="7" t="b">
        <v>1</v>
      </c>
    </row>
    <row r="22" spans="1:10" ht="15.75" customHeight="1">
      <c r="A22">
        <v>22907674</v>
      </c>
      <c r="B22" s="4">
        <v>10</v>
      </c>
      <c r="C22" s="5" t="s">
        <v>60</v>
      </c>
      <c r="D22" s="1">
        <v>7</v>
      </c>
      <c r="E22" s="1"/>
      <c r="F22" s="94">
        <v>40686</v>
      </c>
      <c r="G22" s="3">
        <v>11</v>
      </c>
      <c r="H22" s="5" t="s">
        <v>61</v>
      </c>
      <c r="I22" s="6" t="s">
        <v>7</v>
      </c>
      <c r="J22" s="7" t="b">
        <v>1</v>
      </c>
    </row>
    <row r="23" spans="1:10" ht="14.45">
      <c r="A23">
        <v>22910117</v>
      </c>
      <c r="B23" s="4">
        <v>7</v>
      </c>
      <c r="C23" s="5" t="s">
        <v>60</v>
      </c>
      <c r="D23" s="1">
        <v>15</v>
      </c>
      <c r="E23" s="1">
        <v>9</v>
      </c>
      <c r="F23" s="94">
        <v>41228</v>
      </c>
      <c r="G23" s="3">
        <v>10</v>
      </c>
      <c r="H23" s="3" t="s">
        <v>63</v>
      </c>
      <c r="I23" s="6" t="s">
        <v>6</v>
      </c>
      <c r="J23" s="7" t="b">
        <v>1</v>
      </c>
    </row>
    <row r="24" spans="1:10" ht="14.45">
      <c r="A24">
        <v>22910249</v>
      </c>
      <c r="B24" s="4">
        <v>9</v>
      </c>
      <c r="C24" s="5" t="s">
        <v>60</v>
      </c>
      <c r="D24" s="1">
        <v>7</v>
      </c>
      <c r="E24" s="1"/>
      <c r="F24" s="94">
        <v>38231</v>
      </c>
      <c r="G24" s="3">
        <v>18</v>
      </c>
      <c r="H24" s="3" t="s">
        <v>61</v>
      </c>
      <c r="I24" s="6" t="s">
        <v>4</v>
      </c>
      <c r="J24" s="7" t="b">
        <v>1</v>
      </c>
    </row>
    <row r="25" spans="1:10" ht="14.45">
      <c r="A25">
        <v>22910249</v>
      </c>
      <c r="B25" s="4">
        <v>9</v>
      </c>
      <c r="C25" s="5" t="s">
        <v>64</v>
      </c>
      <c r="D25" s="1">
        <v>15</v>
      </c>
      <c r="E25" s="1">
        <v>9</v>
      </c>
      <c r="F25" s="94">
        <v>39377</v>
      </c>
      <c r="G25" s="3">
        <v>15</v>
      </c>
      <c r="H25" s="3" t="s">
        <v>63</v>
      </c>
      <c r="I25" s="6" t="s">
        <v>7</v>
      </c>
      <c r="J25" s="7" t="b">
        <v>1</v>
      </c>
    </row>
    <row r="26" spans="1:10" ht="14.45">
      <c r="A26">
        <v>22910249</v>
      </c>
      <c r="B26" s="4">
        <v>9</v>
      </c>
      <c r="C26" s="5" t="s">
        <v>65</v>
      </c>
      <c r="D26" s="1">
        <v>3</v>
      </c>
      <c r="E26" s="1"/>
      <c r="F26" s="94">
        <v>40442</v>
      </c>
      <c r="G26" s="3">
        <v>12</v>
      </c>
      <c r="H26" s="3" t="s">
        <v>63</v>
      </c>
      <c r="I26" s="6" t="s">
        <v>7</v>
      </c>
      <c r="J26" s="7" t="b">
        <v>1</v>
      </c>
    </row>
    <row r="27" spans="1:10" ht="14.45">
      <c r="A27">
        <v>22911003</v>
      </c>
      <c r="B27" s="4">
        <v>7</v>
      </c>
      <c r="C27" s="5" t="s">
        <v>60</v>
      </c>
      <c r="D27" s="1">
        <v>9</v>
      </c>
      <c r="E27" s="1"/>
      <c r="F27" s="94">
        <v>41994</v>
      </c>
      <c r="G27" s="5">
        <v>7</v>
      </c>
      <c r="H27" s="3" t="s">
        <v>63</v>
      </c>
      <c r="I27" s="6" t="s">
        <v>4</v>
      </c>
      <c r="J27" s="7" t="b">
        <v>1</v>
      </c>
    </row>
    <row r="28" spans="1:10" ht="14.45">
      <c r="A28">
        <v>22911003</v>
      </c>
      <c r="B28" s="4">
        <v>7</v>
      </c>
      <c r="C28" s="5" t="s">
        <v>65</v>
      </c>
      <c r="D28" s="1">
        <v>10</v>
      </c>
      <c r="E28" s="1"/>
      <c r="F28" s="94">
        <v>40400</v>
      </c>
      <c r="G28" s="5">
        <v>12</v>
      </c>
      <c r="H28" s="3" t="s">
        <v>63</v>
      </c>
      <c r="I28" s="6" t="s">
        <v>7</v>
      </c>
      <c r="J28" s="7" t="b">
        <v>1</v>
      </c>
    </row>
    <row r="29" spans="1:10" ht="14.45">
      <c r="A29">
        <v>22911003</v>
      </c>
      <c r="B29" s="4">
        <v>7</v>
      </c>
      <c r="C29" s="5" t="s">
        <v>60</v>
      </c>
      <c r="D29" s="1">
        <v>17</v>
      </c>
      <c r="E29" s="1"/>
      <c r="F29" s="94">
        <v>39819</v>
      </c>
      <c r="G29" s="3">
        <v>13</v>
      </c>
      <c r="H29" s="3" t="s">
        <v>61</v>
      </c>
      <c r="I29" s="6" t="s">
        <v>7</v>
      </c>
      <c r="J29" s="7" t="b">
        <v>1</v>
      </c>
    </row>
    <row r="30" spans="1:10" ht="14.45">
      <c r="A30">
        <v>22911003</v>
      </c>
      <c r="B30" s="4">
        <v>7</v>
      </c>
      <c r="C30" s="5" t="s">
        <v>60</v>
      </c>
      <c r="D30" s="1">
        <v>7</v>
      </c>
      <c r="E30" s="1"/>
      <c r="F30" s="94">
        <v>39855</v>
      </c>
      <c r="G30" s="5">
        <v>13</v>
      </c>
      <c r="H30" s="3" t="s">
        <v>61</v>
      </c>
      <c r="I30" s="6" t="s">
        <v>7</v>
      </c>
      <c r="J30" s="7" t="b">
        <v>1</v>
      </c>
    </row>
    <row r="31" spans="1:10" ht="14.45">
      <c r="A31">
        <v>22911003</v>
      </c>
      <c r="B31" s="4">
        <v>7</v>
      </c>
      <c r="C31" s="5" t="s">
        <v>62</v>
      </c>
      <c r="D31" s="1">
        <v>15</v>
      </c>
      <c r="E31" s="1">
        <v>9</v>
      </c>
      <c r="F31" s="94">
        <v>39300</v>
      </c>
      <c r="G31" s="3">
        <v>15</v>
      </c>
      <c r="H31" s="3" t="s">
        <v>61</v>
      </c>
      <c r="I31" s="6" t="s">
        <v>7</v>
      </c>
      <c r="J31" s="7" t="b">
        <v>1</v>
      </c>
    </row>
    <row r="32" spans="1:10" ht="14.45">
      <c r="A32">
        <v>22911058</v>
      </c>
      <c r="B32" s="4">
        <v>7</v>
      </c>
      <c r="C32" s="5" t="s">
        <v>60</v>
      </c>
      <c r="D32" s="1">
        <v>5</v>
      </c>
      <c r="E32" s="1">
        <v>17</v>
      </c>
      <c r="F32" s="94">
        <v>39434</v>
      </c>
      <c r="G32" s="3">
        <v>14</v>
      </c>
      <c r="H32" s="3" t="s">
        <v>63</v>
      </c>
      <c r="I32" s="6" t="s">
        <v>7</v>
      </c>
      <c r="J32" s="7" t="b">
        <v>1</v>
      </c>
    </row>
    <row r="33" spans="1:10" ht="14.45">
      <c r="A33">
        <v>22911058</v>
      </c>
      <c r="B33" s="4">
        <v>7</v>
      </c>
      <c r="C33" s="5" t="s">
        <v>60</v>
      </c>
      <c r="D33" s="1">
        <v>5</v>
      </c>
      <c r="E33" s="1"/>
      <c r="F33" s="94">
        <v>39835</v>
      </c>
      <c r="G33" s="3">
        <v>13</v>
      </c>
      <c r="H33" s="3" t="s">
        <v>63</v>
      </c>
      <c r="I33" s="6" t="s">
        <v>7</v>
      </c>
      <c r="J33" s="7" t="b">
        <v>1</v>
      </c>
    </row>
    <row r="34" spans="1:10" ht="14.45">
      <c r="A34">
        <v>22912064</v>
      </c>
      <c r="B34" s="4">
        <v>7</v>
      </c>
      <c r="C34" s="5" t="s">
        <v>60</v>
      </c>
      <c r="D34" s="1">
        <v>9</v>
      </c>
      <c r="E34" s="1"/>
      <c r="F34" s="94">
        <v>40382</v>
      </c>
      <c r="G34" s="5">
        <v>12</v>
      </c>
      <c r="H34" s="3" t="s">
        <v>61</v>
      </c>
      <c r="I34" s="6" t="s">
        <v>7</v>
      </c>
      <c r="J34" s="7" t="b">
        <v>1</v>
      </c>
    </row>
    <row r="35" spans="1:10" ht="14.45">
      <c r="A35">
        <v>22912064</v>
      </c>
      <c r="B35" s="4">
        <v>7</v>
      </c>
      <c r="C35" s="5" t="s">
        <v>60</v>
      </c>
      <c r="D35" s="1">
        <v>7</v>
      </c>
      <c r="E35" s="1"/>
      <c r="F35" s="94">
        <v>39674</v>
      </c>
      <c r="G35" s="3">
        <v>14</v>
      </c>
      <c r="H35" s="3" t="s">
        <v>61</v>
      </c>
      <c r="I35" s="6" t="s">
        <v>6</v>
      </c>
      <c r="J35" s="7" t="b">
        <v>1</v>
      </c>
    </row>
    <row r="36" spans="1:10" ht="14.45">
      <c r="A36">
        <v>22912064</v>
      </c>
      <c r="B36" s="4">
        <v>7</v>
      </c>
      <c r="C36" s="5" t="s">
        <v>60</v>
      </c>
      <c r="D36" s="1">
        <v>7</v>
      </c>
      <c r="E36" s="1"/>
      <c r="F36" s="94">
        <v>41259</v>
      </c>
      <c r="G36" s="3">
        <v>9</v>
      </c>
      <c r="H36" s="3" t="s">
        <v>61</v>
      </c>
      <c r="I36" s="6" t="s">
        <v>7</v>
      </c>
      <c r="J36" s="7" t="b">
        <v>1</v>
      </c>
    </row>
    <row r="37" spans="1:10" ht="14.45">
      <c r="A37">
        <v>22912064</v>
      </c>
      <c r="B37" s="4">
        <v>7</v>
      </c>
      <c r="C37" s="5" t="s">
        <v>60</v>
      </c>
      <c r="D37" s="1">
        <v>17</v>
      </c>
      <c r="E37" s="1"/>
      <c r="F37" s="94">
        <v>41069</v>
      </c>
      <c r="G37" s="5">
        <v>10</v>
      </c>
      <c r="H37" s="3" t="s">
        <v>63</v>
      </c>
      <c r="I37" s="6" t="s">
        <v>7</v>
      </c>
      <c r="J37" s="7" t="b">
        <v>1</v>
      </c>
    </row>
    <row r="38" spans="1:10" ht="14.45">
      <c r="A38">
        <v>22908533</v>
      </c>
      <c r="B38" s="4">
        <v>9</v>
      </c>
      <c r="C38" s="5" t="s">
        <v>60</v>
      </c>
      <c r="D38" s="1">
        <v>17</v>
      </c>
      <c r="E38" s="1"/>
      <c r="F38" s="94">
        <v>41453</v>
      </c>
      <c r="G38" s="3">
        <v>9</v>
      </c>
      <c r="H38" s="3" t="s">
        <v>63</v>
      </c>
      <c r="I38" s="9" t="s">
        <v>7</v>
      </c>
      <c r="J38" s="7" t="b">
        <v>1</v>
      </c>
    </row>
    <row r="39" spans="1:10" ht="14.45">
      <c r="A39">
        <v>22908533</v>
      </c>
      <c r="B39" s="4">
        <v>9</v>
      </c>
      <c r="C39" s="5" t="s">
        <v>60</v>
      </c>
      <c r="D39" s="1">
        <v>7</v>
      </c>
      <c r="E39" s="1"/>
      <c r="F39" s="94">
        <v>39450</v>
      </c>
      <c r="G39" s="3">
        <v>14</v>
      </c>
      <c r="H39" s="3" t="s">
        <v>61</v>
      </c>
      <c r="I39" s="6" t="s">
        <v>7</v>
      </c>
      <c r="J39" s="7" t="b">
        <v>1</v>
      </c>
    </row>
    <row r="40" spans="1:10" ht="14.45">
      <c r="A40">
        <v>22911142</v>
      </c>
      <c r="B40" s="4">
        <v>9</v>
      </c>
      <c r="C40" s="5" t="s">
        <v>60</v>
      </c>
      <c r="D40" s="1">
        <v>17</v>
      </c>
      <c r="E40" s="1"/>
      <c r="F40" s="94">
        <v>40486</v>
      </c>
      <c r="G40" s="5">
        <v>12</v>
      </c>
      <c r="H40" s="3" t="s">
        <v>63</v>
      </c>
      <c r="I40" s="6" t="s">
        <v>7</v>
      </c>
      <c r="J40" s="7" t="b">
        <v>1</v>
      </c>
    </row>
    <row r="41" spans="1:10" ht="14.45">
      <c r="A41" s="8">
        <v>22909541</v>
      </c>
      <c r="B41" s="4">
        <v>9</v>
      </c>
      <c r="C41" s="5" t="s">
        <v>60</v>
      </c>
      <c r="D41" s="1">
        <v>9</v>
      </c>
      <c r="E41" s="1"/>
      <c r="F41" s="94">
        <v>41108</v>
      </c>
      <c r="G41" s="3">
        <v>10</v>
      </c>
      <c r="H41" s="3" t="s">
        <v>63</v>
      </c>
      <c r="I41" s="6" t="s">
        <v>7</v>
      </c>
      <c r="J41" s="7" t="b">
        <v>1</v>
      </c>
    </row>
    <row r="42" spans="1:10" ht="14.45">
      <c r="A42">
        <v>22910715</v>
      </c>
      <c r="B42" s="4">
        <v>9</v>
      </c>
      <c r="C42" s="5" t="s">
        <v>60</v>
      </c>
      <c r="D42" s="1">
        <v>17</v>
      </c>
      <c r="E42" s="1"/>
      <c r="F42" s="94">
        <v>41233</v>
      </c>
      <c r="G42" s="3">
        <v>10</v>
      </c>
      <c r="H42" s="5" t="s">
        <v>61</v>
      </c>
      <c r="I42" s="9" t="s">
        <v>7</v>
      </c>
      <c r="J42" s="7" t="b">
        <v>1</v>
      </c>
    </row>
    <row r="43" spans="1:10" ht="14.45">
      <c r="A43">
        <v>22910790</v>
      </c>
      <c r="B43" s="4">
        <v>9</v>
      </c>
      <c r="C43" s="5" t="s">
        <v>60</v>
      </c>
      <c r="D43" s="1">
        <v>17</v>
      </c>
      <c r="E43" s="1"/>
      <c r="F43" s="94">
        <v>39315</v>
      </c>
      <c r="G43" s="5">
        <v>15</v>
      </c>
      <c r="H43" s="3" t="s">
        <v>63</v>
      </c>
      <c r="I43" s="6" t="s">
        <v>7</v>
      </c>
      <c r="J43" s="7" t="b">
        <v>1</v>
      </c>
    </row>
    <row r="44" spans="1:10" ht="14.45">
      <c r="A44">
        <v>22907599</v>
      </c>
      <c r="B44" s="4">
        <v>11</v>
      </c>
      <c r="C44" s="5" t="s">
        <v>60</v>
      </c>
      <c r="D44" s="1">
        <v>15</v>
      </c>
      <c r="E44" s="1">
        <v>9</v>
      </c>
      <c r="F44" s="94">
        <v>41229</v>
      </c>
      <c r="G44" s="3">
        <v>10</v>
      </c>
      <c r="H44" s="3" t="s">
        <v>63</v>
      </c>
      <c r="I44" s="6" t="s">
        <v>7</v>
      </c>
      <c r="J44" s="7" t="b">
        <v>1</v>
      </c>
    </row>
    <row r="45" spans="1:10" ht="14.45">
      <c r="A45">
        <v>22911035</v>
      </c>
      <c r="B45" s="4">
        <v>9</v>
      </c>
      <c r="C45" s="5" t="s">
        <v>60</v>
      </c>
      <c r="D45" s="1">
        <v>17</v>
      </c>
      <c r="E45" s="1"/>
      <c r="F45" s="94">
        <v>39387</v>
      </c>
      <c r="G45" s="3">
        <v>15</v>
      </c>
      <c r="H45" s="3" t="s">
        <v>63</v>
      </c>
      <c r="I45" s="6" t="s">
        <v>7</v>
      </c>
      <c r="J45" s="7" t="b">
        <v>1</v>
      </c>
    </row>
    <row r="46" spans="1:10" ht="14.45">
      <c r="A46">
        <v>22907679</v>
      </c>
      <c r="B46" s="4">
        <v>11</v>
      </c>
      <c r="C46" s="5" t="s">
        <v>60</v>
      </c>
      <c r="D46" s="1">
        <v>6</v>
      </c>
      <c r="E46" s="1">
        <v>17</v>
      </c>
      <c r="F46" s="94">
        <v>40950</v>
      </c>
      <c r="G46" s="3">
        <v>10</v>
      </c>
      <c r="H46" s="3" t="s">
        <v>63</v>
      </c>
      <c r="I46" s="6" t="s">
        <v>7</v>
      </c>
      <c r="J46" s="7" t="b">
        <v>1</v>
      </c>
    </row>
    <row r="47" spans="1:10" ht="14.45">
      <c r="A47">
        <v>22909528</v>
      </c>
      <c r="B47" s="4">
        <v>9</v>
      </c>
      <c r="C47" s="5" t="s">
        <v>60</v>
      </c>
      <c r="D47" s="1">
        <v>17</v>
      </c>
      <c r="E47" s="1"/>
      <c r="F47" s="94">
        <v>40616</v>
      </c>
      <c r="G47" s="5">
        <v>11</v>
      </c>
      <c r="H47" s="3" t="s">
        <v>61</v>
      </c>
      <c r="I47" s="6" t="s">
        <v>7</v>
      </c>
      <c r="J47" s="7" t="b">
        <v>1</v>
      </c>
    </row>
    <row r="48" spans="1:10" ht="14.45">
      <c r="A48">
        <v>22909628</v>
      </c>
      <c r="B48" s="4">
        <v>9</v>
      </c>
      <c r="C48" s="5" t="s">
        <v>60</v>
      </c>
      <c r="D48" s="1">
        <v>7</v>
      </c>
      <c r="E48" s="1"/>
      <c r="F48" s="94">
        <v>38559</v>
      </c>
      <c r="G48" s="3">
        <v>17</v>
      </c>
      <c r="H48" s="3" t="s">
        <v>63</v>
      </c>
      <c r="I48" s="6" t="s">
        <v>6</v>
      </c>
      <c r="J48" s="7" t="b">
        <v>1</v>
      </c>
    </row>
    <row r="49" spans="1:10" ht="14.45">
      <c r="A49">
        <v>22910276</v>
      </c>
      <c r="B49" s="4">
        <v>7</v>
      </c>
      <c r="C49" s="5" t="s">
        <v>62</v>
      </c>
      <c r="D49" s="1">
        <v>1</v>
      </c>
      <c r="E49" s="1">
        <v>9</v>
      </c>
      <c r="F49" s="94">
        <v>40625</v>
      </c>
      <c r="G49" s="5">
        <v>11</v>
      </c>
      <c r="H49" s="3" t="s">
        <v>61</v>
      </c>
      <c r="I49" s="6" t="s">
        <v>7</v>
      </c>
      <c r="J49" s="7" t="b">
        <v>1</v>
      </c>
    </row>
    <row r="50" spans="1:10" ht="14.45">
      <c r="A50">
        <v>22910543</v>
      </c>
      <c r="B50" s="4">
        <v>9</v>
      </c>
      <c r="C50" s="5" t="s">
        <v>60</v>
      </c>
      <c r="D50" s="1">
        <v>7</v>
      </c>
      <c r="E50" s="1"/>
      <c r="F50" s="94">
        <v>40175</v>
      </c>
      <c r="G50" s="3">
        <v>12</v>
      </c>
      <c r="H50" s="3" t="s">
        <v>63</v>
      </c>
      <c r="I50" s="6" t="s">
        <v>7</v>
      </c>
      <c r="J50" s="7" t="b">
        <v>1</v>
      </c>
    </row>
    <row r="51" spans="1:10" ht="14.45">
      <c r="A51">
        <v>22910742</v>
      </c>
      <c r="B51" s="4">
        <v>9</v>
      </c>
      <c r="C51" s="5" t="s">
        <v>60</v>
      </c>
      <c r="D51" s="1">
        <v>7</v>
      </c>
      <c r="E51" s="1">
        <v>9</v>
      </c>
      <c r="F51" s="94">
        <v>40961</v>
      </c>
      <c r="G51" s="3">
        <v>10</v>
      </c>
      <c r="H51" s="5" t="s">
        <v>63</v>
      </c>
      <c r="I51" s="6" t="s">
        <v>7</v>
      </c>
      <c r="J51" s="7" t="b">
        <v>1</v>
      </c>
    </row>
    <row r="52" spans="1:10" ht="14.45">
      <c r="A52">
        <v>22910742</v>
      </c>
      <c r="B52" s="4">
        <v>9</v>
      </c>
      <c r="C52" s="5" t="s">
        <v>60</v>
      </c>
      <c r="D52" s="1">
        <v>7</v>
      </c>
      <c r="E52" s="1"/>
      <c r="F52" s="94">
        <v>38454</v>
      </c>
      <c r="G52" s="3">
        <v>17</v>
      </c>
      <c r="H52" s="3" t="s">
        <v>63</v>
      </c>
      <c r="I52" s="6" t="s">
        <v>7</v>
      </c>
      <c r="J52" s="7" t="b">
        <v>1</v>
      </c>
    </row>
    <row r="53" spans="1:10" ht="14.45">
      <c r="A53">
        <v>22910742</v>
      </c>
      <c r="B53" s="4">
        <v>9</v>
      </c>
      <c r="C53" s="5" t="s">
        <v>60</v>
      </c>
      <c r="D53" s="1">
        <v>5</v>
      </c>
      <c r="E53" s="1"/>
      <c r="F53" s="94">
        <v>39353</v>
      </c>
      <c r="G53" s="3">
        <v>15</v>
      </c>
      <c r="H53" s="3" t="s">
        <v>61</v>
      </c>
      <c r="I53" s="6" t="s">
        <v>7</v>
      </c>
      <c r="J53" s="7" t="b">
        <v>1</v>
      </c>
    </row>
    <row r="54" spans="1:10" ht="14.45">
      <c r="A54">
        <v>22910742</v>
      </c>
      <c r="B54" s="4">
        <v>9</v>
      </c>
      <c r="C54" s="5" t="s">
        <v>60</v>
      </c>
      <c r="D54" s="1">
        <v>10</v>
      </c>
      <c r="E54" s="1">
        <v>9</v>
      </c>
      <c r="F54" s="94">
        <v>41221</v>
      </c>
      <c r="G54" s="3">
        <v>10</v>
      </c>
      <c r="H54" s="3" t="s">
        <v>61</v>
      </c>
      <c r="I54" s="6" t="s">
        <v>7</v>
      </c>
      <c r="J54" s="7" t="b">
        <v>1</v>
      </c>
    </row>
    <row r="55" spans="1:10" ht="14.45">
      <c r="A55">
        <v>22911143</v>
      </c>
      <c r="B55" s="4">
        <v>8</v>
      </c>
      <c r="C55" s="5" t="s">
        <v>60</v>
      </c>
      <c r="D55" s="1">
        <v>7</v>
      </c>
      <c r="E55" s="1"/>
      <c r="F55" s="94">
        <v>39410</v>
      </c>
      <c r="G55" s="3">
        <v>15</v>
      </c>
      <c r="H55" s="3" t="s">
        <v>63</v>
      </c>
      <c r="I55" s="6" t="s">
        <v>7</v>
      </c>
      <c r="J55" s="7" t="b">
        <v>1</v>
      </c>
    </row>
    <row r="56" spans="1:10" ht="14.45">
      <c r="A56">
        <v>22911143</v>
      </c>
      <c r="B56" s="4">
        <v>8</v>
      </c>
      <c r="C56" s="5" t="s">
        <v>60</v>
      </c>
      <c r="D56" s="1">
        <v>7</v>
      </c>
      <c r="E56" s="1"/>
      <c r="F56" s="94">
        <v>39690</v>
      </c>
      <c r="G56" s="5">
        <v>14</v>
      </c>
      <c r="H56" s="3" t="s">
        <v>61</v>
      </c>
      <c r="I56" s="6" t="s">
        <v>7</v>
      </c>
      <c r="J56" s="7" t="b">
        <v>1</v>
      </c>
    </row>
    <row r="57" spans="1:10" ht="14.45">
      <c r="A57">
        <v>22911143</v>
      </c>
      <c r="B57" s="4">
        <v>8</v>
      </c>
      <c r="C57" s="5" t="s">
        <v>60</v>
      </c>
      <c r="D57" s="1">
        <v>17</v>
      </c>
      <c r="E57" s="1"/>
      <c r="F57" s="94">
        <v>39440</v>
      </c>
      <c r="G57" s="3">
        <v>14</v>
      </c>
      <c r="H57" s="3" t="s">
        <v>63</v>
      </c>
      <c r="I57" s="6" t="s">
        <v>7</v>
      </c>
      <c r="J57" s="7" t="b">
        <v>1</v>
      </c>
    </row>
    <row r="58" spans="1:10" ht="14.45">
      <c r="A58">
        <v>22911143</v>
      </c>
      <c r="B58" s="4">
        <v>8</v>
      </c>
      <c r="C58" s="5" t="s">
        <v>60</v>
      </c>
      <c r="D58" s="1">
        <v>8</v>
      </c>
      <c r="E58" s="1">
        <v>9</v>
      </c>
      <c r="F58" s="94">
        <v>41788</v>
      </c>
      <c r="G58" s="5">
        <v>8</v>
      </c>
      <c r="H58" s="3" t="s">
        <v>61</v>
      </c>
      <c r="I58" s="6" t="s">
        <v>7</v>
      </c>
      <c r="J58" s="7" t="b">
        <v>1</v>
      </c>
    </row>
    <row r="59" spans="1:10" ht="14.45">
      <c r="A59">
        <v>22915388</v>
      </c>
      <c r="B59" s="4">
        <v>5</v>
      </c>
      <c r="C59" s="5" t="s">
        <v>60</v>
      </c>
      <c r="D59" s="1">
        <v>7</v>
      </c>
      <c r="E59" s="1"/>
      <c r="F59" s="94">
        <v>41127</v>
      </c>
      <c r="G59" s="5">
        <v>10</v>
      </c>
      <c r="H59" s="3" t="s">
        <v>63</v>
      </c>
      <c r="I59" s="6" t="s">
        <v>7</v>
      </c>
      <c r="J59" s="7" t="b">
        <v>1</v>
      </c>
    </row>
    <row r="60" spans="1:10" ht="14.45">
      <c r="A60" s="8">
        <v>22915388</v>
      </c>
      <c r="B60" s="4">
        <v>5</v>
      </c>
      <c r="C60" s="5" t="s">
        <v>62</v>
      </c>
      <c r="D60" s="1">
        <v>15</v>
      </c>
      <c r="E60" s="1"/>
      <c r="F60" s="94">
        <v>39738</v>
      </c>
      <c r="G60" s="3">
        <v>14</v>
      </c>
      <c r="H60" s="3" t="s">
        <v>63</v>
      </c>
      <c r="I60" s="6" t="s">
        <v>7</v>
      </c>
      <c r="J60" s="7" t="b">
        <v>1</v>
      </c>
    </row>
    <row r="61" spans="1:10" ht="14.45">
      <c r="A61">
        <v>22915388</v>
      </c>
      <c r="B61" s="4">
        <v>5</v>
      </c>
      <c r="C61" s="5" t="s">
        <v>64</v>
      </c>
      <c r="D61" s="1">
        <v>1</v>
      </c>
      <c r="E61" s="1"/>
      <c r="F61" s="94">
        <v>39540</v>
      </c>
      <c r="G61" s="5">
        <v>14</v>
      </c>
      <c r="H61" s="3" t="s">
        <v>63</v>
      </c>
      <c r="I61" s="6" t="s">
        <v>7</v>
      </c>
      <c r="J61" s="7" t="b">
        <v>1</v>
      </c>
    </row>
    <row r="62" spans="1:10" ht="14.45">
      <c r="A62">
        <v>22915388</v>
      </c>
      <c r="B62" s="4">
        <v>5</v>
      </c>
      <c r="C62" s="5" t="s">
        <v>60</v>
      </c>
      <c r="D62" s="1">
        <v>2</v>
      </c>
      <c r="E62" s="1">
        <v>17</v>
      </c>
      <c r="F62" s="94">
        <v>37748</v>
      </c>
      <c r="G62" s="3">
        <v>19</v>
      </c>
      <c r="H62" s="3" t="s">
        <v>61</v>
      </c>
      <c r="I62" s="9" t="s">
        <v>7</v>
      </c>
      <c r="J62" s="7" t="b">
        <v>1</v>
      </c>
    </row>
    <row r="63" spans="1:10" ht="14.45">
      <c r="A63">
        <v>22917216</v>
      </c>
      <c r="B63" s="4">
        <v>5</v>
      </c>
      <c r="C63" s="5" t="s">
        <v>62</v>
      </c>
      <c r="D63" s="1">
        <v>11</v>
      </c>
      <c r="E63" s="1">
        <v>9</v>
      </c>
      <c r="F63" s="94">
        <v>38585</v>
      </c>
      <c r="G63" s="3">
        <v>17</v>
      </c>
      <c r="H63" s="3" t="s">
        <v>63</v>
      </c>
      <c r="I63" s="6" t="s">
        <v>7</v>
      </c>
      <c r="J63" s="7" t="b">
        <v>1</v>
      </c>
    </row>
    <row r="64" spans="1:10" ht="14.45">
      <c r="A64">
        <v>22910297</v>
      </c>
      <c r="B64" s="4">
        <v>9</v>
      </c>
      <c r="C64" s="5" t="s">
        <v>60</v>
      </c>
      <c r="D64" s="1">
        <v>7</v>
      </c>
      <c r="E64" s="1"/>
      <c r="F64" s="94">
        <v>40655</v>
      </c>
      <c r="G64" s="3">
        <v>11</v>
      </c>
      <c r="H64" s="3" t="s">
        <v>61</v>
      </c>
      <c r="I64" s="6" t="s">
        <v>7</v>
      </c>
      <c r="J64" s="7" t="b">
        <v>1</v>
      </c>
    </row>
    <row r="65" spans="1:10" ht="13.9">
      <c r="A65">
        <v>22910297</v>
      </c>
      <c r="B65" s="4">
        <v>9</v>
      </c>
      <c r="C65" s="5" t="s">
        <v>60</v>
      </c>
      <c r="D65" s="3">
        <v>7</v>
      </c>
      <c r="E65" s="3">
        <v>9</v>
      </c>
      <c r="F65" s="94">
        <v>41439</v>
      </c>
      <c r="G65" s="5">
        <v>9</v>
      </c>
      <c r="H65" s="3" t="s">
        <v>63</v>
      </c>
      <c r="I65" s="6" t="s">
        <v>7</v>
      </c>
      <c r="J65" s="7" t="b">
        <v>1</v>
      </c>
    </row>
    <row r="66" spans="1:10" ht="13.9">
      <c r="A66">
        <v>22910297</v>
      </c>
      <c r="B66" s="4">
        <v>9</v>
      </c>
      <c r="C66" s="5" t="s">
        <v>60</v>
      </c>
      <c r="D66" s="8">
        <v>9</v>
      </c>
      <c r="E66" s="3"/>
      <c r="F66" s="94">
        <v>41568</v>
      </c>
      <c r="G66" s="5">
        <v>9</v>
      </c>
      <c r="H66" s="3" t="s">
        <v>61</v>
      </c>
      <c r="I66" s="6" t="s">
        <v>7</v>
      </c>
      <c r="J66" s="7" t="b">
        <v>1</v>
      </c>
    </row>
    <row r="67" spans="1:10" ht="13.9">
      <c r="A67">
        <v>22910297</v>
      </c>
      <c r="B67" s="4">
        <v>9</v>
      </c>
      <c r="C67" s="5" t="s">
        <v>60</v>
      </c>
      <c r="D67" s="8">
        <v>17</v>
      </c>
      <c r="E67" s="5"/>
      <c r="F67" s="94">
        <v>41612</v>
      </c>
      <c r="G67" s="5">
        <v>8</v>
      </c>
      <c r="H67" s="3" t="s">
        <v>63</v>
      </c>
      <c r="I67" s="6" t="s">
        <v>7</v>
      </c>
      <c r="J67" s="7" t="b">
        <v>1</v>
      </c>
    </row>
    <row r="68" spans="1:10" ht="13.9">
      <c r="A68">
        <v>22910297</v>
      </c>
      <c r="B68" s="4">
        <v>9</v>
      </c>
      <c r="C68" s="5" t="s">
        <v>60</v>
      </c>
      <c r="D68" s="8">
        <v>7</v>
      </c>
      <c r="E68" s="3"/>
      <c r="F68" s="94">
        <v>39834</v>
      </c>
      <c r="G68" s="3">
        <v>13</v>
      </c>
      <c r="H68" s="3" t="s">
        <v>61</v>
      </c>
      <c r="I68" s="6" t="s">
        <v>7</v>
      </c>
      <c r="J68" s="7" t="b">
        <v>1</v>
      </c>
    </row>
    <row r="69" spans="1:10" ht="13.9">
      <c r="A69">
        <v>22910297</v>
      </c>
      <c r="B69" s="4">
        <v>9</v>
      </c>
      <c r="C69" s="5" t="s">
        <v>64</v>
      </c>
      <c r="D69" s="8">
        <v>15</v>
      </c>
      <c r="E69" s="3"/>
      <c r="F69" s="94">
        <v>41582</v>
      </c>
      <c r="G69" s="3">
        <v>9</v>
      </c>
      <c r="H69" s="3" t="s">
        <v>63</v>
      </c>
      <c r="I69" s="6" t="s">
        <v>7</v>
      </c>
      <c r="J69" s="7" t="b">
        <v>1</v>
      </c>
    </row>
    <row r="70" spans="1:10" ht="14.45">
      <c r="A70">
        <v>22911142</v>
      </c>
      <c r="B70" s="4">
        <v>9</v>
      </c>
      <c r="C70" s="5" t="s">
        <v>60</v>
      </c>
      <c r="D70" s="1">
        <v>4</v>
      </c>
      <c r="E70" s="1"/>
      <c r="F70" s="94">
        <v>39778</v>
      </c>
      <c r="G70" s="3">
        <v>14</v>
      </c>
      <c r="H70" s="3" t="s">
        <v>63</v>
      </c>
      <c r="I70" s="6" t="s">
        <v>7</v>
      </c>
      <c r="J70" s="7" t="b">
        <v>1</v>
      </c>
    </row>
    <row r="71" spans="1:10" ht="14.45">
      <c r="A71">
        <v>22911230</v>
      </c>
      <c r="B71" s="4">
        <v>7</v>
      </c>
      <c r="C71" s="5" t="s">
        <v>64</v>
      </c>
      <c r="D71" s="1">
        <v>7</v>
      </c>
      <c r="E71" s="1"/>
      <c r="F71" s="94">
        <v>38239</v>
      </c>
      <c r="G71" s="3">
        <v>18</v>
      </c>
      <c r="H71" s="3" t="s">
        <v>63</v>
      </c>
      <c r="I71" s="6" t="s">
        <v>6</v>
      </c>
      <c r="J71" s="7" t="b">
        <v>1</v>
      </c>
    </row>
    <row r="72" spans="1:10" ht="14.45">
      <c r="A72">
        <v>22907200</v>
      </c>
      <c r="B72" s="4">
        <v>11</v>
      </c>
      <c r="C72" s="5" t="s">
        <v>62</v>
      </c>
      <c r="D72" s="1">
        <v>5</v>
      </c>
      <c r="E72" s="1">
        <v>15</v>
      </c>
      <c r="F72" s="94">
        <v>40650</v>
      </c>
      <c r="G72" s="5">
        <v>11</v>
      </c>
      <c r="H72" s="3" t="s">
        <v>63</v>
      </c>
      <c r="I72" s="6" t="s">
        <v>7</v>
      </c>
      <c r="J72" s="7" t="b">
        <v>1</v>
      </c>
    </row>
    <row r="73" spans="1:10" ht="14.45">
      <c r="A73">
        <v>22907200</v>
      </c>
      <c r="B73" s="4">
        <v>11</v>
      </c>
      <c r="C73" s="5" t="s">
        <v>60</v>
      </c>
      <c r="D73" s="1">
        <v>9</v>
      </c>
      <c r="E73" s="1"/>
      <c r="F73" s="94">
        <v>42324</v>
      </c>
      <c r="G73" s="5">
        <v>7</v>
      </c>
      <c r="H73" s="3" t="s">
        <v>61</v>
      </c>
      <c r="I73" s="6" t="s">
        <v>8</v>
      </c>
      <c r="J73" s="7" t="b">
        <v>1</v>
      </c>
    </row>
    <row r="74" spans="1:10" ht="14.45">
      <c r="A74">
        <v>22910125</v>
      </c>
      <c r="B74" s="4">
        <v>9</v>
      </c>
      <c r="C74" s="5" t="s">
        <v>60</v>
      </c>
      <c r="D74" s="1">
        <v>9</v>
      </c>
      <c r="E74" s="1"/>
      <c r="F74" s="94">
        <v>41835</v>
      </c>
      <c r="G74" s="3">
        <v>8</v>
      </c>
      <c r="H74" s="3" t="s">
        <v>63</v>
      </c>
      <c r="I74" s="6" t="s">
        <v>6</v>
      </c>
      <c r="J74" s="7" t="b">
        <v>1</v>
      </c>
    </row>
    <row r="75" spans="1:10" ht="14.45">
      <c r="A75" s="8">
        <v>22915531</v>
      </c>
      <c r="B75" s="4">
        <v>9</v>
      </c>
      <c r="C75" s="5" t="s">
        <v>60</v>
      </c>
      <c r="D75" s="1">
        <v>7</v>
      </c>
      <c r="E75" s="1"/>
      <c r="F75" s="94">
        <v>38740</v>
      </c>
      <c r="G75" s="5">
        <v>16</v>
      </c>
      <c r="H75" s="3" t="s">
        <v>61</v>
      </c>
      <c r="I75" s="6" t="s">
        <v>6</v>
      </c>
      <c r="J75" s="7" t="b">
        <v>1</v>
      </c>
    </row>
    <row r="76" spans="1:10" ht="14.45">
      <c r="A76">
        <v>22915531</v>
      </c>
      <c r="B76" s="4">
        <v>9</v>
      </c>
      <c r="C76" s="5" t="s">
        <v>62</v>
      </c>
      <c r="D76" s="1">
        <v>2</v>
      </c>
      <c r="E76" s="1">
        <v>9</v>
      </c>
      <c r="F76" s="94">
        <v>41979</v>
      </c>
      <c r="G76" s="3">
        <v>7</v>
      </c>
      <c r="H76" s="3" t="s">
        <v>63</v>
      </c>
      <c r="I76" s="9" t="s">
        <v>7</v>
      </c>
      <c r="J76" s="7" t="b">
        <v>1</v>
      </c>
    </row>
    <row r="77" spans="1:10" ht="14.45">
      <c r="A77">
        <v>23315060</v>
      </c>
      <c r="B77" s="4">
        <v>10</v>
      </c>
      <c r="C77" s="5" t="s">
        <v>64</v>
      </c>
      <c r="D77" s="1">
        <v>7</v>
      </c>
      <c r="E77" s="1"/>
      <c r="F77" s="94">
        <v>41345</v>
      </c>
      <c r="G77" s="3">
        <v>9</v>
      </c>
      <c r="H77" s="3" t="s">
        <v>63</v>
      </c>
      <c r="I77" s="6" t="s">
        <v>7</v>
      </c>
      <c r="J77" s="7" t="b">
        <v>1</v>
      </c>
    </row>
    <row r="78" spans="1:10" ht="14.45">
      <c r="A78">
        <v>23315060</v>
      </c>
      <c r="B78" s="4">
        <v>10</v>
      </c>
      <c r="C78" s="5" t="s">
        <v>60</v>
      </c>
      <c r="D78" s="1">
        <v>17</v>
      </c>
      <c r="E78" s="1"/>
      <c r="F78" s="94">
        <v>39795</v>
      </c>
      <c r="G78" s="3">
        <v>13</v>
      </c>
      <c r="H78" s="3" t="s">
        <v>63</v>
      </c>
      <c r="I78" s="6" t="s">
        <v>7</v>
      </c>
      <c r="J78" s="7" t="b">
        <v>1</v>
      </c>
    </row>
    <row r="79" spans="1:10" ht="14.45">
      <c r="A79">
        <v>22914150</v>
      </c>
      <c r="B79" s="4">
        <v>5</v>
      </c>
      <c r="C79" s="5" t="s">
        <v>64</v>
      </c>
      <c r="D79" s="1">
        <v>7</v>
      </c>
      <c r="E79" s="1"/>
      <c r="F79" s="94">
        <v>40040</v>
      </c>
      <c r="G79" s="5">
        <v>13</v>
      </c>
      <c r="H79" s="3" t="s">
        <v>61</v>
      </c>
      <c r="I79" s="6" t="s">
        <v>6</v>
      </c>
      <c r="J79" s="7" t="b">
        <v>1</v>
      </c>
    </row>
    <row r="80" spans="1:10" ht="14.45">
      <c r="A80">
        <v>22914160</v>
      </c>
      <c r="B80" s="4">
        <v>4</v>
      </c>
      <c r="C80" s="5" t="s">
        <v>60</v>
      </c>
      <c r="D80" s="1">
        <v>5</v>
      </c>
      <c r="E80" s="1">
        <v>9</v>
      </c>
      <c r="F80" s="94">
        <v>41813</v>
      </c>
      <c r="G80" s="3">
        <v>8</v>
      </c>
      <c r="H80" s="3" t="s">
        <v>63</v>
      </c>
      <c r="I80" s="6" t="s">
        <v>7</v>
      </c>
      <c r="J80" s="7" t="b">
        <v>1</v>
      </c>
    </row>
    <row r="81" spans="1:10" ht="14.45">
      <c r="A81">
        <v>22914277</v>
      </c>
      <c r="B81" s="4">
        <v>4</v>
      </c>
      <c r="C81" s="5" t="s">
        <v>60</v>
      </c>
      <c r="D81" s="1">
        <v>7</v>
      </c>
      <c r="E81" s="1"/>
      <c r="F81" s="94">
        <v>39112</v>
      </c>
      <c r="G81" s="5">
        <v>15</v>
      </c>
      <c r="H81" s="3" t="s">
        <v>63</v>
      </c>
      <c r="I81" s="6" t="s">
        <v>6</v>
      </c>
      <c r="J81" s="7" t="b">
        <v>1</v>
      </c>
    </row>
    <row r="82" spans="1:10" ht="14.45">
      <c r="A82">
        <v>22914277</v>
      </c>
      <c r="B82" s="4">
        <v>4</v>
      </c>
      <c r="C82" s="5" t="s">
        <v>60</v>
      </c>
      <c r="D82" s="1">
        <v>17</v>
      </c>
      <c r="E82" s="1"/>
      <c r="F82" s="94">
        <v>41464</v>
      </c>
      <c r="G82" s="5">
        <v>9</v>
      </c>
      <c r="H82" s="3" t="s">
        <v>63</v>
      </c>
      <c r="I82" s="6" t="s">
        <v>7</v>
      </c>
      <c r="J82" s="7" t="b">
        <v>1</v>
      </c>
    </row>
    <row r="83" spans="1:10" ht="14.45">
      <c r="A83">
        <v>22914277</v>
      </c>
      <c r="B83" s="4">
        <v>4</v>
      </c>
      <c r="C83" s="5" t="s">
        <v>60</v>
      </c>
      <c r="D83" s="1">
        <v>17</v>
      </c>
      <c r="E83" s="1"/>
      <c r="F83" s="94">
        <v>41065</v>
      </c>
      <c r="G83" s="5">
        <v>10</v>
      </c>
      <c r="H83" s="3" t="s">
        <v>63</v>
      </c>
      <c r="I83" s="6" t="s">
        <v>6</v>
      </c>
      <c r="J83" s="7" t="b">
        <v>1</v>
      </c>
    </row>
    <row r="84" spans="1:10" ht="14.45">
      <c r="A84">
        <v>22914393</v>
      </c>
      <c r="B84" s="4">
        <v>3</v>
      </c>
      <c r="C84" s="5" t="s">
        <v>62</v>
      </c>
      <c r="D84" s="1">
        <v>5</v>
      </c>
      <c r="E84" s="1"/>
      <c r="F84" s="94">
        <v>40368</v>
      </c>
      <c r="G84" s="5">
        <v>12</v>
      </c>
      <c r="H84" s="3" t="s">
        <v>63</v>
      </c>
      <c r="I84" s="6" t="s">
        <v>8</v>
      </c>
      <c r="J84" s="7" t="b">
        <v>1</v>
      </c>
    </row>
    <row r="85" spans="1:10" ht="14.45">
      <c r="A85">
        <v>22914393</v>
      </c>
      <c r="B85" s="4">
        <v>3</v>
      </c>
      <c r="C85" s="5" t="s">
        <v>60</v>
      </c>
      <c r="D85" s="1">
        <v>17</v>
      </c>
      <c r="E85" s="1"/>
      <c r="F85" s="94">
        <v>38540</v>
      </c>
      <c r="G85" s="3">
        <v>17</v>
      </c>
      <c r="H85" s="5" t="s">
        <v>61</v>
      </c>
      <c r="I85" s="6" t="s">
        <v>7</v>
      </c>
      <c r="J85" s="7" t="b">
        <v>1</v>
      </c>
    </row>
    <row r="86" spans="1:10" ht="14.45">
      <c r="A86">
        <v>22914393</v>
      </c>
      <c r="B86" s="4">
        <v>3</v>
      </c>
      <c r="C86" s="5" t="s">
        <v>60</v>
      </c>
      <c r="D86" s="1">
        <v>5</v>
      </c>
      <c r="E86" s="1"/>
      <c r="F86" s="94">
        <v>39569</v>
      </c>
      <c r="G86" s="5">
        <v>14</v>
      </c>
      <c r="H86" s="3" t="s">
        <v>63</v>
      </c>
      <c r="I86" s="6" t="s">
        <v>7</v>
      </c>
      <c r="J86" s="7" t="b">
        <v>1</v>
      </c>
    </row>
    <row r="87" spans="1:10" ht="14.45">
      <c r="A87">
        <v>22914393</v>
      </c>
      <c r="B87" s="4">
        <v>3</v>
      </c>
      <c r="C87" s="5" t="s">
        <v>60</v>
      </c>
      <c r="D87" s="1">
        <v>7</v>
      </c>
      <c r="E87" s="1">
        <v>9</v>
      </c>
      <c r="F87" s="94">
        <v>40633</v>
      </c>
      <c r="G87" s="3">
        <v>11</v>
      </c>
      <c r="H87" s="3" t="s">
        <v>61</v>
      </c>
      <c r="I87" s="6" t="s">
        <v>7</v>
      </c>
      <c r="J87" s="7" t="b">
        <v>1</v>
      </c>
    </row>
    <row r="88" spans="1:10" ht="14.45">
      <c r="A88">
        <v>22914393</v>
      </c>
      <c r="B88" s="4">
        <v>3</v>
      </c>
      <c r="C88" s="5" t="s">
        <v>60</v>
      </c>
      <c r="D88" s="1">
        <v>7</v>
      </c>
      <c r="E88" s="1"/>
      <c r="F88" s="94">
        <v>39884</v>
      </c>
      <c r="G88" s="3">
        <v>13</v>
      </c>
      <c r="H88" s="3" t="s">
        <v>63</v>
      </c>
      <c r="I88" s="6" t="s">
        <v>4</v>
      </c>
      <c r="J88" s="7" t="b">
        <v>1</v>
      </c>
    </row>
    <row r="89" spans="1:10" ht="14.45">
      <c r="A89">
        <v>22914131</v>
      </c>
      <c r="B89" s="4">
        <v>5</v>
      </c>
      <c r="C89" s="5" t="s">
        <v>60</v>
      </c>
      <c r="D89" s="1">
        <v>7</v>
      </c>
      <c r="E89" s="1">
        <v>9</v>
      </c>
      <c r="F89" s="94">
        <v>41405</v>
      </c>
      <c r="G89" s="3">
        <v>9</v>
      </c>
      <c r="H89" s="3" t="s">
        <v>63</v>
      </c>
      <c r="I89" s="6" t="s">
        <v>7</v>
      </c>
      <c r="J89" s="7" t="b">
        <v>1</v>
      </c>
    </row>
    <row r="90" spans="1:10" ht="14.45">
      <c r="A90">
        <v>22915043</v>
      </c>
      <c r="B90" s="4">
        <v>2</v>
      </c>
      <c r="C90" s="5" t="s">
        <v>60</v>
      </c>
      <c r="D90" s="1">
        <v>7</v>
      </c>
      <c r="E90" s="1"/>
      <c r="F90" s="94">
        <v>39078</v>
      </c>
      <c r="G90" s="3">
        <v>15</v>
      </c>
      <c r="H90" s="3" t="s">
        <v>61</v>
      </c>
      <c r="I90" s="6" t="s">
        <v>6</v>
      </c>
      <c r="J90" s="7" t="b">
        <v>1</v>
      </c>
    </row>
    <row r="91" spans="1:10" ht="14.45">
      <c r="A91">
        <v>683000000</v>
      </c>
      <c r="B91" s="4">
        <v>7</v>
      </c>
      <c r="C91" s="5" t="s">
        <v>64</v>
      </c>
      <c r="D91" s="1">
        <v>7</v>
      </c>
      <c r="E91" s="1">
        <v>9</v>
      </c>
      <c r="F91" s="94">
        <v>40001</v>
      </c>
      <c r="G91" s="3">
        <v>13</v>
      </c>
      <c r="H91" s="3" t="s">
        <v>63</v>
      </c>
      <c r="I91" s="6" t="s">
        <v>7</v>
      </c>
      <c r="J91" s="7" t="b">
        <v>1</v>
      </c>
    </row>
    <row r="92" spans="1:10" ht="14.45">
      <c r="A92">
        <v>22912377</v>
      </c>
      <c r="B92" s="4">
        <v>7</v>
      </c>
      <c r="C92" s="5" t="s">
        <v>60</v>
      </c>
      <c r="D92" s="1">
        <v>17</v>
      </c>
      <c r="E92" s="1"/>
      <c r="F92" s="94">
        <v>40055</v>
      </c>
      <c r="G92" s="3">
        <v>13</v>
      </c>
      <c r="H92" s="3" t="s">
        <v>63</v>
      </c>
      <c r="I92" s="6" t="s">
        <v>8</v>
      </c>
      <c r="J92" s="7" t="b">
        <v>1</v>
      </c>
    </row>
    <row r="93" spans="1:10" ht="14.45">
      <c r="A93">
        <v>22917216</v>
      </c>
      <c r="B93" s="4">
        <v>7</v>
      </c>
      <c r="C93" s="5" t="s">
        <v>60</v>
      </c>
      <c r="D93" s="1">
        <v>17</v>
      </c>
      <c r="E93" s="1"/>
      <c r="F93" s="94">
        <v>40126</v>
      </c>
      <c r="G93" s="3">
        <v>13</v>
      </c>
      <c r="H93" s="3" t="s">
        <v>61</v>
      </c>
      <c r="I93" s="6" t="s">
        <v>7</v>
      </c>
      <c r="J93" s="7" t="b">
        <v>1</v>
      </c>
    </row>
    <row r="94" spans="1:10" ht="14.45">
      <c r="A94">
        <v>23320028</v>
      </c>
      <c r="B94" s="4">
        <v>3</v>
      </c>
      <c r="C94" s="5" t="s">
        <v>60</v>
      </c>
      <c r="D94" s="1">
        <v>8</v>
      </c>
      <c r="E94" s="1">
        <v>9</v>
      </c>
      <c r="F94" s="94">
        <v>41689</v>
      </c>
      <c r="G94" s="3">
        <v>8</v>
      </c>
      <c r="H94" s="3" t="s">
        <v>61</v>
      </c>
      <c r="I94" s="9" t="s">
        <v>7</v>
      </c>
      <c r="J94" s="7" t="b">
        <v>1</v>
      </c>
    </row>
    <row r="95" spans="1:10" ht="14.45">
      <c r="A95">
        <v>31809770</v>
      </c>
      <c r="B95" s="4">
        <v>10</v>
      </c>
      <c r="C95" s="5" t="s">
        <v>60</v>
      </c>
      <c r="D95" s="1">
        <v>7</v>
      </c>
      <c r="E95" s="1"/>
      <c r="F95" s="94">
        <v>38798</v>
      </c>
      <c r="G95" s="3">
        <v>16</v>
      </c>
      <c r="H95" s="3" t="s">
        <v>63</v>
      </c>
      <c r="I95" s="6" t="s">
        <v>7</v>
      </c>
      <c r="J95" s="7" t="b">
        <v>1</v>
      </c>
    </row>
    <row r="96" spans="1:10" ht="13.9">
      <c r="A96">
        <v>15309100</v>
      </c>
      <c r="B96" s="4">
        <v>10</v>
      </c>
      <c r="C96" s="5" t="s">
        <v>60</v>
      </c>
      <c r="D96" s="8">
        <v>10</v>
      </c>
      <c r="E96" s="3"/>
      <c r="F96" s="94">
        <v>38520</v>
      </c>
      <c r="G96" s="3">
        <v>17</v>
      </c>
      <c r="H96" s="3" t="s">
        <v>63</v>
      </c>
      <c r="I96" s="6" t="s">
        <v>7</v>
      </c>
      <c r="J96" s="7" t="b">
        <v>1</v>
      </c>
    </row>
    <row r="97" spans="1:10" ht="13.9">
      <c r="A97">
        <v>22913104</v>
      </c>
      <c r="B97" s="4">
        <v>7</v>
      </c>
      <c r="C97" s="5" t="s">
        <v>60</v>
      </c>
      <c r="D97" s="3">
        <v>17</v>
      </c>
      <c r="E97" s="3"/>
      <c r="F97" s="94">
        <v>40148</v>
      </c>
      <c r="G97" s="5">
        <v>13</v>
      </c>
      <c r="H97" s="3" t="s">
        <v>61</v>
      </c>
      <c r="I97" s="6" t="s">
        <v>6</v>
      </c>
      <c r="J97" s="7" t="b">
        <v>1</v>
      </c>
    </row>
    <row r="98" spans="1:10" ht="13.9">
      <c r="A98">
        <v>36616021</v>
      </c>
      <c r="B98" s="4">
        <v>5</v>
      </c>
      <c r="C98" s="5" t="s">
        <v>60</v>
      </c>
      <c r="D98" s="3">
        <v>4</v>
      </c>
      <c r="E98" s="3"/>
      <c r="F98" s="94">
        <v>40696</v>
      </c>
      <c r="G98" s="3">
        <v>11</v>
      </c>
      <c r="H98" s="3" t="s">
        <v>63</v>
      </c>
      <c r="I98" s="6" t="s">
        <v>7</v>
      </c>
      <c r="J98" s="7" t="b">
        <v>1</v>
      </c>
    </row>
    <row r="99" spans="1:10" ht="13.9">
      <c r="A99" t="s">
        <v>66</v>
      </c>
      <c r="B99" s="4">
        <v>9</v>
      </c>
      <c r="C99" s="5" t="s">
        <v>64</v>
      </c>
      <c r="D99" s="3">
        <v>7</v>
      </c>
      <c r="E99" s="5"/>
      <c r="F99" s="94">
        <v>38835</v>
      </c>
      <c r="G99" s="3">
        <v>16</v>
      </c>
      <c r="H99" s="3" t="s">
        <v>63</v>
      </c>
      <c r="I99" s="6" t="s">
        <v>7</v>
      </c>
      <c r="J99" s="7" t="b">
        <v>1</v>
      </c>
    </row>
    <row r="100" spans="1:10" ht="13.9">
      <c r="A100">
        <v>332000000</v>
      </c>
      <c r="B100" s="4">
        <v>3</v>
      </c>
      <c r="C100" s="5" t="s">
        <v>60</v>
      </c>
      <c r="D100" s="3">
        <v>17</v>
      </c>
      <c r="E100" s="5">
        <v>9</v>
      </c>
      <c r="F100" s="94">
        <v>41683</v>
      </c>
      <c r="G100" s="5">
        <v>8</v>
      </c>
      <c r="H100" s="3" t="s">
        <v>61</v>
      </c>
      <c r="I100" s="6" t="s">
        <v>7</v>
      </c>
      <c r="J100" s="7" t="b">
        <v>1</v>
      </c>
    </row>
    <row r="101" spans="1:10" ht="13.9">
      <c r="A101">
        <v>13618047</v>
      </c>
      <c r="B101" s="4">
        <v>5</v>
      </c>
      <c r="C101" s="5" t="s">
        <v>60</v>
      </c>
      <c r="D101" s="3">
        <v>17</v>
      </c>
      <c r="E101" s="3"/>
      <c r="F101" s="94">
        <v>40913</v>
      </c>
      <c r="G101" s="5">
        <v>10</v>
      </c>
      <c r="H101" s="3" t="s">
        <v>63</v>
      </c>
      <c r="I101" s="6" t="s">
        <v>6</v>
      </c>
      <c r="J101" s="7" t="b">
        <v>1</v>
      </c>
    </row>
    <row r="102" spans="1:10" ht="13.9">
      <c r="A102">
        <v>28117010</v>
      </c>
      <c r="B102" s="4">
        <v>6</v>
      </c>
      <c r="C102" s="5" t="s">
        <v>60</v>
      </c>
      <c r="D102" s="3">
        <v>7</v>
      </c>
      <c r="E102" s="3"/>
      <c r="F102" s="94">
        <v>40626</v>
      </c>
      <c r="G102" s="3">
        <v>11</v>
      </c>
      <c r="H102" s="3" t="s">
        <v>63</v>
      </c>
      <c r="I102" s="6" t="s">
        <v>7</v>
      </c>
      <c r="J102" s="7" t="b">
        <v>1</v>
      </c>
    </row>
    <row r="103" spans="1:10" ht="13.9">
      <c r="A103">
        <v>53709998</v>
      </c>
      <c r="B103" s="4">
        <v>11</v>
      </c>
      <c r="C103" s="5" t="s">
        <v>64</v>
      </c>
      <c r="D103" s="3">
        <v>17</v>
      </c>
      <c r="E103" s="3"/>
      <c r="F103" s="94">
        <v>38649</v>
      </c>
      <c r="G103" s="3">
        <v>17</v>
      </c>
      <c r="H103" s="3" t="s">
        <v>63</v>
      </c>
      <c r="I103" s="6" t="s">
        <v>7</v>
      </c>
      <c r="J103" s="7" t="b">
        <v>1</v>
      </c>
    </row>
    <row r="104" spans="1:10" ht="13.9">
      <c r="A104">
        <v>51417013</v>
      </c>
      <c r="B104" s="4">
        <v>5</v>
      </c>
      <c r="C104" s="5" t="s">
        <v>60</v>
      </c>
      <c r="D104" s="8">
        <v>4</v>
      </c>
      <c r="E104" s="3"/>
      <c r="F104" s="94">
        <v>40906</v>
      </c>
      <c r="G104" s="5">
        <v>10</v>
      </c>
      <c r="H104" s="3" t="s">
        <v>63</v>
      </c>
      <c r="I104" s="6" t="s">
        <v>7</v>
      </c>
      <c r="J104" s="7" t="b">
        <v>1</v>
      </c>
    </row>
    <row r="105" spans="1:10" ht="13.9">
      <c r="A105">
        <v>4109799</v>
      </c>
      <c r="B105" s="4">
        <v>7</v>
      </c>
      <c r="C105" s="5" t="s">
        <v>60</v>
      </c>
      <c r="D105" s="3">
        <v>5</v>
      </c>
      <c r="E105" s="3">
        <v>7</v>
      </c>
      <c r="F105" s="94">
        <v>40226</v>
      </c>
      <c r="G105" s="5">
        <v>12</v>
      </c>
      <c r="H105" s="3" t="s">
        <v>63</v>
      </c>
      <c r="I105" s="6" t="s">
        <v>7</v>
      </c>
      <c r="J105" s="7" t="b">
        <v>1</v>
      </c>
    </row>
    <row r="106" spans="1:10" ht="13.9">
      <c r="A106">
        <v>8317126</v>
      </c>
      <c r="B106" s="4">
        <v>5</v>
      </c>
      <c r="C106" s="5" t="s">
        <v>60</v>
      </c>
      <c r="D106" s="3">
        <v>17</v>
      </c>
      <c r="E106" s="3"/>
      <c r="F106" s="94">
        <v>41107</v>
      </c>
      <c r="G106" s="3">
        <v>10</v>
      </c>
      <c r="H106" s="3" t="s">
        <v>63</v>
      </c>
      <c r="I106" s="6" t="s">
        <v>7</v>
      </c>
      <c r="J106" s="7" t="b">
        <v>1</v>
      </c>
    </row>
    <row r="107" spans="1:10" ht="13.9">
      <c r="A107">
        <v>35419123</v>
      </c>
      <c r="B107" s="4">
        <v>3</v>
      </c>
      <c r="C107" s="5" t="s">
        <v>60</v>
      </c>
      <c r="D107" s="3">
        <v>9</v>
      </c>
      <c r="E107" s="5"/>
      <c r="F107" s="94">
        <v>41778</v>
      </c>
      <c r="G107" s="5">
        <v>8</v>
      </c>
      <c r="H107" s="3" t="s">
        <v>61</v>
      </c>
      <c r="I107" s="6" t="s">
        <v>7</v>
      </c>
      <c r="J107" s="7" t="b">
        <v>1</v>
      </c>
    </row>
    <row r="108" spans="1:10" ht="13.9">
      <c r="A108">
        <v>152000000</v>
      </c>
      <c r="B108" s="4">
        <v>7</v>
      </c>
      <c r="C108" s="5" t="s">
        <v>60</v>
      </c>
      <c r="D108" s="3">
        <v>17</v>
      </c>
      <c r="E108" s="3"/>
      <c r="F108" s="94">
        <v>39882</v>
      </c>
      <c r="G108" s="3">
        <v>13</v>
      </c>
      <c r="H108" s="3" t="s">
        <v>61</v>
      </c>
      <c r="I108" s="6" t="s">
        <v>7</v>
      </c>
      <c r="J108" s="7" t="b">
        <v>1</v>
      </c>
    </row>
    <row r="109" spans="1:10" ht="13.9">
      <c r="A109">
        <v>15711309</v>
      </c>
      <c r="B109" s="4">
        <v>11</v>
      </c>
      <c r="C109" s="5" t="s">
        <v>65</v>
      </c>
      <c r="D109" s="3">
        <v>10</v>
      </c>
      <c r="E109" s="3">
        <v>4</v>
      </c>
      <c r="F109" s="94">
        <v>38651</v>
      </c>
      <c r="G109" s="3">
        <v>17</v>
      </c>
      <c r="H109" s="3" t="s">
        <v>63</v>
      </c>
      <c r="I109" s="6" t="s">
        <v>7</v>
      </c>
      <c r="J109" s="7" t="b">
        <v>1</v>
      </c>
    </row>
    <row r="110" spans="1:10" ht="13.9">
      <c r="A110">
        <v>247000000</v>
      </c>
      <c r="B110" s="4">
        <v>8</v>
      </c>
      <c r="C110" s="5" t="s">
        <v>64</v>
      </c>
      <c r="D110" s="3">
        <v>15</v>
      </c>
      <c r="E110" s="3">
        <v>7</v>
      </c>
      <c r="F110" s="94">
        <v>39499</v>
      </c>
      <c r="G110" s="5">
        <v>14</v>
      </c>
      <c r="H110" s="3" t="s">
        <v>63</v>
      </c>
      <c r="I110" s="6" t="s">
        <v>7</v>
      </c>
      <c r="J110" s="7" t="b">
        <v>1</v>
      </c>
    </row>
    <row r="111" spans="1:10" ht="13.9">
      <c r="A111">
        <v>28113803</v>
      </c>
      <c r="B111" s="4">
        <v>9</v>
      </c>
      <c r="C111" s="5" t="s">
        <v>60</v>
      </c>
      <c r="D111" s="3">
        <v>17</v>
      </c>
      <c r="E111" s="3"/>
      <c r="F111" s="94">
        <v>39575</v>
      </c>
      <c r="G111" s="3">
        <v>14</v>
      </c>
      <c r="H111" s="3" t="s">
        <v>63</v>
      </c>
      <c r="I111" s="9" t="s">
        <v>7</v>
      </c>
      <c r="J111" s="7" t="b">
        <v>1</v>
      </c>
    </row>
    <row r="112" spans="1:10" ht="13.9">
      <c r="A112">
        <v>39422000</v>
      </c>
      <c r="B112" s="4">
        <v>10</v>
      </c>
      <c r="C112" s="5" t="s">
        <v>60</v>
      </c>
      <c r="D112" s="8">
        <v>7</v>
      </c>
      <c r="E112" s="3"/>
      <c r="F112" s="94">
        <v>39024</v>
      </c>
      <c r="G112" s="5">
        <v>16</v>
      </c>
      <c r="H112" s="3" t="s">
        <v>61</v>
      </c>
      <c r="I112" s="6" t="s">
        <v>7</v>
      </c>
      <c r="J112" s="7" t="b">
        <v>1</v>
      </c>
    </row>
    <row r="113" spans="1:10" ht="13.9">
      <c r="A113">
        <v>20521066</v>
      </c>
      <c r="B113" s="4">
        <v>1</v>
      </c>
      <c r="C113" s="5" t="s">
        <v>60</v>
      </c>
      <c r="D113" s="3">
        <v>8</v>
      </c>
      <c r="E113" s="5"/>
      <c r="F113" s="94">
        <v>42506</v>
      </c>
      <c r="G113" s="5">
        <v>6</v>
      </c>
      <c r="H113" s="3" t="s">
        <v>63</v>
      </c>
      <c r="I113" s="6" t="s">
        <v>7</v>
      </c>
      <c r="J113" s="7" t="b">
        <v>1</v>
      </c>
    </row>
    <row r="114" spans="1:10" ht="13.9">
      <c r="A114">
        <v>2018114</v>
      </c>
      <c r="B114" s="4">
        <v>1</v>
      </c>
      <c r="C114" s="5" t="s">
        <v>60</v>
      </c>
      <c r="D114" s="8">
        <v>10</v>
      </c>
      <c r="E114" s="3">
        <v>9</v>
      </c>
      <c r="F114" s="94">
        <v>42222</v>
      </c>
      <c r="G114" s="5">
        <v>7</v>
      </c>
      <c r="H114" s="3" t="s">
        <v>63</v>
      </c>
      <c r="I114" s="6" t="s">
        <v>7</v>
      </c>
      <c r="J114" s="7" t="b">
        <v>1</v>
      </c>
    </row>
    <row r="115" spans="1:10" ht="13.9">
      <c r="A115">
        <v>31811032</v>
      </c>
      <c r="B115" s="4">
        <v>8</v>
      </c>
      <c r="C115" s="5" t="s">
        <v>60</v>
      </c>
      <c r="D115" s="3">
        <v>3</v>
      </c>
      <c r="E115" s="3"/>
      <c r="F115" s="94">
        <v>39774</v>
      </c>
      <c r="G115" s="5">
        <v>14</v>
      </c>
      <c r="H115" s="3" t="s">
        <v>61</v>
      </c>
      <c r="I115" s="9" t="s">
        <v>7</v>
      </c>
      <c r="J115" s="7" t="b">
        <v>1</v>
      </c>
    </row>
    <row r="116" spans="1:10" ht="13.9">
      <c r="A116">
        <v>31817129</v>
      </c>
      <c r="B116" s="4">
        <v>1</v>
      </c>
      <c r="C116" s="5" t="s">
        <v>60</v>
      </c>
      <c r="D116" s="3">
        <v>8</v>
      </c>
      <c r="E116" s="5">
        <v>9</v>
      </c>
      <c r="F116" s="94">
        <v>42120</v>
      </c>
      <c r="G116" s="3">
        <v>7</v>
      </c>
      <c r="H116" s="3" t="s">
        <v>63</v>
      </c>
      <c r="I116" s="6" t="s">
        <v>7</v>
      </c>
      <c r="J116" s="7" t="b">
        <v>1</v>
      </c>
    </row>
    <row r="117" spans="1:10" ht="13.9">
      <c r="A117">
        <v>541000000</v>
      </c>
      <c r="B117" s="4">
        <v>5</v>
      </c>
      <c r="C117" s="5" t="s">
        <v>64</v>
      </c>
      <c r="D117" s="3">
        <v>9</v>
      </c>
      <c r="E117" s="3"/>
      <c r="F117" s="94">
        <v>41093</v>
      </c>
      <c r="G117" s="3">
        <v>10</v>
      </c>
      <c r="H117" s="3" t="s">
        <v>63</v>
      </c>
      <c r="I117" s="9" t="s">
        <v>7</v>
      </c>
      <c r="J117" s="7" t="b">
        <v>1</v>
      </c>
    </row>
    <row r="118" spans="1:10" ht="13.9">
      <c r="A118">
        <v>15110043</v>
      </c>
      <c r="B118" s="4">
        <v>11</v>
      </c>
      <c r="C118" s="5" t="s">
        <v>60</v>
      </c>
      <c r="D118" s="3">
        <v>17</v>
      </c>
      <c r="E118" s="3"/>
      <c r="F118" s="94">
        <v>38573</v>
      </c>
      <c r="G118" s="5">
        <v>17</v>
      </c>
      <c r="H118" s="3" t="s">
        <v>63</v>
      </c>
      <c r="I118" s="6" t="s">
        <v>4</v>
      </c>
      <c r="J118" s="7" t="b">
        <v>1</v>
      </c>
    </row>
    <row r="119" spans="1:10" ht="13.9">
      <c r="A119">
        <v>557000000</v>
      </c>
      <c r="B119" s="4">
        <v>7</v>
      </c>
      <c r="C119" s="5" t="s">
        <v>64</v>
      </c>
      <c r="D119" s="3">
        <v>17</v>
      </c>
      <c r="E119" s="3">
        <v>7</v>
      </c>
      <c r="F119" s="94">
        <v>40032</v>
      </c>
      <c r="G119" s="3">
        <v>13</v>
      </c>
      <c r="H119" s="3" t="s">
        <v>61</v>
      </c>
      <c r="I119" s="6" t="s">
        <v>7</v>
      </c>
      <c r="J119" s="7" t="b">
        <v>1</v>
      </c>
    </row>
    <row r="120" spans="1:10" ht="13.9">
      <c r="A120">
        <v>4616085</v>
      </c>
      <c r="B120" s="4">
        <v>6</v>
      </c>
      <c r="C120" s="5" t="s">
        <v>65</v>
      </c>
      <c r="D120" s="3">
        <v>15</v>
      </c>
      <c r="E120" s="3"/>
      <c r="F120" s="94">
        <v>40333</v>
      </c>
      <c r="G120" s="3">
        <v>12</v>
      </c>
      <c r="H120" s="3" t="s">
        <v>63</v>
      </c>
      <c r="I120" s="6" t="s">
        <v>4</v>
      </c>
      <c r="J120" s="7" t="b">
        <v>1</v>
      </c>
    </row>
    <row r="121" spans="1:10" ht="13.9">
      <c r="A121">
        <v>251000000</v>
      </c>
      <c r="B121" s="4">
        <v>6</v>
      </c>
      <c r="C121" s="5" t="s">
        <v>65</v>
      </c>
      <c r="D121" s="8">
        <v>10</v>
      </c>
      <c r="E121" s="3">
        <v>9</v>
      </c>
      <c r="F121" s="94">
        <v>40641</v>
      </c>
      <c r="G121" s="3">
        <v>11</v>
      </c>
      <c r="H121" s="3" t="s">
        <v>61</v>
      </c>
      <c r="I121" s="6" t="s">
        <v>6</v>
      </c>
      <c r="J121" s="7" t="b">
        <v>1</v>
      </c>
    </row>
    <row r="122" spans="1:10" ht="13.9">
      <c r="A122">
        <v>15116085</v>
      </c>
      <c r="B122" s="4">
        <v>4</v>
      </c>
      <c r="C122" s="5" t="s">
        <v>60</v>
      </c>
      <c r="D122" s="3">
        <v>17</v>
      </c>
      <c r="E122" s="5"/>
      <c r="F122" s="94">
        <v>41101</v>
      </c>
      <c r="G122" s="5">
        <v>10</v>
      </c>
      <c r="H122" s="3" t="s">
        <v>61</v>
      </c>
      <c r="I122" s="6" t="s">
        <v>4</v>
      </c>
      <c r="J122" s="7" t="b">
        <v>1</v>
      </c>
    </row>
    <row r="123" spans="1:10" ht="13.9">
      <c r="A123">
        <v>2020016</v>
      </c>
      <c r="B123" s="4">
        <v>3</v>
      </c>
      <c r="C123" s="5" t="s">
        <v>60</v>
      </c>
      <c r="D123" s="8">
        <v>9</v>
      </c>
      <c r="E123" s="3"/>
      <c r="F123" s="94">
        <v>41100</v>
      </c>
      <c r="G123" s="5">
        <v>10</v>
      </c>
      <c r="H123" s="3" t="s">
        <v>63</v>
      </c>
      <c r="I123" s="6" t="s">
        <v>7</v>
      </c>
      <c r="J123" s="7" t="b">
        <v>1</v>
      </c>
    </row>
    <row r="124" spans="1:10" ht="13.9">
      <c r="A124">
        <v>8316141</v>
      </c>
      <c r="B124" s="4">
        <v>8</v>
      </c>
      <c r="C124" s="5" t="s">
        <v>60</v>
      </c>
      <c r="D124" s="3">
        <v>7</v>
      </c>
      <c r="E124" s="3"/>
      <c r="F124" s="94">
        <v>39538</v>
      </c>
      <c r="G124" s="5">
        <v>14</v>
      </c>
      <c r="H124" s="3" t="s">
        <v>61</v>
      </c>
      <c r="I124" s="6" t="s">
        <v>4</v>
      </c>
      <c r="J124" s="7" t="b">
        <v>1</v>
      </c>
    </row>
    <row r="125" spans="1:10" ht="13.9">
      <c r="A125">
        <v>9519130</v>
      </c>
      <c r="B125" s="4" t="s">
        <v>41</v>
      </c>
      <c r="C125" s="5" t="s">
        <v>62</v>
      </c>
      <c r="D125" s="3">
        <v>15</v>
      </c>
      <c r="E125" s="3">
        <v>9</v>
      </c>
      <c r="F125" s="94">
        <v>42802</v>
      </c>
      <c r="G125" s="5">
        <v>5</v>
      </c>
      <c r="H125" s="3" t="s">
        <v>63</v>
      </c>
      <c r="I125" s="6" t="s">
        <v>7</v>
      </c>
      <c r="J125" s="7" t="b">
        <v>1</v>
      </c>
    </row>
    <row r="126" spans="1:10" ht="13.9">
      <c r="A126">
        <v>28116003</v>
      </c>
      <c r="B126" s="4">
        <v>7</v>
      </c>
      <c r="C126" s="5" t="s">
        <v>60</v>
      </c>
      <c r="D126" s="3">
        <v>7</v>
      </c>
      <c r="E126" s="3"/>
      <c r="F126" s="94">
        <v>40044</v>
      </c>
      <c r="G126" s="3">
        <v>13</v>
      </c>
      <c r="H126" s="3" t="s">
        <v>61</v>
      </c>
      <c r="I126" s="6" t="s">
        <v>7</v>
      </c>
      <c r="J126" s="7" t="b">
        <v>1</v>
      </c>
    </row>
    <row r="127" spans="1:10" ht="13.9">
      <c r="A127">
        <v>27015049</v>
      </c>
      <c r="B127" s="4">
        <v>7</v>
      </c>
      <c r="C127" s="5" t="s">
        <v>60</v>
      </c>
      <c r="D127" s="3">
        <v>17</v>
      </c>
      <c r="E127" s="3"/>
      <c r="F127" s="94">
        <v>39941</v>
      </c>
      <c r="G127" s="3">
        <v>13</v>
      </c>
      <c r="H127" s="3" t="s">
        <v>63</v>
      </c>
      <c r="I127" s="6" t="s">
        <v>7</v>
      </c>
      <c r="J127" s="7" t="b">
        <v>1</v>
      </c>
    </row>
    <row r="128" spans="1:10" ht="13.9">
      <c r="A128">
        <v>16120003</v>
      </c>
      <c r="B128" s="4">
        <v>2</v>
      </c>
      <c r="C128" s="5" t="s">
        <v>60</v>
      </c>
      <c r="D128" s="3">
        <v>9</v>
      </c>
      <c r="E128" s="3"/>
      <c r="F128" s="94">
        <v>42185</v>
      </c>
      <c r="G128" s="5">
        <v>7</v>
      </c>
      <c r="H128" s="3" t="s">
        <v>63</v>
      </c>
      <c r="I128" s="6" t="s">
        <v>7</v>
      </c>
      <c r="J128" s="7" t="b">
        <v>1</v>
      </c>
    </row>
    <row r="129" spans="1:10" ht="13.9">
      <c r="A129" t="s">
        <v>67</v>
      </c>
      <c r="B129" s="4">
        <v>3</v>
      </c>
      <c r="C129" s="5" t="s">
        <v>64</v>
      </c>
      <c r="D129" s="3">
        <v>7</v>
      </c>
      <c r="E129" s="3"/>
      <c r="F129" s="94">
        <v>41204</v>
      </c>
      <c r="G129" s="3">
        <v>10</v>
      </c>
      <c r="H129" s="3" t="s">
        <v>63</v>
      </c>
      <c r="I129" s="6" t="s">
        <v>7</v>
      </c>
      <c r="J129" s="7" t="b">
        <v>1</v>
      </c>
    </row>
    <row r="130" spans="1:10" ht="13.9">
      <c r="A130" t="s">
        <v>68</v>
      </c>
      <c r="B130" s="4">
        <v>5</v>
      </c>
      <c r="C130" s="5" t="s">
        <v>60</v>
      </c>
      <c r="D130" s="3">
        <v>4</v>
      </c>
      <c r="E130" s="3"/>
      <c r="F130" s="94">
        <v>40877</v>
      </c>
      <c r="G130" s="5">
        <v>11</v>
      </c>
      <c r="H130" s="3" t="s">
        <v>61</v>
      </c>
      <c r="I130" s="9" t="s">
        <v>4</v>
      </c>
      <c r="J130" s="7" t="b">
        <v>1</v>
      </c>
    </row>
    <row r="131" spans="1:10" ht="13.9">
      <c r="A131">
        <v>30523005</v>
      </c>
      <c r="B131" s="4">
        <v>4</v>
      </c>
      <c r="C131" s="5" t="s">
        <v>60</v>
      </c>
      <c r="D131" s="3">
        <v>9</v>
      </c>
      <c r="E131" s="3"/>
      <c r="F131" s="94">
        <v>41208</v>
      </c>
      <c r="G131" s="3">
        <v>10</v>
      </c>
      <c r="H131" s="3" t="s">
        <v>61</v>
      </c>
      <c r="I131" s="6" t="s">
        <v>7</v>
      </c>
      <c r="J131" s="7" t="b">
        <v>1</v>
      </c>
    </row>
    <row r="132" spans="1:10" ht="13.9">
      <c r="A132" s="8" t="s">
        <v>69</v>
      </c>
      <c r="B132" s="4">
        <v>2</v>
      </c>
      <c r="C132" s="5" t="s">
        <v>60</v>
      </c>
      <c r="D132" s="3">
        <v>9</v>
      </c>
      <c r="E132" s="3"/>
      <c r="F132" s="94">
        <v>42152</v>
      </c>
      <c r="G132" s="3">
        <v>7</v>
      </c>
      <c r="H132" s="3" t="s">
        <v>61</v>
      </c>
      <c r="I132" s="6" t="s">
        <v>7</v>
      </c>
      <c r="J132" s="7" t="b">
        <v>1</v>
      </c>
    </row>
    <row r="133" spans="1:10" ht="13.9">
      <c r="A133">
        <v>22919216</v>
      </c>
      <c r="B133" s="4">
        <v>1</v>
      </c>
      <c r="C133" s="5" t="s">
        <v>60</v>
      </c>
      <c r="D133" s="3">
        <v>9</v>
      </c>
      <c r="E133" s="3"/>
      <c r="F133" s="94">
        <v>42500</v>
      </c>
      <c r="G133" s="3">
        <v>6</v>
      </c>
      <c r="H133" s="3" t="s">
        <v>63</v>
      </c>
      <c r="I133" s="6" t="s">
        <v>6</v>
      </c>
      <c r="J133" s="7" t="b">
        <v>1</v>
      </c>
    </row>
    <row r="134" spans="1:10" ht="13.9">
      <c r="A134">
        <v>9412306</v>
      </c>
      <c r="B134" s="4">
        <v>6</v>
      </c>
      <c r="C134" s="5" t="s">
        <v>60</v>
      </c>
      <c r="D134" s="3">
        <v>7</v>
      </c>
      <c r="E134" s="3">
        <v>9</v>
      </c>
      <c r="F134" s="94">
        <v>40436</v>
      </c>
      <c r="G134" s="3">
        <v>12</v>
      </c>
      <c r="H134" s="3" t="s">
        <v>61</v>
      </c>
      <c r="I134" s="6" t="s">
        <v>7</v>
      </c>
      <c r="J134" s="7" t="b">
        <v>1</v>
      </c>
    </row>
    <row r="135" spans="1:10" ht="13.9">
      <c r="A135">
        <v>18614005</v>
      </c>
      <c r="B135" s="4">
        <v>9</v>
      </c>
      <c r="C135" s="5" t="s">
        <v>60</v>
      </c>
      <c r="D135" s="3">
        <v>5</v>
      </c>
      <c r="E135" s="3"/>
      <c r="F135" s="94">
        <v>39466</v>
      </c>
      <c r="G135" s="3">
        <v>14</v>
      </c>
      <c r="H135" s="3" t="s">
        <v>63</v>
      </c>
      <c r="I135" s="9" t="s">
        <v>7</v>
      </c>
      <c r="J135" s="7" t="b">
        <v>1</v>
      </c>
    </row>
    <row r="136" spans="1:10" ht="13.9">
      <c r="A136">
        <v>503000000</v>
      </c>
      <c r="B136" s="4">
        <v>11</v>
      </c>
      <c r="C136" s="5" t="s">
        <v>64</v>
      </c>
      <c r="D136" s="3">
        <v>7</v>
      </c>
      <c r="E136" s="3"/>
      <c r="F136" s="94">
        <v>38230</v>
      </c>
      <c r="G136" s="3">
        <v>18</v>
      </c>
      <c r="H136" s="3" t="s">
        <v>61</v>
      </c>
      <c r="I136" s="9" t="s">
        <v>8</v>
      </c>
      <c r="J136" s="7" t="b">
        <v>1</v>
      </c>
    </row>
    <row r="137" spans="1:10" ht="13.9">
      <c r="A137">
        <v>22916515</v>
      </c>
      <c r="B137" s="4">
        <v>5</v>
      </c>
      <c r="C137" s="5" t="s">
        <v>60</v>
      </c>
      <c r="D137" s="3">
        <v>17</v>
      </c>
      <c r="E137" s="3">
        <v>9</v>
      </c>
      <c r="F137" s="94">
        <v>40700</v>
      </c>
      <c r="G137" s="3">
        <v>11</v>
      </c>
      <c r="H137" s="3" t="s">
        <v>63</v>
      </c>
      <c r="I137" s="6" t="s">
        <v>7</v>
      </c>
      <c r="J137" s="7" t="b">
        <v>1</v>
      </c>
    </row>
    <row r="138" spans="1:10" ht="13.9">
      <c r="A138">
        <v>24123043</v>
      </c>
      <c r="B138" s="4" t="s">
        <v>41</v>
      </c>
      <c r="C138" s="5" t="s">
        <v>60</v>
      </c>
      <c r="D138" s="3">
        <v>17</v>
      </c>
      <c r="E138" s="3">
        <v>9</v>
      </c>
      <c r="F138" s="94">
        <v>42704</v>
      </c>
      <c r="G138" s="3">
        <v>6</v>
      </c>
      <c r="H138" s="3" t="s">
        <v>63</v>
      </c>
      <c r="I138" s="6" t="s">
        <v>7</v>
      </c>
      <c r="J138" s="7" t="b">
        <v>1</v>
      </c>
    </row>
    <row r="139" spans="1:10" ht="13.9">
      <c r="A139" s="8">
        <v>22914415</v>
      </c>
      <c r="B139" s="4">
        <v>6</v>
      </c>
      <c r="C139" s="5" t="s">
        <v>60</v>
      </c>
      <c r="D139" s="8">
        <v>9</v>
      </c>
      <c r="E139" s="5"/>
      <c r="F139" s="94">
        <v>40324</v>
      </c>
      <c r="G139" s="3">
        <v>12</v>
      </c>
      <c r="H139" s="3" t="s">
        <v>63</v>
      </c>
      <c r="I139" s="6" t="s">
        <v>7</v>
      </c>
      <c r="J139" s="7" t="b">
        <v>1</v>
      </c>
    </row>
    <row r="140" spans="1:10" ht="13.9">
      <c r="A140">
        <v>20515012</v>
      </c>
      <c r="B140" s="4">
        <v>7</v>
      </c>
      <c r="C140" s="5" t="s">
        <v>65</v>
      </c>
      <c r="D140" s="3">
        <v>17</v>
      </c>
      <c r="E140" s="3"/>
      <c r="F140" s="94">
        <v>40198</v>
      </c>
      <c r="G140" s="5">
        <v>12</v>
      </c>
      <c r="H140" s="3" t="s">
        <v>63</v>
      </c>
      <c r="I140" s="6" t="s">
        <v>7</v>
      </c>
      <c r="J140" s="7" t="b">
        <v>1</v>
      </c>
    </row>
    <row r="141" spans="1:10" ht="13.9">
      <c r="A141">
        <v>15711327</v>
      </c>
      <c r="B141" s="4">
        <v>12</v>
      </c>
      <c r="C141" s="5" t="s">
        <v>60</v>
      </c>
      <c r="D141" s="3">
        <v>7</v>
      </c>
      <c r="E141" s="3"/>
      <c r="F141" s="94">
        <v>38371</v>
      </c>
      <c r="G141" s="5">
        <v>17</v>
      </c>
      <c r="H141" s="3" t="s">
        <v>63</v>
      </c>
      <c r="I141" s="6" t="s">
        <v>6</v>
      </c>
      <c r="J141" s="7" t="b">
        <v>1</v>
      </c>
    </row>
    <row r="142" spans="1:10" ht="13.9">
      <c r="A142">
        <v>21710560</v>
      </c>
      <c r="B142" s="4">
        <v>12</v>
      </c>
      <c r="C142" s="5" t="s">
        <v>60</v>
      </c>
      <c r="D142" s="3">
        <v>15</v>
      </c>
      <c r="E142" s="3"/>
      <c r="F142" s="94">
        <v>38308</v>
      </c>
      <c r="G142" s="3">
        <v>18</v>
      </c>
      <c r="H142" s="3" t="s">
        <v>63</v>
      </c>
      <c r="I142" s="9" t="s">
        <v>7</v>
      </c>
      <c r="J142" s="7" t="b">
        <v>1</v>
      </c>
    </row>
    <row r="143" spans="1:10" ht="13.9">
      <c r="A143">
        <v>18918051</v>
      </c>
      <c r="B143" s="4">
        <v>4</v>
      </c>
      <c r="C143" s="5" t="s">
        <v>60</v>
      </c>
      <c r="D143" s="3">
        <v>7</v>
      </c>
      <c r="E143" s="3">
        <v>9</v>
      </c>
      <c r="F143" s="94">
        <v>41394</v>
      </c>
      <c r="G143" s="5">
        <v>9</v>
      </c>
      <c r="H143" s="3" t="s">
        <v>63</v>
      </c>
      <c r="I143" s="6" t="s">
        <v>7</v>
      </c>
      <c r="J143" s="7" t="b">
        <v>1</v>
      </c>
    </row>
    <row r="144" spans="1:10" ht="13.9">
      <c r="A144">
        <v>31809766</v>
      </c>
      <c r="B144" s="4">
        <v>10</v>
      </c>
      <c r="C144" s="5" t="s">
        <v>60</v>
      </c>
      <c r="D144" s="3">
        <v>4</v>
      </c>
      <c r="E144" s="5"/>
      <c r="F144" s="94">
        <v>39007</v>
      </c>
      <c r="G144" s="3">
        <v>16</v>
      </c>
      <c r="H144" s="3" t="s">
        <v>63</v>
      </c>
      <c r="I144" s="6" t="s">
        <v>7</v>
      </c>
      <c r="J144" s="7" t="b">
        <v>1</v>
      </c>
    </row>
    <row r="145" spans="1:10" ht="13.9">
      <c r="A145">
        <v>4109955</v>
      </c>
      <c r="B145" s="4">
        <v>6</v>
      </c>
      <c r="C145" s="5" t="s">
        <v>60</v>
      </c>
      <c r="D145" s="3">
        <v>9</v>
      </c>
      <c r="E145" s="5"/>
      <c r="F145" s="94">
        <v>40562</v>
      </c>
      <c r="G145" s="5">
        <v>11</v>
      </c>
      <c r="H145" s="3" t="s">
        <v>63</v>
      </c>
      <c r="I145" s="6" t="s">
        <v>7</v>
      </c>
      <c r="J145" s="7" t="b">
        <v>1</v>
      </c>
    </row>
    <row r="146" spans="1:10" ht="13.9">
      <c r="A146">
        <v>23320023</v>
      </c>
      <c r="B146" s="4">
        <v>3</v>
      </c>
      <c r="C146" s="5" t="s">
        <v>60</v>
      </c>
      <c r="D146" s="3">
        <v>9</v>
      </c>
      <c r="E146" s="3"/>
      <c r="F146" s="94">
        <v>41684</v>
      </c>
      <c r="G146" s="3">
        <v>8</v>
      </c>
      <c r="H146" s="3" t="s">
        <v>63</v>
      </c>
      <c r="I146" s="6" t="s">
        <v>8</v>
      </c>
      <c r="J146" s="7" t="b">
        <v>1</v>
      </c>
    </row>
    <row r="147" spans="1:10" ht="13.9">
      <c r="A147">
        <v>9517046</v>
      </c>
      <c r="B147" s="4">
        <v>5</v>
      </c>
      <c r="C147" s="5" t="s">
        <v>60</v>
      </c>
      <c r="D147" s="3">
        <v>9</v>
      </c>
      <c r="E147" s="5"/>
      <c r="F147" s="94">
        <v>40841</v>
      </c>
      <c r="G147" s="3">
        <v>11</v>
      </c>
      <c r="H147" s="3" t="s">
        <v>63</v>
      </c>
      <c r="I147" s="6" t="s">
        <v>7</v>
      </c>
      <c r="J147" s="7" t="b">
        <v>1</v>
      </c>
    </row>
    <row r="148" spans="1:10" ht="13.9">
      <c r="A148">
        <v>20517007</v>
      </c>
      <c r="B148" s="4">
        <v>5</v>
      </c>
      <c r="C148" s="5" t="s">
        <v>60</v>
      </c>
      <c r="D148" s="3">
        <v>17</v>
      </c>
      <c r="E148" s="3">
        <v>7</v>
      </c>
      <c r="F148" s="94">
        <v>40916</v>
      </c>
      <c r="G148" s="3">
        <v>10</v>
      </c>
      <c r="H148" s="3" t="s">
        <v>63</v>
      </c>
      <c r="I148" s="6" t="s">
        <v>3</v>
      </c>
      <c r="J148" s="7" t="b">
        <v>1</v>
      </c>
    </row>
    <row r="149" spans="1:10" ht="13.9">
      <c r="A149">
        <v>27014129</v>
      </c>
      <c r="B149" s="4">
        <v>11</v>
      </c>
      <c r="C149" s="5" t="s">
        <v>60</v>
      </c>
      <c r="D149" s="3">
        <v>7</v>
      </c>
      <c r="E149" s="3"/>
      <c r="F149" s="94">
        <v>38567</v>
      </c>
      <c r="G149" s="3">
        <v>17</v>
      </c>
      <c r="H149" s="3" t="s">
        <v>61</v>
      </c>
      <c r="I149" s="6" t="s">
        <v>7</v>
      </c>
      <c r="J149" s="7" t="b">
        <v>1</v>
      </c>
    </row>
    <row r="150" spans="1:10" ht="13.9">
      <c r="A150">
        <v>132000000</v>
      </c>
      <c r="B150" s="4">
        <v>7</v>
      </c>
      <c r="C150" s="5" t="s">
        <v>60</v>
      </c>
      <c r="D150" s="3">
        <v>15</v>
      </c>
      <c r="E150" s="3">
        <v>9</v>
      </c>
      <c r="F150" s="94">
        <v>40346</v>
      </c>
      <c r="G150" s="3">
        <v>12</v>
      </c>
      <c r="H150" s="3" t="s">
        <v>63</v>
      </c>
      <c r="I150" s="6" t="s">
        <v>7</v>
      </c>
      <c r="J150" s="7" t="b">
        <v>1</v>
      </c>
    </row>
    <row r="151" spans="1:10" ht="13.9">
      <c r="A151">
        <v>9618309</v>
      </c>
      <c r="B151" s="4">
        <v>6</v>
      </c>
      <c r="C151" s="5" t="s">
        <v>60</v>
      </c>
      <c r="D151" s="3">
        <v>7</v>
      </c>
      <c r="E151" s="3"/>
      <c r="F151" s="94">
        <v>40339</v>
      </c>
      <c r="G151" s="5">
        <v>12</v>
      </c>
      <c r="H151" s="3" t="s">
        <v>63</v>
      </c>
      <c r="I151" s="6" t="s">
        <v>7</v>
      </c>
      <c r="J151" s="7" t="b">
        <v>1</v>
      </c>
    </row>
    <row r="152" spans="1:10" ht="13.9">
      <c r="A152" s="8">
        <v>22910020</v>
      </c>
      <c r="B152" s="4">
        <v>10</v>
      </c>
      <c r="C152" s="5" t="s">
        <v>62</v>
      </c>
      <c r="D152" s="3">
        <v>10</v>
      </c>
      <c r="E152" s="5">
        <v>17</v>
      </c>
      <c r="F152" s="94">
        <v>38983</v>
      </c>
      <c r="G152" s="3">
        <v>16</v>
      </c>
      <c r="H152" s="3" t="s">
        <v>63</v>
      </c>
      <c r="I152" s="6" t="s">
        <v>7</v>
      </c>
      <c r="J152" s="7" t="b">
        <v>1</v>
      </c>
    </row>
    <row r="153" spans="1:10" ht="13.9">
      <c r="A153">
        <v>21921013</v>
      </c>
      <c r="B153" s="4">
        <v>11</v>
      </c>
      <c r="C153" s="5" t="s">
        <v>65</v>
      </c>
      <c r="D153" s="8">
        <v>11</v>
      </c>
      <c r="E153" s="3">
        <v>9</v>
      </c>
      <c r="F153" s="94">
        <v>38015</v>
      </c>
      <c r="G153" s="5">
        <v>18</v>
      </c>
      <c r="H153" s="3" t="s">
        <v>61</v>
      </c>
      <c r="I153" s="6" t="s">
        <v>6</v>
      </c>
      <c r="J153" s="7" t="b">
        <v>1</v>
      </c>
    </row>
    <row r="154" spans="1:10" ht="13.9">
      <c r="A154">
        <v>10123024</v>
      </c>
      <c r="B154" s="4">
        <v>9</v>
      </c>
      <c r="C154" s="5" t="s">
        <v>60</v>
      </c>
      <c r="D154" s="3">
        <v>7</v>
      </c>
      <c r="E154" s="3"/>
      <c r="F154" s="94">
        <v>39470</v>
      </c>
      <c r="G154" s="3">
        <v>14</v>
      </c>
      <c r="H154" s="3" t="s">
        <v>61</v>
      </c>
      <c r="I154" s="6" t="s">
        <v>8</v>
      </c>
      <c r="J154" s="7" t="b">
        <v>1</v>
      </c>
    </row>
    <row r="155" spans="1:10" ht="13.9">
      <c r="A155">
        <v>28112040</v>
      </c>
      <c r="B155" s="4">
        <v>11</v>
      </c>
      <c r="C155" s="5" t="s">
        <v>60</v>
      </c>
      <c r="D155" s="3">
        <v>7</v>
      </c>
      <c r="E155" s="5"/>
      <c r="F155" s="94">
        <v>38613</v>
      </c>
      <c r="G155" s="5">
        <v>17</v>
      </c>
      <c r="H155" s="5" t="s">
        <v>61</v>
      </c>
      <c r="I155" s="6" t="s">
        <v>7</v>
      </c>
      <c r="J155" s="7" t="b">
        <v>1</v>
      </c>
    </row>
    <row r="156" spans="1:10" ht="13.9">
      <c r="A156">
        <v>335000000</v>
      </c>
      <c r="B156" s="4">
        <v>6</v>
      </c>
      <c r="C156" s="5" t="s">
        <v>64</v>
      </c>
      <c r="D156" s="3">
        <v>10</v>
      </c>
      <c r="E156" s="5"/>
      <c r="F156" s="94">
        <v>40109</v>
      </c>
      <c r="G156" s="5">
        <v>13</v>
      </c>
      <c r="H156" s="3" t="s">
        <v>63</v>
      </c>
      <c r="I156" s="6" t="s">
        <v>7</v>
      </c>
      <c r="J156" s="7" t="b">
        <v>1</v>
      </c>
    </row>
    <row r="157" spans="1:10" ht="13.9">
      <c r="A157">
        <v>28119010</v>
      </c>
      <c r="B157" s="4">
        <v>4</v>
      </c>
      <c r="C157" s="5" t="s">
        <v>60</v>
      </c>
      <c r="D157" s="3">
        <v>9</v>
      </c>
      <c r="E157" s="3"/>
      <c r="F157" s="94">
        <v>41388</v>
      </c>
      <c r="G157" s="3">
        <v>9</v>
      </c>
      <c r="H157" s="3" t="s">
        <v>63</v>
      </c>
      <c r="I157" s="6" t="s">
        <v>7</v>
      </c>
      <c r="J157" s="7" t="b">
        <v>1</v>
      </c>
    </row>
    <row r="158" spans="1:10" ht="13.9">
      <c r="A158">
        <v>2517029</v>
      </c>
      <c r="B158" s="4">
        <v>6</v>
      </c>
      <c r="C158" s="5" t="s">
        <v>60</v>
      </c>
      <c r="D158" s="3">
        <v>17</v>
      </c>
      <c r="E158" s="5"/>
      <c r="F158" s="94">
        <v>40407</v>
      </c>
      <c r="G158" s="3">
        <v>12</v>
      </c>
      <c r="H158" s="3" t="s">
        <v>63</v>
      </c>
      <c r="I158" s="6" t="s">
        <v>7</v>
      </c>
      <c r="J158" s="7" t="b">
        <v>1</v>
      </c>
    </row>
    <row r="159" spans="1:10" ht="13.9">
      <c r="A159" s="8">
        <v>31817803</v>
      </c>
      <c r="B159" s="4">
        <v>4</v>
      </c>
      <c r="C159" s="5" t="s">
        <v>60</v>
      </c>
      <c r="D159" s="8">
        <v>17</v>
      </c>
      <c r="E159" s="3"/>
      <c r="F159" s="94">
        <v>41291</v>
      </c>
      <c r="G159" s="5">
        <v>9</v>
      </c>
      <c r="H159" s="3" t="s">
        <v>63</v>
      </c>
      <c r="I159" s="6" t="s">
        <v>7</v>
      </c>
      <c r="J159" s="7" t="b">
        <v>1</v>
      </c>
    </row>
    <row r="160" spans="1:10" ht="13.9">
      <c r="A160">
        <v>24912051</v>
      </c>
      <c r="B160" s="4">
        <v>9</v>
      </c>
      <c r="C160" s="5" t="s">
        <v>62</v>
      </c>
      <c r="D160" s="3">
        <v>10</v>
      </c>
      <c r="E160" s="3"/>
      <c r="F160" s="94">
        <v>39228</v>
      </c>
      <c r="G160" s="3">
        <v>15</v>
      </c>
      <c r="H160" s="3" t="s">
        <v>63</v>
      </c>
      <c r="I160" s="6" t="s">
        <v>4</v>
      </c>
      <c r="J160" s="7" t="b">
        <v>1</v>
      </c>
    </row>
    <row r="161" spans="1:10" ht="13.9">
      <c r="A161">
        <v>448000000</v>
      </c>
      <c r="B161" s="4">
        <v>8</v>
      </c>
      <c r="C161" s="5" t="s">
        <v>65</v>
      </c>
      <c r="D161" s="3">
        <v>7</v>
      </c>
      <c r="E161" s="3"/>
      <c r="F161" s="94">
        <v>39836</v>
      </c>
      <c r="G161" s="5">
        <v>13</v>
      </c>
      <c r="H161" s="3" t="s">
        <v>61</v>
      </c>
      <c r="I161" s="6" t="s">
        <v>4</v>
      </c>
      <c r="J161" s="7" t="b">
        <v>1</v>
      </c>
    </row>
    <row r="162" spans="1:10" ht="13.9">
      <c r="A162">
        <v>7217046</v>
      </c>
      <c r="B162" s="4">
        <v>6</v>
      </c>
      <c r="C162" s="5" t="s">
        <v>60</v>
      </c>
      <c r="D162" s="3">
        <v>7</v>
      </c>
      <c r="E162" s="3"/>
      <c r="F162" s="94">
        <v>40479</v>
      </c>
      <c r="G162" s="5">
        <v>12</v>
      </c>
      <c r="H162" s="3" t="s">
        <v>63</v>
      </c>
      <c r="I162" s="6" t="s">
        <v>7</v>
      </c>
      <c r="J162" s="7" t="b">
        <v>1</v>
      </c>
    </row>
    <row r="163" spans="1:10" ht="13.9">
      <c r="A163">
        <v>15710002</v>
      </c>
      <c r="B163" s="4">
        <v>10</v>
      </c>
      <c r="C163" s="5" t="s">
        <v>62</v>
      </c>
      <c r="D163" s="3">
        <v>10</v>
      </c>
      <c r="E163" s="3"/>
      <c r="F163" s="94">
        <v>38900</v>
      </c>
      <c r="G163" s="5">
        <v>16</v>
      </c>
      <c r="H163" s="3" t="s">
        <v>61</v>
      </c>
      <c r="I163" s="9" t="s">
        <v>7</v>
      </c>
      <c r="J163" s="7" t="b">
        <v>1</v>
      </c>
    </row>
    <row r="164" spans="1:10" ht="13.9">
      <c r="A164">
        <v>901000000</v>
      </c>
      <c r="B164" s="4">
        <v>1</v>
      </c>
      <c r="C164" s="5" t="s">
        <v>64</v>
      </c>
      <c r="D164" s="8">
        <v>9</v>
      </c>
      <c r="E164" s="3"/>
      <c r="F164" s="94">
        <v>42379</v>
      </c>
      <c r="G164" s="3">
        <v>6</v>
      </c>
      <c r="H164" s="3" t="s">
        <v>61</v>
      </c>
      <c r="I164" s="6" t="s">
        <v>7</v>
      </c>
      <c r="J164" s="7" t="b">
        <v>1</v>
      </c>
    </row>
    <row r="165" spans="1:10" ht="13.9">
      <c r="A165">
        <v>18915009</v>
      </c>
      <c r="B165" s="4">
        <v>7</v>
      </c>
      <c r="C165" s="5" t="s">
        <v>60</v>
      </c>
      <c r="D165" s="3">
        <v>7</v>
      </c>
      <c r="E165" s="3"/>
      <c r="F165" s="94">
        <v>40138</v>
      </c>
      <c r="G165" s="3">
        <v>13</v>
      </c>
      <c r="H165" s="3" t="s">
        <v>63</v>
      </c>
      <c r="I165" s="6" t="s">
        <v>7</v>
      </c>
      <c r="J165" s="7" t="b">
        <v>1</v>
      </c>
    </row>
    <row r="166" spans="1:10" ht="13.9">
      <c r="A166" t="s">
        <v>70</v>
      </c>
      <c r="B166" s="4">
        <v>11</v>
      </c>
      <c r="C166" s="5" t="s">
        <v>64</v>
      </c>
      <c r="D166" s="3">
        <v>17</v>
      </c>
      <c r="E166" s="5"/>
      <c r="F166" s="94">
        <v>38583</v>
      </c>
      <c r="G166" s="5">
        <v>17</v>
      </c>
      <c r="H166" s="3" t="s">
        <v>63</v>
      </c>
      <c r="I166" s="6" t="s">
        <v>7</v>
      </c>
      <c r="J166" s="7" t="b">
        <v>1</v>
      </c>
    </row>
    <row r="167" spans="1:10" ht="13.9">
      <c r="A167">
        <v>1000000000</v>
      </c>
      <c r="B167" s="4">
        <v>2</v>
      </c>
      <c r="C167" s="5" t="s">
        <v>64</v>
      </c>
      <c r="D167" s="8">
        <v>8</v>
      </c>
      <c r="E167" s="3">
        <v>9</v>
      </c>
      <c r="F167" s="94">
        <v>41782</v>
      </c>
      <c r="G167" s="3">
        <v>8</v>
      </c>
      <c r="H167" s="3" t="s">
        <v>63</v>
      </c>
      <c r="I167" s="6" t="s">
        <v>7</v>
      </c>
      <c r="J167" s="7" t="b">
        <v>1</v>
      </c>
    </row>
    <row r="168" spans="1:10" ht="13.9">
      <c r="A168">
        <v>136000000</v>
      </c>
      <c r="B168" s="4">
        <v>6</v>
      </c>
      <c r="C168" s="5" t="s">
        <v>60</v>
      </c>
      <c r="D168" s="3">
        <v>7</v>
      </c>
      <c r="E168" s="3">
        <v>17</v>
      </c>
      <c r="F168" s="94">
        <v>40590</v>
      </c>
      <c r="G168" s="3">
        <v>11</v>
      </c>
      <c r="H168" s="3" t="s">
        <v>63</v>
      </c>
      <c r="I168" s="6" t="s">
        <v>7</v>
      </c>
      <c r="J168" s="7" t="b">
        <v>1</v>
      </c>
    </row>
    <row r="169" spans="1:10" ht="13.9">
      <c r="A169">
        <v>251000000</v>
      </c>
      <c r="B169" s="4">
        <v>10</v>
      </c>
      <c r="C169" s="5" t="s">
        <v>62</v>
      </c>
      <c r="D169" s="3">
        <v>15</v>
      </c>
      <c r="E169" s="5">
        <v>9</v>
      </c>
      <c r="F169" s="94">
        <v>39149</v>
      </c>
      <c r="G169" s="5">
        <v>15</v>
      </c>
      <c r="H169" s="3" t="s">
        <v>63</v>
      </c>
      <c r="I169" s="6" t="s">
        <v>7</v>
      </c>
      <c r="J169" s="7" t="b">
        <v>1</v>
      </c>
    </row>
    <row r="170" spans="1:10" ht="13.9">
      <c r="A170">
        <v>22914115</v>
      </c>
      <c r="B170" s="4">
        <v>7</v>
      </c>
      <c r="C170" s="5" t="s">
        <v>60</v>
      </c>
      <c r="D170" s="8">
        <v>17</v>
      </c>
      <c r="E170" s="3"/>
      <c r="F170" s="94">
        <v>40055</v>
      </c>
      <c r="G170" s="3">
        <v>13</v>
      </c>
      <c r="H170" s="3" t="s">
        <v>63</v>
      </c>
      <c r="I170" s="9" t="s">
        <v>4</v>
      </c>
      <c r="J170" s="7" t="b">
        <v>1</v>
      </c>
    </row>
    <row r="171" spans="1:10" ht="13.9">
      <c r="A171">
        <v>4109371</v>
      </c>
      <c r="B171" s="4">
        <v>8</v>
      </c>
      <c r="C171" s="5" t="s">
        <v>60</v>
      </c>
      <c r="D171" s="8">
        <v>2</v>
      </c>
      <c r="E171" s="3">
        <v>9</v>
      </c>
      <c r="F171" s="94">
        <v>39360</v>
      </c>
      <c r="G171" s="3">
        <v>15</v>
      </c>
      <c r="H171" s="5" t="s">
        <v>63</v>
      </c>
      <c r="I171" s="6" t="s">
        <v>7</v>
      </c>
      <c r="J171" s="7" t="b">
        <v>1</v>
      </c>
    </row>
    <row r="172" spans="1:10" ht="13.9">
      <c r="A172">
        <v>26916086</v>
      </c>
      <c r="B172" s="4">
        <v>6</v>
      </c>
      <c r="C172" s="5" t="s">
        <v>60</v>
      </c>
      <c r="D172" s="3">
        <v>7</v>
      </c>
      <c r="E172" s="3">
        <v>9</v>
      </c>
      <c r="F172" s="94">
        <v>40354</v>
      </c>
      <c r="G172" s="5">
        <v>12</v>
      </c>
      <c r="H172" s="3" t="s">
        <v>61</v>
      </c>
      <c r="I172" s="6" t="s">
        <v>7</v>
      </c>
      <c r="J172" s="7" t="b">
        <v>1</v>
      </c>
    </row>
    <row r="173" spans="1:10" ht="13.9">
      <c r="A173">
        <v>28123032</v>
      </c>
      <c r="B173" s="4" t="s">
        <v>41</v>
      </c>
      <c r="C173" s="5" t="s">
        <v>60</v>
      </c>
      <c r="D173" s="3">
        <v>9</v>
      </c>
      <c r="E173" s="3"/>
      <c r="F173" s="94">
        <v>42594</v>
      </c>
      <c r="G173" s="3">
        <v>6</v>
      </c>
      <c r="H173" s="3" t="s">
        <v>61</v>
      </c>
      <c r="I173" s="6" t="s">
        <v>8</v>
      </c>
      <c r="J173" s="7" t="b">
        <v>1</v>
      </c>
    </row>
    <row r="174" spans="1:10" ht="13.9">
      <c r="A174">
        <v>27315040</v>
      </c>
      <c r="B174" s="4">
        <v>8</v>
      </c>
      <c r="C174" s="5" t="s">
        <v>60</v>
      </c>
      <c r="D174" s="3">
        <v>7</v>
      </c>
      <c r="E174" s="3"/>
      <c r="F174" s="94">
        <v>39710</v>
      </c>
      <c r="G174" s="3">
        <v>14</v>
      </c>
      <c r="H174" s="3" t="s">
        <v>61</v>
      </c>
      <c r="I174" s="6" t="s">
        <v>7</v>
      </c>
      <c r="J174" s="7" t="b">
        <v>1</v>
      </c>
    </row>
    <row r="175" spans="1:10" ht="13.9">
      <c r="A175">
        <v>9618085</v>
      </c>
      <c r="B175" s="4">
        <v>4</v>
      </c>
      <c r="C175" s="5" t="s">
        <v>60</v>
      </c>
      <c r="D175" s="3">
        <v>7</v>
      </c>
      <c r="E175" s="3"/>
      <c r="F175" s="94">
        <v>41301</v>
      </c>
      <c r="G175" s="3">
        <v>9</v>
      </c>
      <c r="H175" s="3" t="s">
        <v>61</v>
      </c>
      <c r="I175" s="6" t="s">
        <v>7</v>
      </c>
      <c r="J175" s="7" t="b">
        <v>1</v>
      </c>
    </row>
    <row r="176" spans="1:10" ht="13.9">
      <c r="A176">
        <v>20921041</v>
      </c>
      <c r="B176" s="4">
        <v>7</v>
      </c>
      <c r="C176" s="5" t="s">
        <v>60</v>
      </c>
      <c r="D176" s="3">
        <v>17</v>
      </c>
      <c r="E176" s="3">
        <v>9</v>
      </c>
      <c r="F176" s="94">
        <v>40144</v>
      </c>
      <c r="G176" s="3">
        <v>13</v>
      </c>
      <c r="H176" s="3" t="s">
        <v>61</v>
      </c>
      <c r="I176" s="6" t="s">
        <v>7</v>
      </c>
      <c r="J176" s="7" t="b">
        <v>1</v>
      </c>
    </row>
    <row r="177" spans="1:10" ht="13.9">
      <c r="A177">
        <v>28118033</v>
      </c>
      <c r="B177" s="4">
        <v>5</v>
      </c>
      <c r="C177" s="5" t="s">
        <v>62</v>
      </c>
      <c r="D177" s="3">
        <v>17</v>
      </c>
      <c r="E177" s="3"/>
      <c r="F177" s="94">
        <v>41096</v>
      </c>
      <c r="G177" s="3">
        <v>10</v>
      </c>
      <c r="H177" s="3" t="s">
        <v>61</v>
      </c>
      <c r="I177" s="6" t="s">
        <v>7</v>
      </c>
      <c r="J177" s="7" t="b">
        <v>1</v>
      </c>
    </row>
    <row r="178" spans="1:10" ht="13.9">
      <c r="A178">
        <v>25319019</v>
      </c>
      <c r="B178" s="4">
        <v>3</v>
      </c>
      <c r="C178" s="5" t="s">
        <v>71</v>
      </c>
      <c r="D178" s="3">
        <v>15</v>
      </c>
      <c r="E178" s="3">
        <v>9</v>
      </c>
      <c r="F178" s="94">
        <v>41836</v>
      </c>
      <c r="G178" s="5">
        <v>8</v>
      </c>
      <c r="H178" s="3" t="s">
        <v>61</v>
      </c>
      <c r="I178" s="6" t="s">
        <v>4</v>
      </c>
      <c r="J178" s="7" t="b">
        <v>1</v>
      </c>
    </row>
    <row r="179" spans="1:10" ht="13.9">
      <c r="A179">
        <v>22907634</v>
      </c>
      <c r="B179" s="4">
        <v>12</v>
      </c>
      <c r="C179" s="5" t="s">
        <v>60</v>
      </c>
      <c r="D179" s="3">
        <v>7</v>
      </c>
      <c r="E179" s="3"/>
      <c r="F179" s="94">
        <v>37978</v>
      </c>
      <c r="G179" s="5">
        <v>18</v>
      </c>
      <c r="H179" s="3" t="s">
        <v>61</v>
      </c>
      <c r="I179" s="6" t="s">
        <v>7</v>
      </c>
      <c r="J179" s="7" t="b">
        <v>1</v>
      </c>
    </row>
    <row r="180" spans="1:10" ht="13.9">
      <c r="A180">
        <v>9418029</v>
      </c>
      <c r="B180" s="4">
        <v>4</v>
      </c>
      <c r="C180" s="5" t="s">
        <v>60</v>
      </c>
      <c r="D180" s="3">
        <v>7</v>
      </c>
      <c r="E180" s="3"/>
      <c r="F180" s="94">
        <v>41314</v>
      </c>
      <c r="G180" s="5">
        <v>9</v>
      </c>
      <c r="H180" s="3" t="s">
        <v>63</v>
      </c>
      <c r="I180" s="6" t="s">
        <v>7</v>
      </c>
      <c r="J180" s="7" t="b">
        <v>1</v>
      </c>
    </row>
    <row r="181" spans="1:10" ht="13.9">
      <c r="A181">
        <v>4616037</v>
      </c>
      <c r="B181" s="4">
        <v>7</v>
      </c>
      <c r="C181" s="5" t="s">
        <v>60</v>
      </c>
      <c r="D181" s="3">
        <v>17</v>
      </c>
      <c r="E181" s="5"/>
      <c r="F181" s="94">
        <v>39899</v>
      </c>
      <c r="G181" s="3">
        <v>13</v>
      </c>
      <c r="H181" s="3" t="s">
        <v>63</v>
      </c>
      <c r="I181" s="6" t="s">
        <v>7</v>
      </c>
      <c r="J181" s="7" t="b">
        <v>1</v>
      </c>
    </row>
    <row r="182" spans="1:10" ht="13.9">
      <c r="A182">
        <v>8915505</v>
      </c>
      <c r="B182" s="4">
        <v>6</v>
      </c>
      <c r="C182" s="5" t="s">
        <v>65</v>
      </c>
      <c r="D182" s="3">
        <v>5</v>
      </c>
      <c r="E182" s="3">
        <v>17</v>
      </c>
      <c r="F182" s="94">
        <v>40102</v>
      </c>
      <c r="G182" s="3">
        <v>13</v>
      </c>
      <c r="H182" s="3" t="s">
        <v>63</v>
      </c>
      <c r="I182" s="6" t="s">
        <v>7</v>
      </c>
      <c r="J182" s="7" t="b">
        <v>1</v>
      </c>
    </row>
    <row r="183" spans="1:10" ht="13.9">
      <c r="A183">
        <v>31810733</v>
      </c>
      <c r="B183" s="4">
        <v>12</v>
      </c>
      <c r="C183" s="5" t="s">
        <v>60</v>
      </c>
      <c r="D183" s="3">
        <v>7</v>
      </c>
      <c r="E183" s="3"/>
      <c r="F183" s="94">
        <v>38305</v>
      </c>
      <c r="G183" s="5">
        <v>18</v>
      </c>
      <c r="H183" s="3" t="s">
        <v>63</v>
      </c>
      <c r="I183" s="6" t="s">
        <v>4</v>
      </c>
      <c r="J183" s="7" t="b">
        <v>1</v>
      </c>
    </row>
    <row r="184" spans="1:10" ht="13.9">
      <c r="A184">
        <v>22921109</v>
      </c>
      <c r="B184" s="4" t="s">
        <v>41</v>
      </c>
      <c r="C184" s="5" t="s">
        <v>60</v>
      </c>
      <c r="D184" s="3">
        <v>9</v>
      </c>
      <c r="E184" s="3"/>
      <c r="F184" s="94">
        <v>42864</v>
      </c>
      <c r="G184" s="3">
        <v>5</v>
      </c>
      <c r="H184" s="5" t="s">
        <v>63</v>
      </c>
      <c r="I184" s="6" t="s">
        <v>7</v>
      </c>
      <c r="J184" s="7" t="b">
        <v>1</v>
      </c>
    </row>
    <row r="185" spans="1:10" ht="13.9">
      <c r="A185">
        <v>9621010</v>
      </c>
      <c r="B185" s="4">
        <v>1</v>
      </c>
      <c r="C185" s="5" t="s">
        <v>60</v>
      </c>
      <c r="D185" s="3">
        <v>15</v>
      </c>
      <c r="E185" s="5">
        <v>9</v>
      </c>
      <c r="F185" s="94">
        <v>42162</v>
      </c>
      <c r="G185" s="3">
        <v>7</v>
      </c>
      <c r="H185" s="3" t="s">
        <v>63</v>
      </c>
      <c r="I185" s="6" t="s">
        <v>7</v>
      </c>
      <c r="J185" s="7" t="b">
        <v>1</v>
      </c>
    </row>
    <row r="186" spans="1:10" ht="13.9">
      <c r="A186">
        <v>8715057</v>
      </c>
      <c r="B186" s="4">
        <v>6</v>
      </c>
      <c r="C186" s="5" t="s">
        <v>65</v>
      </c>
      <c r="D186" s="3">
        <v>5</v>
      </c>
      <c r="E186" s="3"/>
      <c r="F186" s="94">
        <v>40254</v>
      </c>
      <c r="G186" s="3">
        <v>12</v>
      </c>
      <c r="H186" s="3" t="s">
        <v>63</v>
      </c>
      <c r="I186" s="9" t="s">
        <v>7</v>
      </c>
      <c r="J186" s="7" t="b">
        <v>1</v>
      </c>
    </row>
    <row r="187" spans="1:10" ht="13.9">
      <c r="A187">
        <v>31013152</v>
      </c>
      <c r="B187" s="4">
        <v>10</v>
      </c>
      <c r="C187" s="5" t="s">
        <v>60</v>
      </c>
      <c r="D187" s="3">
        <v>7</v>
      </c>
      <c r="E187" s="3"/>
      <c r="F187" s="94">
        <v>39008</v>
      </c>
      <c r="G187" s="5">
        <v>16</v>
      </c>
      <c r="H187" s="3" t="s">
        <v>61</v>
      </c>
      <c r="I187" s="6" t="s">
        <v>4</v>
      </c>
      <c r="J187" s="7" t="b">
        <v>1</v>
      </c>
    </row>
    <row r="188" spans="1:10" ht="13.9">
      <c r="A188">
        <v>22121065</v>
      </c>
      <c r="B188" s="4">
        <v>3</v>
      </c>
      <c r="C188" s="5" t="s">
        <v>62</v>
      </c>
      <c r="D188" s="3">
        <v>17</v>
      </c>
      <c r="E188" s="3">
        <v>9</v>
      </c>
      <c r="F188" s="94">
        <v>41619</v>
      </c>
      <c r="G188" s="3">
        <v>8</v>
      </c>
      <c r="H188" s="3" t="s">
        <v>63</v>
      </c>
      <c r="I188" s="6" t="s">
        <v>6</v>
      </c>
      <c r="J188" s="7" t="b">
        <v>1</v>
      </c>
    </row>
    <row r="189" spans="1:10" ht="13.9">
      <c r="A189" t="s">
        <v>72</v>
      </c>
      <c r="B189" s="4">
        <v>1</v>
      </c>
      <c r="C189" s="5" t="s">
        <v>60</v>
      </c>
      <c r="D189" s="3">
        <v>17</v>
      </c>
      <c r="E189" s="5"/>
      <c r="F189" s="94">
        <v>42468</v>
      </c>
      <c r="G189" s="3">
        <v>6</v>
      </c>
      <c r="H189" s="3" t="s">
        <v>63</v>
      </c>
      <c r="I189" s="6" t="s">
        <v>7</v>
      </c>
      <c r="J189" s="7" t="b">
        <v>1</v>
      </c>
    </row>
    <row r="190" spans="1:10" ht="13.9">
      <c r="A190">
        <v>9416023</v>
      </c>
      <c r="B190" s="4">
        <v>6</v>
      </c>
      <c r="C190" s="5" t="s">
        <v>60</v>
      </c>
      <c r="D190" s="3">
        <v>7</v>
      </c>
      <c r="E190" s="3"/>
      <c r="F190" s="94">
        <v>40361</v>
      </c>
      <c r="G190" s="5">
        <v>12</v>
      </c>
      <c r="H190" s="3" t="s">
        <v>61</v>
      </c>
      <c r="I190" s="6" t="s">
        <v>7</v>
      </c>
      <c r="J190" s="7" t="b">
        <v>1</v>
      </c>
    </row>
    <row r="191" spans="1:10" ht="13.9">
      <c r="A191">
        <v>16112032</v>
      </c>
      <c r="B191" s="4">
        <v>11</v>
      </c>
      <c r="C191" s="5" t="s">
        <v>60</v>
      </c>
      <c r="D191" s="3">
        <v>7</v>
      </c>
      <c r="E191" s="3"/>
      <c r="F191" s="94">
        <v>38884</v>
      </c>
      <c r="G191" s="5">
        <v>16</v>
      </c>
      <c r="H191" s="3" t="s">
        <v>61</v>
      </c>
      <c r="I191" s="6" t="s">
        <v>7</v>
      </c>
      <c r="J191" s="7" t="b">
        <v>1</v>
      </c>
    </row>
    <row r="192" spans="1:10" ht="13.9">
      <c r="A192">
        <v>9214309</v>
      </c>
      <c r="B192" s="4">
        <v>8</v>
      </c>
      <c r="C192" s="5" t="s">
        <v>65</v>
      </c>
      <c r="D192" s="3">
        <v>15</v>
      </c>
      <c r="E192" s="3">
        <v>9</v>
      </c>
      <c r="F192" s="94">
        <v>39567</v>
      </c>
      <c r="G192" s="3">
        <v>14</v>
      </c>
      <c r="H192" s="3" t="s">
        <v>63</v>
      </c>
      <c r="I192" s="6" t="s">
        <v>7</v>
      </c>
      <c r="J192" s="7" t="b">
        <v>1</v>
      </c>
    </row>
    <row r="193" spans="1:10" ht="13.9">
      <c r="A193" t="s">
        <v>73</v>
      </c>
      <c r="B193" s="4">
        <v>6</v>
      </c>
      <c r="C193" s="5" t="s">
        <v>60</v>
      </c>
      <c r="D193" s="3">
        <v>17</v>
      </c>
      <c r="E193" s="5">
        <v>7</v>
      </c>
      <c r="F193" s="94">
        <v>40523</v>
      </c>
      <c r="G193" s="3">
        <v>11</v>
      </c>
      <c r="H193" s="3" t="s">
        <v>63</v>
      </c>
      <c r="I193" s="6" t="s">
        <v>7</v>
      </c>
      <c r="J193" s="7" t="b">
        <v>1</v>
      </c>
    </row>
    <row r="194" spans="1:10" ht="13.9">
      <c r="A194">
        <v>24021001</v>
      </c>
      <c r="B194" s="4">
        <v>8</v>
      </c>
      <c r="C194" s="5" t="s">
        <v>60</v>
      </c>
      <c r="D194" s="3">
        <v>5</v>
      </c>
      <c r="E194" s="3"/>
      <c r="F194" s="94">
        <v>39927</v>
      </c>
      <c r="G194" s="5">
        <v>13</v>
      </c>
      <c r="H194" s="3" t="s">
        <v>63</v>
      </c>
      <c r="I194" s="6" t="s">
        <v>7</v>
      </c>
      <c r="J194" s="7" t="b">
        <v>1</v>
      </c>
    </row>
    <row r="195" spans="1:10" ht="13.9">
      <c r="A195">
        <v>908000000</v>
      </c>
      <c r="B195" s="4">
        <v>9</v>
      </c>
      <c r="C195" s="5" t="s">
        <v>65</v>
      </c>
      <c r="D195" s="3">
        <v>17</v>
      </c>
      <c r="E195" s="3"/>
      <c r="F195" s="94">
        <v>39231</v>
      </c>
      <c r="G195" s="5">
        <v>15</v>
      </c>
      <c r="H195" s="3" t="s">
        <v>61</v>
      </c>
      <c r="I195" s="6" t="s">
        <v>7</v>
      </c>
      <c r="J195" s="7" t="b">
        <v>1</v>
      </c>
    </row>
    <row r="196" spans="1:10" ht="13.9">
      <c r="A196">
        <v>250000000</v>
      </c>
      <c r="B196" s="4">
        <v>7</v>
      </c>
      <c r="C196" s="5" t="s">
        <v>60</v>
      </c>
      <c r="D196" s="3">
        <v>7</v>
      </c>
      <c r="E196" s="3"/>
      <c r="F196" s="94">
        <v>39874</v>
      </c>
      <c r="G196" s="3">
        <v>13</v>
      </c>
      <c r="H196" s="3" t="s">
        <v>63</v>
      </c>
      <c r="I196" s="6" t="s">
        <v>7</v>
      </c>
      <c r="J196" s="7" t="b">
        <v>1</v>
      </c>
    </row>
    <row r="197" spans="1:10" ht="13.9">
      <c r="A197">
        <v>27511567</v>
      </c>
      <c r="B197" s="4">
        <v>11</v>
      </c>
      <c r="C197" s="5" t="s">
        <v>60</v>
      </c>
      <c r="D197" s="8">
        <v>17</v>
      </c>
      <c r="E197" s="3"/>
      <c r="F197" s="94">
        <v>38898</v>
      </c>
      <c r="G197" s="5">
        <v>16</v>
      </c>
      <c r="H197" s="3" t="s">
        <v>63</v>
      </c>
      <c r="I197" s="9" t="s">
        <v>7</v>
      </c>
      <c r="J197" s="7" t="b">
        <v>1</v>
      </c>
    </row>
    <row r="198" spans="1:10" ht="13.9">
      <c r="A198" t="s">
        <v>74</v>
      </c>
      <c r="B198" s="4">
        <v>1</v>
      </c>
      <c r="C198" s="5" t="s">
        <v>64</v>
      </c>
      <c r="D198" s="8">
        <v>9</v>
      </c>
      <c r="E198" s="3"/>
      <c r="F198" s="94">
        <v>42460</v>
      </c>
      <c r="G198" s="3">
        <v>6</v>
      </c>
      <c r="H198" s="3" t="s">
        <v>63</v>
      </c>
      <c r="I198" s="6" t="s">
        <v>7</v>
      </c>
      <c r="J198" s="7" t="b">
        <v>1</v>
      </c>
    </row>
    <row r="199" spans="1:10" ht="13.9">
      <c r="A199">
        <v>22920201</v>
      </c>
      <c r="B199" s="4">
        <v>2</v>
      </c>
      <c r="C199" s="5" t="s">
        <v>60</v>
      </c>
      <c r="D199" s="3">
        <v>8</v>
      </c>
      <c r="E199" s="5">
        <v>9</v>
      </c>
      <c r="F199" s="94">
        <v>41657</v>
      </c>
      <c r="G199" s="5">
        <v>8</v>
      </c>
      <c r="H199" s="3" t="s">
        <v>63</v>
      </c>
      <c r="I199" s="6" t="s">
        <v>7</v>
      </c>
      <c r="J199" s="7" t="b">
        <v>1</v>
      </c>
    </row>
    <row r="200" spans="1:10" ht="13.9">
      <c r="A200">
        <v>20917009</v>
      </c>
      <c r="B200" s="4">
        <v>6</v>
      </c>
      <c r="C200" s="5" t="s">
        <v>60</v>
      </c>
      <c r="D200" s="3">
        <v>7</v>
      </c>
      <c r="E200" s="3"/>
      <c r="F200" s="94">
        <v>40589</v>
      </c>
      <c r="G200" s="3">
        <v>11</v>
      </c>
      <c r="H200" s="3" t="s">
        <v>61</v>
      </c>
      <c r="I200" s="6" t="s">
        <v>7</v>
      </c>
      <c r="J200" s="7" t="b">
        <v>1</v>
      </c>
    </row>
    <row r="201" spans="1:10" ht="13.9">
      <c r="A201">
        <v>22118035</v>
      </c>
      <c r="B201" s="4">
        <v>5</v>
      </c>
      <c r="C201" s="5" t="s">
        <v>60</v>
      </c>
      <c r="D201" s="3">
        <v>7</v>
      </c>
      <c r="E201" s="3"/>
      <c r="F201" s="94">
        <v>40936</v>
      </c>
      <c r="G201" s="3">
        <v>10</v>
      </c>
      <c r="H201" s="3" t="s">
        <v>61</v>
      </c>
      <c r="I201" s="6" t="s">
        <v>7</v>
      </c>
      <c r="J201" s="7" t="b">
        <v>1</v>
      </c>
    </row>
    <row r="202" spans="1:10" ht="13.9">
      <c r="A202">
        <v>16411575</v>
      </c>
      <c r="B202" s="4">
        <v>9</v>
      </c>
      <c r="C202" s="5" t="s">
        <v>60</v>
      </c>
      <c r="D202" s="3">
        <v>7</v>
      </c>
      <c r="E202" s="3">
        <v>17</v>
      </c>
      <c r="F202" s="94">
        <v>38921</v>
      </c>
      <c r="G202" s="3">
        <v>16</v>
      </c>
      <c r="H202" s="3" t="s">
        <v>63</v>
      </c>
      <c r="I202" s="6" t="s">
        <v>7</v>
      </c>
      <c r="J202" s="7" t="b">
        <v>1</v>
      </c>
    </row>
    <row r="203" spans="1:10" ht="13.9">
      <c r="A203">
        <v>22919044</v>
      </c>
      <c r="B203" s="4">
        <v>2</v>
      </c>
      <c r="C203" s="5" t="s">
        <v>60</v>
      </c>
      <c r="D203" s="3">
        <v>8</v>
      </c>
      <c r="E203" s="3">
        <v>9</v>
      </c>
      <c r="F203" s="94">
        <v>41957</v>
      </c>
      <c r="G203" s="3">
        <v>8</v>
      </c>
      <c r="H203" s="3" t="s">
        <v>63</v>
      </c>
      <c r="I203" s="6" t="s">
        <v>7</v>
      </c>
      <c r="J203" s="7" t="b">
        <v>1</v>
      </c>
    </row>
    <row r="204" spans="1:10" ht="13.9">
      <c r="A204">
        <v>22914378</v>
      </c>
      <c r="B204" s="4">
        <v>4</v>
      </c>
      <c r="C204" s="5" t="s">
        <v>60</v>
      </c>
      <c r="D204" s="3">
        <v>17</v>
      </c>
      <c r="E204" s="3">
        <v>9</v>
      </c>
      <c r="F204" s="94">
        <v>40842</v>
      </c>
      <c r="G204" s="3">
        <v>11</v>
      </c>
      <c r="H204" s="5" t="s">
        <v>61</v>
      </c>
      <c r="I204" s="6" t="s">
        <v>7</v>
      </c>
      <c r="J204" s="7" t="b">
        <v>1</v>
      </c>
    </row>
    <row r="205" spans="1:10" ht="13.9">
      <c r="A205" t="s">
        <v>75</v>
      </c>
      <c r="B205" s="4">
        <v>10</v>
      </c>
      <c r="C205" s="5" t="s">
        <v>60</v>
      </c>
      <c r="D205" s="3">
        <v>16</v>
      </c>
      <c r="E205" s="3"/>
      <c r="F205" s="94">
        <v>39021</v>
      </c>
      <c r="G205" s="3">
        <v>16</v>
      </c>
      <c r="H205" s="3" t="s">
        <v>61</v>
      </c>
      <c r="I205" s="6" t="s">
        <v>7</v>
      </c>
      <c r="J205" s="7" t="b">
        <v>1</v>
      </c>
    </row>
    <row r="206" spans="1:10" ht="13.9">
      <c r="A206" s="8" t="s">
        <v>76</v>
      </c>
      <c r="B206" s="4">
        <v>12</v>
      </c>
      <c r="C206" s="5" t="s">
        <v>64</v>
      </c>
      <c r="D206" s="3">
        <v>4</v>
      </c>
      <c r="E206" s="3"/>
      <c r="F206" s="94">
        <v>38397</v>
      </c>
      <c r="G206" s="5">
        <v>17</v>
      </c>
      <c r="H206" s="3" t="s">
        <v>61</v>
      </c>
      <c r="I206" s="6" t="s">
        <v>7</v>
      </c>
      <c r="J206" s="7" t="b">
        <v>1</v>
      </c>
    </row>
    <row r="207" spans="1:10" ht="13.9">
      <c r="A207">
        <v>24116054</v>
      </c>
      <c r="B207" s="4">
        <v>6</v>
      </c>
      <c r="C207" s="5" t="s">
        <v>60</v>
      </c>
      <c r="D207" s="3">
        <v>7</v>
      </c>
      <c r="E207" s="5"/>
      <c r="F207" s="94">
        <v>40668</v>
      </c>
      <c r="G207" s="5">
        <v>11</v>
      </c>
      <c r="H207" s="3" t="s">
        <v>61</v>
      </c>
      <c r="I207" s="6" t="s">
        <v>7</v>
      </c>
      <c r="J207" s="7" t="b">
        <v>1</v>
      </c>
    </row>
    <row r="208" spans="1:10" ht="13.9">
      <c r="A208">
        <v>9414505</v>
      </c>
      <c r="B208" s="4">
        <v>4</v>
      </c>
      <c r="C208" s="5" t="s">
        <v>65</v>
      </c>
      <c r="D208" s="3">
        <v>11</v>
      </c>
      <c r="E208" s="5">
        <v>9</v>
      </c>
      <c r="F208" s="94">
        <v>40970</v>
      </c>
      <c r="G208" s="3">
        <v>10</v>
      </c>
      <c r="H208" s="3" t="s">
        <v>63</v>
      </c>
      <c r="I208" s="6" t="s">
        <v>7</v>
      </c>
      <c r="J208" s="7" t="b">
        <v>1</v>
      </c>
    </row>
    <row r="209" spans="1:10" ht="13.9">
      <c r="A209">
        <v>682000000</v>
      </c>
      <c r="B209" s="4">
        <v>1</v>
      </c>
      <c r="C209" s="5" t="s">
        <v>60</v>
      </c>
      <c r="D209" s="3">
        <v>15</v>
      </c>
      <c r="E209" s="3">
        <v>9</v>
      </c>
      <c r="F209" s="94">
        <v>42336</v>
      </c>
      <c r="G209" s="3">
        <v>7</v>
      </c>
      <c r="H209" s="3" t="s">
        <v>63</v>
      </c>
      <c r="I209" s="9" t="s">
        <v>7</v>
      </c>
      <c r="J209" s="7" t="b">
        <v>1</v>
      </c>
    </row>
    <row r="210" spans="1:10" ht="13.9">
      <c r="A210">
        <v>58512120</v>
      </c>
      <c r="B210" s="4">
        <v>6</v>
      </c>
      <c r="C210" s="5" t="s">
        <v>64</v>
      </c>
      <c r="D210" s="3">
        <v>17</v>
      </c>
      <c r="E210" s="3"/>
      <c r="F210" s="94">
        <v>40370</v>
      </c>
      <c r="G210" s="5">
        <v>12</v>
      </c>
      <c r="H210" s="3" t="s">
        <v>61</v>
      </c>
      <c r="I210" s="6" t="s">
        <v>7</v>
      </c>
      <c r="J210" s="7" t="b">
        <v>1</v>
      </c>
    </row>
    <row r="211" spans="1:10" ht="13.9">
      <c r="A211">
        <v>22917356</v>
      </c>
      <c r="B211" s="4">
        <v>2</v>
      </c>
      <c r="C211" s="5" t="s">
        <v>60</v>
      </c>
      <c r="D211" s="8">
        <v>7</v>
      </c>
      <c r="E211" s="3">
        <v>9</v>
      </c>
      <c r="F211" s="94">
        <v>41667</v>
      </c>
      <c r="G211" s="5">
        <v>8</v>
      </c>
      <c r="H211" s="3" t="s">
        <v>63</v>
      </c>
      <c r="I211" s="6" t="s">
        <v>7</v>
      </c>
      <c r="J211" s="7" t="b">
        <v>1</v>
      </c>
    </row>
    <row r="212" spans="1:10" ht="13.9">
      <c r="A212">
        <v>325000000</v>
      </c>
      <c r="B212" s="4">
        <v>2</v>
      </c>
      <c r="C212" s="5" t="s">
        <v>64</v>
      </c>
      <c r="D212" s="3">
        <v>7</v>
      </c>
      <c r="E212" s="3"/>
      <c r="F212" s="94">
        <v>42130</v>
      </c>
      <c r="G212" s="5">
        <v>7</v>
      </c>
      <c r="H212" s="3" t="s">
        <v>63</v>
      </c>
      <c r="I212" s="6" t="s">
        <v>7</v>
      </c>
      <c r="J212" s="7" t="b">
        <v>1</v>
      </c>
    </row>
    <row r="213" spans="1:10" ht="13.9">
      <c r="A213">
        <v>26515025</v>
      </c>
      <c r="B213" s="4">
        <v>8</v>
      </c>
      <c r="C213" s="5" t="s">
        <v>71</v>
      </c>
      <c r="D213" s="3">
        <v>5</v>
      </c>
      <c r="E213" s="3">
        <v>7</v>
      </c>
      <c r="F213" s="94">
        <v>40020</v>
      </c>
      <c r="G213" s="3">
        <v>13</v>
      </c>
      <c r="H213" s="3" t="s">
        <v>63</v>
      </c>
      <c r="I213" s="6" t="s">
        <v>4</v>
      </c>
      <c r="J213" s="7" t="b">
        <v>1</v>
      </c>
    </row>
    <row r="214" spans="1:10" ht="13.9">
      <c r="A214" s="8">
        <v>15419011</v>
      </c>
      <c r="B214" s="4">
        <v>4</v>
      </c>
      <c r="C214" s="5" t="s">
        <v>60</v>
      </c>
      <c r="D214" s="8">
        <v>5</v>
      </c>
      <c r="E214" s="3"/>
      <c r="F214" s="94">
        <v>41410</v>
      </c>
      <c r="G214" s="3">
        <v>9</v>
      </c>
      <c r="H214" s="3" t="s">
        <v>63</v>
      </c>
      <c r="I214" s="9" t="s">
        <v>4</v>
      </c>
      <c r="J214" s="7" t="b">
        <v>1</v>
      </c>
    </row>
    <row r="215" spans="1:10" ht="13.9">
      <c r="A215" t="s">
        <v>77</v>
      </c>
      <c r="B215" s="4">
        <v>11</v>
      </c>
      <c r="C215" s="5" t="s">
        <v>60</v>
      </c>
      <c r="D215" s="3">
        <v>7</v>
      </c>
      <c r="E215" s="3"/>
      <c r="F215" s="94">
        <v>38691</v>
      </c>
      <c r="G215" s="3">
        <v>16</v>
      </c>
      <c r="H215" s="3" t="s">
        <v>63</v>
      </c>
      <c r="I215" s="6" t="s">
        <v>7</v>
      </c>
      <c r="J215" s="7" t="b">
        <v>1</v>
      </c>
    </row>
    <row r="216" spans="1:10" ht="13.9">
      <c r="A216">
        <v>22917501</v>
      </c>
      <c r="B216" s="4">
        <v>9</v>
      </c>
      <c r="C216" s="5" t="s">
        <v>60</v>
      </c>
      <c r="D216" s="3">
        <v>7</v>
      </c>
      <c r="E216" s="3"/>
      <c r="F216" s="94">
        <v>39268</v>
      </c>
      <c r="G216" s="3">
        <v>15</v>
      </c>
      <c r="H216" s="3" t="s">
        <v>63</v>
      </c>
      <c r="I216" s="9" t="s">
        <v>7</v>
      </c>
      <c r="J216" s="7" t="b">
        <v>1</v>
      </c>
    </row>
    <row r="217" spans="1:10" ht="13.9">
      <c r="A217">
        <v>25315026</v>
      </c>
      <c r="B217" s="4">
        <v>7</v>
      </c>
      <c r="C217" s="5" t="s">
        <v>60</v>
      </c>
      <c r="D217" s="3">
        <v>5</v>
      </c>
      <c r="E217" s="5"/>
      <c r="F217" s="94">
        <v>40332</v>
      </c>
      <c r="G217" s="3">
        <v>12</v>
      </c>
      <c r="H217" s="3" t="s">
        <v>63</v>
      </c>
      <c r="I217" s="6" t="s">
        <v>8</v>
      </c>
      <c r="J217" s="7" t="b">
        <v>1</v>
      </c>
    </row>
    <row r="218" spans="1:10" ht="13.9">
      <c r="A218">
        <v>21712107</v>
      </c>
      <c r="B218" s="4">
        <v>10</v>
      </c>
      <c r="C218" s="5" t="s">
        <v>60</v>
      </c>
      <c r="D218" s="3">
        <v>7</v>
      </c>
      <c r="E218" s="3">
        <v>17</v>
      </c>
      <c r="F218" s="94">
        <v>38988</v>
      </c>
      <c r="G218" s="3">
        <v>16</v>
      </c>
      <c r="H218" s="3" t="s">
        <v>63</v>
      </c>
      <c r="I218" s="6" t="s">
        <v>7</v>
      </c>
      <c r="J218" s="7" t="b">
        <v>1</v>
      </c>
    </row>
    <row r="219" spans="1:10" ht="13.9">
      <c r="A219">
        <v>22915383</v>
      </c>
      <c r="B219" s="4">
        <v>7</v>
      </c>
      <c r="C219" s="5" t="s">
        <v>71</v>
      </c>
      <c r="D219" s="3">
        <v>17</v>
      </c>
      <c r="E219" s="3"/>
      <c r="F219" s="94">
        <v>40078</v>
      </c>
      <c r="G219" s="3">
        <v>13</v>
      </c>
      <c r="H219" s="3" t="s">
        <v>63</v>
      </c>
      <c r="I219" s="6" t="s">
        <v>7</v>
      </c>
      <c r="J219" s="7" t="b">
        <v>1</v>
      </c>
    </row>
    <row r="220" spans="1:10" ht="13.9">
      <c r="A220" t="s">
        <v>78</v>
      </c>
      <c r="B220" s="4">
        <v>11</v>
      </c>
      <c r="C220" s="5" t="s">
        <v>60</v>
      </c>
      <c r="D220" s="3">
        <v>5</v>
      </c>
      <c r="E220" s="5"/>
      <c r="F220" s="94">
        <v>38724</v>
      </c>
      <c r="G220" s="3">
        <v>16</v>
      </c>
      <c r="H220" s="5" t="s">
        <v>63</v>
      </c>
      <c r="I220" s="6" t="s">
        <v>7</v>
      </c>
      <c r="J220" s="7" t="b">
        <v>1</v>
      </c>
    </row>
    <row r="221" spans="1:10" ht="13.9">
      <c r="A221">
        <v>21715023</v>
      </c>
      <c r="B221" s="4">
        <v>7</v>
      </c>
      <c r="C221" s="5" t="s">
        <v>60</v>
      </c>
      <c r="D221" s="3">
        <v>17</v>
      </c>
      <c r="E221" s="3"/>
      <c r="F221" s="94">
        <v>40199</v>
      </c>
      <c r="G221" s="5">
        <v>12</v>
      </c>
      <c r="H221" s="3" t="s">
        <v>63</v>
      </c>
      <c r="I221" s="6" t="s">
        <v>4</v>
      </c>
      <c r="J221" s="7" t="b">
        <v>1</v>
      </c>
    </row>
    <row r="222" spans="1:10" ht="13.9">
      <c r="A222">
        <v>713000000</v>
      </c>
      <c r="B222" s="4">
        <v>7</v>
      </c>
      <c r="C222" s="5" t="s">
        <v>64</v>
      </c>
      <c r="D222" s="3">
        <v>7</v>
      </c>
      <c r="E222" s="5"/>
      <c r="F222" s="94">
        <v>39678</v>
      </c>
      <c r="G222" s="3">
        <v>14</v>
      </c>
      <c r="H222" s="3" t="s">
        <v>63</v>
      </c>
      <c r="I222" s="6" t="s">
        <v>7</v>
      </c>
      <c r="J222" s="7" t="b">
        <v>1</v>
      </c>
    </row>
    <row r="223" spans="1:10" ht="13.9">
      <c r="A223">
        <v>9214024</v>
      </c>
      <c r="B223" s="4">
        <v>8</v>
      </c>
      <c r="C223" s="5" t="s">
        <v>60</v>
      </c>
      <c r="D223" s="3">
        <v>7</v>
      </c>
      <c r="E223" s="3"/>
      <c r="F223" s="94">
        <v>39856</v>
      </c>
      <c r="G223" s="5">
        <v>13</v>
      </c>
      <c r="H223" s="3" t="s">
        <v>61</v>
      </c>
      <c r="I223" s="6" t="s">
        <v>7</v>
      </c>
      <c r="J223" s="7" t="b">
        <v>1</v>
      </c>
    </row>
    <row r="224" spans="1:10" ht="13.9">
      <c r="A224">
        <v>9420602</v>
      </c>
      <c r="B224" s="4" t="s">
        <v>41</v>
      </c>
      <c r="C224" s="5" t="s">
        <v>60</v>
      </c>
      <c r="D224" s="8">
        <v>9</v>
      </c>
      <c r="E224" s="3"/>
      <c r="F224" s="94">
        <v>42536</v>
      </c>
      <c r="G224" s="3">
        <v>6</v>
      </c>
      <c r="H224" s="3" t="s">
        <v>63</v>
      </c>
      <c r="I224" s="6" t="s">
        <v>7</v>
      </c>
      <c r="J224" s="7" t="b">
        <v>1</v>
      </c>
    </row>
    <row r="225" spans="1:10" ht="13.9">
      <c r="A225">
        <v>15722072</v>
      </c>
      <c r="B225" s="4" t="s">
        <v>41</v>
      </c>
      <c r="C225" s="5" t="s">
        <v>60</v>
      </c>
      <c r="D225" s="3">
        <v>9</v>
      </c>
      <c r="E225" s="3"/>
      <c r="F225" s="94">
        <v>42609</v>
      </c>
      <c r="G225" s="3">
        <v>6</v>
      </c>
      <c r="H225" s="3" t="s">
        <v>61</v>
      </c>
      <c r="I225" s="6" t="s">
        <v>7</v>
      </c>
      <c r="J225" s="7" t="b">
        <v>1</v>
      </c>
    </row>
    <row r="226" spans="1:10" ht="13.9">
      <c r="A226">
        <v>7119190</v>
      </c>
      <c r="B226" s="4">
        <v>1</v>
      </c>
      <c r="C226" s="5" t="s">
        <v>60</v>
      </c>
      <c r="D226" s="3">
        <v>9</v>
      </c>
      <c r="E226" s="3"/>
      <c r="F226" s="94">
        <v>42216</v>
      </c>
      <c r="G226" s="3">
        <v>7</v>
      </c>
      <c r="H226" s="3" t="s">
        <v>63</v>
      </c>
      <c r="I226" s="6" t="s">
        <v>7</v>
      </c>
      <c r="J226" s="7" t="b">
        <v>1</v>
      </c>
    </row>
    <row r="227" spans="1:10" ht="13.9">
      <c r="A227">
        <v>15910021</v>
      </c>
      <c r="B227" s="4">
        <v>12</v>
      </c>
      <c r="C227" s="5" t="s">
        <v>60</v>
      </c>
      <c r="D227" s="3">
        <v>7</v>
      </c>
      <c r="E227" s="3"/>
      <c r="F227" s="94">
        <v>37964</v>
      </c>
      <c r="G227" s="3">
        <v>18</v>
      </c>
      <c r="H227" s="3" t="s">
        <v>63</v>
      </c>
      <c r="I227" s="6" t="s">
        <v>7</v>
      </c>
      <c r="J227" s="7" t="b">
        <v>1</v>
      </c>
    </row>
    <row r="228" spans="1:10" ht="13.9">
      <c r="A228" t="s">
        <v>79</v>
      </c>
      <c r="B228" s="4">
        <v>5</v>
      </c>
      <c r="C228" s="5" t="s">
        <v>60</v>
      </c>
      <c r="D228" s="3">
        <v>9</v>
      </c>
      <c r="E228" s="3"/>
      <c r="F228" s="94">
        <v>40844</v>
      </c>
      <c r="G228" s="3">
        <v>11</v>
      </c>
      <c r="H228" s="3" t="s">
        <v>63</v>
      </c>
      <c r="I228" s="6" t="s">
        <v>7</v>
      </c>
      <c r="J228" s="7" t="b">
        <v>1</v>
      </c>
    </row>
    <row r="229" spans="1:10" ht="13.9">
      <c r="A229">
        <v>16122083</v>
      </c>
      <c r="B229" s="4">
        <v>6</v>
      </c>
      <c r="C229" s="5" t="s">
        <v>60</v>
      </c>
      <c r="D229" s="3">
        <v>5</v>
      </c>
      <c r="E229" s="5"/>
      <c r="F229" s="94">
        <v>40264</v>
      </c>
      <c r="G229" s="3">
        <v>12</v>
      </c>
      <c r="H229" s="3" t="s">
        <v>63</v>
      </c>
      <c r="I229" s="6" t="s">
        <v>4</v>
      </c>
      <c r="J229" s="7" t="b">
        <v>1</v>
      </c>
    </row>
    <row r="230" spans="1:10" ht="13.9">
      <c r="A230">
        <v>691000000</v>
      </c>
      <c r="B230" s="4">
        <v>5</v>
      </c>
      <c r="C230" s="5" t="s">
        <v>64</v>
      </c>
      <c r="D230" s="3">
        <v>17</v>
      </c>
      <c r="E230" s="3">
        <v>9</v>
      </c>
      <c r="F230" s="94">
        <v>40562</v>
      </c>
      <c r="G230" s="3">
        <v>11</v>
      </c>
      <c r="H230" s="3" t="s">
        <v>63</v>
      </c>
      <c r="I230" s="6" t="s">
        <v>7</v>
      </c>
      <c r="J230" s="7" t="b">
        <v>1</v>
      </c>
    </row>
    <row r="231" spans="1:10" ht="13.9">
      <c r="A231">
        <v>528000000</v>
      </c>
      <c r="B231" s="4">
        <v>9</v>
      </c>
      <c r="C231" s="5" t="s">
        <v>64</v>
      </c>
      <c r="D231" s="3">
        <v>7</v>
      </c>
      <c r="E231" s="3"/>
      <c r="F231" s="94">
        <v>39131</v>
      </c>
      <c r="G231" s="3">
        <v>15</v>
      </c>
      <c r="H231" s="3" t="s">
        <v>63</v>
      </c>
      <c r="I231" s="6" t="s">
        <v>7</v>
      </c>
      <c r="J231" s="7" t="b">
        <v>1</v>
      </c>
    </row>
    <row r="232" spans="1:10" ht="13.9">
      <c r="A232">
        <v>31817287</v>
      </c>
      <c r="B232" s="4">
        <v>1</v>
      </c>
      <c r="C232" s="5" t="s">
        <v>60</v>
      </c>
      <c r="D232" s="8">
        <v>9</v>
      </c>
      <c r="E232" s="3"/>
      <c r="F232" s="94">
        <v>42282</v>
      </c>
      <c r="G232" s="5">
        <v>7</v>
      </c>
      <c r="H232" s="3" t="s">
        <v>63</v>
      </c>
      <c r="I232" s="6" t="s">
        <v>7</v>
      </c>
      <c r="J232" s="7" t="b">
        <v>1</v>
      </c>
    </row>
    <row r="233" spans="1:10" ht="13.9">
      <c r="A233" t="s">
        <v>80</v>
      </c>
      <c r="B233" s="4">
        <v>11</v>
      </c>
      <c r="C233" s="5" t="s">
        <v>60</v>
      </c>
      <c r="D233" s="3">
        <v>17</v>
      </c>
      <c r="E233" s="3"/>
      <c r="F233" s="94">
        <v>38685</v>
      </c>
      <c r="G233" s="3">
        <v>17</v>
      </c>
      <c r="H233" s="3" t="s">
        <v>63</v>
      </c>
      <c r="I233" s="6" t="s">
        <v>7</v>
      </c>
      <c r="J233" s="7" t="b">
        <v>1</v>
      </c>
    </row>
    <row r="234" spans="1:10" ht="13.9">
      <c r="A234">
        <v>20522091</v>
      </c>
      <c r="B234" s="4" t="s">
        <v>41</v>
      </c>
      <c r="C234" s="5" t="s">
        <v>60</v>
      </c>
      <c r="D234" s="3">
        <v>3</v>
      </c>
      <c r="E234" s="5">
        <v>9</v>
      </c>
      <c r="F234" s="94">
        <v>42790</v>
      </c>
      <c r="G234" s="5">
        <v>5</v>
      </c>
      <c r="H234" s="3" t="s">
        <v>61</v>
      </c>
      <c r="I234" s="6" t="s">
        <v>7</v>
      </c>
      <c r="J234" s="7" t="b">
        <v>1</v>
      </c>
    </row>
    <row r="235" spans="1:10" ht="13.9">
      <c r="A235">
        <v>25720034</v>
      </c>
      <c r="B235" s="4">
        <v>2</v>
      </c>
      <c r="C235" s="5" t="s">
        <v>60</v>
      </c>
      <c r="D235" s="3">
        <v>10</v>
      </c>
      <c r="E235" s="3"/>
      <c r="F235" s="94">
        <v>42032</v>
      </c>
      <c r="G235" s="3">
        <v>7</v>
      </c>
      <c r="H235" s="3" t="s">
        <v>61</v>
      </c>
      <c r="I235" s="6" t="s">
        <v>6</v>
      </c>
      <c r="J235" s="7" t="b">
        <v>1</v>
      </c>
    </row>
    <row r="236" spans="1:10" ht="13.9">
      <c r="A236">
        <v>13715008</v>
      </c>
      <c r="B236" s="4">
        <v>8</v>
      </c>
      <c r="C236" s="5" t="s">
        <v>60</v>
      </c>
      <c r="D236" s="3">
        <v>7</v>
      </c>
      <c r="E236" s="3"/>
      <c r="F236" s="94">
        <v>39918</v>
      </c>
      <c r="G236" s="5">
        <v>13</v>
      </c>
      <c r="H236" s="3" t="s">
        <v>61</v>
      </c>
      <c r="I236" s="6" t="s">
        <v>4</v>
      </c>
      <c r="J236" s="7" t="b">
        <v>1</v>
      </c>
    </row>
    <row r="237" spans="1:10" ht="13.9">
      <c r="A237">
        <v>27521053</v>
      </c>
      <c r="B237" s="4">
        <v>2</v>
      </c>
      <c r="C237" s="5" t="s">
        <v>60</v>
      </c>
      <c r="D237" s="3">
        <v>8</v>
      </c>
      <c r="E237" s="3">
        <v>9</v>
      </c>
      <c r="F237" s="94">
        <v>42073</v>
      </c>
      <c r="G237" s="3">
        <v>7</v>
      </c>
      <c r="H237" s="3" t="s">
        <v>63</v>
      </c>
      <c r="I237" s="6" t="s">
        <v>7</v>
      </c>
      <c r="J237" s="7" t="b">
        <v>1</v>
      </c>
    </row>
    <row r="238" spans="1:10" ht="13.9">
      <c r="A238" s="8">
        <v>28122049</v>
      </c>
      <c r="B238" s="4">
        <v>4</v>
      </c>
      <c r="C238" s="5" t="s">
        <v>60</v>
      </c>
      <c r="D238" s="3">
        <v>7</v>
      </c>
      <c r="E238" s="3"/>
      <c r="F238" s="94">
        <v>41115</v>
      </c>
      <c r="G238" s="3">
        <v>10</v>
      </c>
      <c r="H238" s="3" t="s">
        <v>63</v>
      </c>
      <c r="I238" s="6" t="s">
        <v>7</v>
      </c>
      <c r="J238" s="7" t="b">
        <v>1</v>
      </c>
    </row>
    <row r="239" spans="1:10" ht="13.9">
      <c r="A239">
        <v>8320015</v>
      </c>
      <c r="B239" s="4">
        <v>3</v>
      </c>
      <c r="C239" s="5" t="s">
        <v>60</v>
      </c>
      <c r="D239" s="3">
        <v>17</v>
      </c>
      <c r="E239" s="3"/>
      <c r="F239" s="94">
        <v>41600</v>
      </c>
      <c r="G239" s="3">
        <v>9</v>
      </c>
      <c r="H239" s="3" t="s">
        <v>61</v>
      </c>
      <c r="I239" s="6" t="s">
        <v>7</v>
      </c>
      <c r="J239" s="7" t="b">
        <v>1</v>
      </c>
    </row>
    <row r="240" spans="1:10" ht="13.9">
      <c r="A240">
        <v>54118034</v>
      </c>
      <c r="B240" s="4">
        <v>5</v>
      </c>
      <c r="C240" s="5" t="s">
        <v>60</v>
      </c>
      <c r="D240" s="3">
        <v>17</v>
      </c>
      <c r="E240" s="3"/>
      <c r="F240" s="94">
        <v>40965</v>
      </c>
      <c r="G240" s="5">
        <v>10</v>
      </c>
      <c r="H240" s="3" t="s">
        <v>61</v>
      </c>
      <c r="I240" s="6" t="s">
        <v>7</v>
      </c>
      <c r="J240" s="7" t="b">
        <v>1</v>
      </c>
    </row>
    <row r="241" spans="1:10" ht="13.9">
      <c r="A241">
        <v>22912248</v>
      </c>
      <c r="B241" s="4">
        <v>8</v>
      </c>
      <c r="C241" s="5" t="s">
        <v>60</v>
      </c>
      <c r="D241" s="3">
        <v>4</v>
      </c>
      <c r="E241" s="3"/>
      <c r="F241" s="94">
        <v>39934</v>
      </c>
      <c r="G241" s="5">
        <v>13</v>
      </c>
      <c r="H241" s="3" t="s">
        <v>63</v>
      </c>
      <c r="I241" s="6" t="s">
        <v>8</v>
      </c>
      <c r="J241" s="7" t="b">
        <v>1</v>
      </c>
    </row>
    <row r="242" spans="1:10" ht="13.9">
      <c r="A242">
        <v>27314088</v>
      </c>
      <c r="B242" s="4">
        <v>9</v>
      </c>
      <c r="C242" s="5" t="s">
        <v>60</v>
      </c>
      <c r="D242" s="3">
        <v>5</v>
      </c>
      <c r="E242" s="3">
        <v>9</v>
      </c>
      <c r="F242" s="94">
        <v>39486</v>
      </c>
      <c r="G242" s="3">
        <v>14</v>
      </c>
      <c r="H242" s="3" t="s">
        <v>63</v>
      </c>
      <c r="I242" s="9" t="s">
        <v>8</v>
      </c>
      <c r="J242" s="7" t="b">
        <v>1</v>
      </c>
    </row>
    <row r="243" spans="1:10" ht="13.9">
      <c r="A243" s="8" t="s">
        <v>81</v>
      </c>
      <c r="B243" s="4">
        <v>12</v>
      </c>
      <c r="C243" s="5" t="s">
        <v>64</v>
      </c>
      <c r="D243" s="3">
        <v>17</v>
      </c>
      <c r="E243" s="3">
        <v>9</v>
      </c>
      <c r="F243" s="94">
        <v>38487</v>
      </c>
      <c r="G243" s="3">
        <v>17</v>
      </c>
      <c r="H243" s="3" t="s">
        <v>63</v>
      </c>
      <c r="I243" s="6" t="s">
        <v>7</v>
      </c>
      <c r="J243" s="7" t="b">
        <v>1</v>
      </c>
    </row>
    <row r="244" spans="1:10" ht="13.9">
      <c r="A244">
        <v>22916083</v>
      </c>
      <c r="B244" s="4">
        <v>4</v>
      </c>
      <c r="C244" s="5" t="s">
        <v>60</v>
      </c>
      <c r="D244" s="3">
        <v>17</v>
      </c>
      <c r="E244" s="5">
        <v>9</v>
      </c>
      <c r="F244" s="94">
        <v>41139</v>
      </c>
      <c r="G244" s="5">
        <v>10</v>
      </c>
      <c r="H244" s="3" t="s">
        <v>63</v>
      </c>
      <c r="I244" s="9" t="s">
        <v>7</v>
      </c>
      <c r="J244" s="7" t="b">
        <v>1</v>
      </c>
    </row>
    <row r="245" spans="1:10" ht="13.9">
      <c r="A245" t="s">
        <v>82</v>
      </c>
      <c r="B245" s="4">
        <v>10</v>
      </c>
      <c r="C245" s="5" t="s">
        <v>64</v>
      </c>
      <c r="D245" s="3">
        <v>17</v>
      </c>
      <c r="E245" s="3"/>
      <c r="F245" s="94">
        <v>39279</v>
      </c>
      <c r="G245" s="5">
        <v>15</v>
      </c>
      <c r="H245" s="3" t="s">
        <v>63</v>
      </c>
      <c r="I245" s="6" t="s">
        <v>7</v>
      </c>
      <c r="J245" s="7" t="b">
        <v>1</v>
      </c>
    </row>
    <row r="246" spans="1:10" ht="13.9">
      <c r="A246">
        <v>528000000</v>
      </c>
      <c r="B246" s="4">
        <v>9</v>
      </c>
      <c r="C246" s="5" t="s">
        <v>64</v>
      </c>
      <c r="D246" s="3">
        <v>7</v>
      </c>
      <c r="E246" s="5"/>
      <c r="F246" s="94">
        <v>39385</v>
      </c>
      <c r="G246" s="5">
        <v>15</v>
      </c>
      <c r="H246" s="3" t="s">
        <v>61</v>
      </c>
      <c r="I246" s="6" t="s">
        <v>7</v>
      </c>
      <c r="J246" s="7" t="b">
        <v>1</v>
      </c>
    </row>
    <row r="247" spans="1:10" ht="13.9">
      <c r="A247" t="s">
        <v>83</v>
      </c>
      <c r="B247" s="4">
        <v>4</v>
      </c>
      <c r="C247" s="5" t="s">
        <v>71</v>
      </c>
      <c r="D247" s="3">
        <v>15</v>
      </c>
      <c r="E247" s="3">
        <v>9</v>
      </c>
      <c r="F247" s="94">
        <v>40973</v>
      </c>
      <c r="G247" s="5">
        <v>10</v>
      </c>
      <c r="H247" s="3" t="s">
        <v>61</v>
      </c>
      <c r="I247" s="6" t="s">
        <v>7</v>
      </c>
      <c r="J247" s="7" t="b">
        <v>1</v>
      </c>
    </row>
    <row r="248" spans="1:10" ht="13.9">
      <c r="A248">
        <v>268000000</v>
      </c>
      <c r="B248" s="4">
        <v>7</v>
      </c>
      <c r="C248" s="5" t="s">
        <v>64</v>
      </c>
      <c r="D248" s="8">
        <v>15</v>
      </c>
      <c r="E248" s="3">
        <v>17</v>
      </c>
      <c r="F248" s="94">
        <v>40074</v>
      </c>
      <c r="G248" s="5">
        <v>13</v>
      </c>
      <c r="H248" s="5" t="s">
        <v>63</v>
      </c>
      <c r="I248" s="6" t="s">
        <v>7</v>
      </c>
      <c r="J248" s="7" t="b">
        <v>1</v>
      </c>
    </row>
    <row r="249" spans="1:10" ht="13.9">
      <c r="A249">
        <v>16215034</v>
      </c>
      <c r="B249" s="4">
        <v>8</v>
      </c>
      <c r="C249" s="5" t="s">
        <v>60</v>
      </c>
      <c r="D249" s="3">
        <v>7</v>
      </c>
      <c r="E249" s="3"/>
      <c r="F249" s="94">
        <v>39546</v>
      </c>
      <c r="G249" s="3">
        <v>14</v>
      </c>
      <c r="H249" s="3" t="s">
        <v>63</v>
      </c>
      <c r="I249" s="6" t="s">
        <v>6</v>
      </c>
      <c r="J249" s="7" t="b">
        <v>1</v>
      </c>
    </row>
    <row r="250" spans="1:10" ht="13.9">
      <c r="A250">
        <v>16417021</v>
      </c>
      <c r="B250" s="4">
        <v>6</v>
      </c>
      <c r="C250" s="5" t="s">
        <v>60</v>
      </c>
      <c r="D250" s="3">
        <v>17</v>
      </c>
      <c r="E250" s="3">
        <v>9</v>
      </c>
      <c r="F250" s="94">
        <v>40407</v>
      </c>
      <c r="G250" s="5">
        <v>12</v>
      </c>
      <c r="H250" s="3" t="s">
        <v>63</v>
      </c>
      <c r="I250" s="6" t="s">
        <v>7</v>
      </c>
      <c r="J250" s="7" t="b">
        <v>1</v>
      </c>
    </row>
    <row r="251" spans="1:10" ht="13.9">
      <c r="A251">
        <v>27522079</v>
      </c>
      <c r="B251" s="4">
        <v>1</v>
      </c>
      <c r="C251" s="5" t="s">
        <v>60</v>
      </c>
      <c r="D251" s="3">
        <v>17</v>
      </c>
      <c r="E251" s="3"/>
      <c r="F251" s="94">
        <v>42307</v>
      </c>
      <c r="G251" s="5">
        <v>7</v>
      </c>
      <c r="H251" s="3" t="s">
        <v>63</v>
      </c>
      <c r="I251" s="6" t="s">
        <v>7</v>
      </c>
      <c r="J251" s="7" t="b">
        <v>1</v>
      </c>
    </row>
    <row r="252" spans="1:10" ht="13.9">
      <c r="A252">
        <v>31809021</v>
      </c>
      <c r="B252" s="4">
        <v>11</v>
      </c>
      <c r="C252" s="5" t="s">
        <v>60</v>
      </c>
      <c r="D252" s="3">
        <v>17</v>
      </c>
      <c r="E252" s="5">
        <v>3</v>
      </c>
      <c r="F252" s="94">
        <v>38792</v>
      </c>
      <c r="G252" s="5">
        <v>16</v>
      </c>
      <c r="H252" s="3" t="s">
        <v>61</v>
      </c>
      <c r="I252" s="6" t="s">
        <v>7</v>
      </c>
      <c r="J252" s="7" t="b">
        <v>1</v>
      </c>
    </row>
    <row r="253" spans="1:10" ht="13.9">
      <c r="A253">
        <v>13817006</v>
      </c>
      <c r="B253" s="4">
        <v>6</v>
      </c>
      <c r="C253" s="5" t="s">
        <v>65</v>
      </c>
      <c r="D253" s="3">
        <v>6</v>
      </c>
      <c r="E253" s="3"/>
      <c r="F253" s="94">
        <v>40505</v>
      </c>
      <c r="G253" s="3">
        <v>12</v>
      </c>
      <c r="H253" s="3" t="s">
        <v>63</v>
      </c>
      <c r="I253" s="6" t="s">
        <v>4</v>
      </c>
      <c r="J253" s="7" t="b">
        <v>1</v>
      </c>
    </row>
    <row r="254" spans="1:10" ht="13.9">
      <c r="A254">
        <v>14113024</v>
      </c>
      <c r="B254" s="4">
        <v>9</v>
      </c>
      <c r="C254" s="5" t="s">
        <v>60</v>
      </c>
      <c r="D254" s="3">
        <v>7</v>
      </c>
      <c r="E254" s="3"/>
      <c r="F254" s="94">
        <v>39379</v>
      </c>
      <c r="G254" s="3">
        <v>15</v>
      </c>
      <c r="H254" s="3" t="s">
        <v>63</v>
      </c>
      <c r="I254" s="6" t="s">
        <v>7</v>
      </c>
      <c r="J254" s="7" t="b">
        <v>1</v>
      </c>
    </row>
    <row r="255" spans="1:10" ht="13.9">
      <c r="A255">
        <v>22912471</v>
      </c>
      <c r="B255" s="4">
        <v>7</v>
      </c>
      <c r="C255" s="5" t="s">
        <v>60</v>
      </c>
      <c r="D255" s="3">
        <v>17</v>
      </c>
      <c r="E255" s="3"/>
      <c r="F255" s="94">
        <v>40088</v>
      </c>
      <c r="G255" s="5">
        <v>13</v>
      </c>
      <c r="H255" s="3" t="s">
        <v>63</v>
      </c>
      <c r="I255" s="6" t="s">
        <v>4</v>
      </c>
      <c r="J255" s="7" t="b">
        <v>1</v>
      </c>
    </row>
    <row r="256" spans="1:10" ht="13.9">
      <c r="A256">
        <v>22918393</v>
      </c>
      <c r="B256" s="4">
        <v>3</v>
      </c>
      <c r="C256" s="5" t="s">
        <v>60</v>
      </c>
      <c r="D256" s="3">
        <v>9</v>
      </c>
      <c r="E256" s="3"/>
      <c r="F256" s="94">
        <v>41676</v>
      </c>
      <c r="G256" s="3">
        <v>8</v>
      </c>
      <c r="H256" s="3" t="s">
        <v>63</v>
      </c>
      <c r="I256" s="6" t="s">
        <v>7</v>
      </c>
      <c r="J256" s="7" t="b">
        <v>1</v>
      </c>
    </row>
    <row r="257" spans="1:10" ht="13.9">
      <c r="A257">
        <v>22912214</v>
      </c>
      <c r="B257" s="4">
        <v>10</v>
      </c>
      <c r="C257" s="5" t="s">
        <v>60</v>
      </c>
      <c r="D257" s="3">
        <v>7</v>
      </c>
      <c r="E257" s="5"/>
      <c r="F257" s="94">
        <v>38963</v>
      </c>
      <c r="G257" s="3">
        <v>16</v>
      </c>
      <c r="H257" s="3" t="s">
        <v>61</v>
      </c>
      <c r="I257" s="6" t="s">
        <v>6</v>
      </c>
      <c r="J257" s="7" t="b">
        <v>1</v>
      </c>
    </row>
    <row r="258" spans="1:10" ht="13.9">
      <c r="A258">
        <v>35713033</v>
      </c>
      <c r="B258" s="4">
        <v>10</v>
      </c>
      <c r="C258" s="5" t="s">
        <v>60</v>
      </c>
      <c r="D258" s="3">
        <v>7</v>
      </c>
      <c r="E258" s="5"/>
      <c r="F258" s="94">
        <v>39106</v>
      </c>
      <c r="G258" s="3">
        <v>15</v>
      </c>
      <c r="H258" s="3" t="s">
        <v>61</v>
      </c>
      <c r="I258" s="6" t="s">
        <v>7</v>
      </c>
      <c r="J258" s="7" t="b">
        <v>1</v>
      </c>
    </row>
    <row r="259" spans="1:10" ht="13.9">
      <c r="A259">
        <v>22919423</v>
      </c>
      <c r="B259" s="4" t="s">
        <v>41</v>
      </c>
      <c r="C259" s="5" t="s">
        <v>60</v>
      </c>
      <c r="D259" s="3">
        <v>15</v>
      </c>
      <c r="E259" s="3">
        <v>9</v>
      </c>
      <c r="F259" s="94">
        <v>42719</v>
      </c>
      <c r="G259" s="5">
        <v>5</v>
      </c>
      <c r="H259" s="3" t="s">
        <v>63</v>
      </c>
      <c r="I259" s="6" t="s">
        <v>7</v>
      </c>
      <c r="J259" s="7" t="b">
        <v>1</v>
      </c>
    </row>
    <row r="260" spans="1:10" ht="13.9">
      <c r="A260">
        <v>4321006</v>
      </c>
      <c r="B260" s="4">
        <v>6</v>
      </c>
      <c r="C260" s="5" t="s">
        <v>60</v>
      </c>
      <c r="D260" s="3">
        <v>17</v>
      </c>
      <c r="E260" s="3"/>
      <c r="F260" s="94">
        <v>40706</v>
      </c>
      <c r="G260" s="5">
        <v>11</v>
      </c>
      <c r="H260" s="3" t="s">
        <v>61</v>
      </c>
      <c r="I260" s="6" t="s">
        <v>4</v>
      </c>
      <c r="J260" s="7" t="b">
        <v>1</v>
      </c>
    </row>
    <row r="261" spans="1:10" ht="13.9">
      <c r="A261">
        <v>257000000</v>
      </c>
      <c r="B261" s="4">
        <v>8</v>
      </c>
      <c r="C261" s="5" t="s">
        <v>64</v>
      </c>
      <c r="D261" s="8">
        <v>15</v>
      </c>
      <c r="E261" s="3">
        <v>17</v>
      </c>
      <c r="F261" s="94">
        <v>39645</v>
      </c>
      <c r="G261" s="5">
        <v>14</v>
      </c>
      <c r="H261" s="5" t="s">
        <v>63</v>
      </c>
      <c r="I261" s="6" t="s">
        <v>7</v>
      </c>
      <c r="J261" s="7" t="b">
        <v>1</v>
      </c>
    </row>
    <row r="262" spans="1:10" ht="13.9">
      <c r="A262" t="s">
        <v>84</v>
      </c>
      <c r="B262" s="4">
        <v>3</v>
      </c>
      <c r="C262" s="5" t="s">
        <v>60</v>
      </c>
      <c r="D262" s="3">
        <v>7</v>
      </c>
      <c r="E262" s="3"/>
      <c r="F262" s="94">
        <v>41645</v>
      </c>
      <c r="G262" s="3">
        <v>8</v>
      </c>
      <c r="H262" s="3" t="s">
        <v>61</v>
      </c>
      <c r="I262" s="6" t="s">
        <v>7</v>
      </c>
      <c r="J262" s="7" t="b">
        <v>1</v>
      </c>
    </row>
    <row r="263" spans="1:10" ht="13.9">
      <c r="A263" t="s">
        <v>85</v>
      </c>
      <c r="B263" s="4">
        <v>8</v>
      </c>
      <c r="C263" s="5" t="s">
        <v>65</v>
      </c>
      <c r="D263" s="3">
        <v>7</v>
      </c>
      <c r="E263" s="3"/>
      <c r="F263" s="94">
        <v>39665</v>
      </c>
      <c r="G263" s="3">
        <v>14</v>
      </c>
      <c r="H263" s="3" t="s">
        <v>61</v>
      </c>
      <c r="I263" s="6" t="s">
        <v>7</v>
      </c>
      <c r="J263" s="7" t="b">
        <v>1</v>
      </c>
    </row>
    <row r="264" spans="1:10" ht="13.9">
      <c r="A264">
        <v>560000000</v>
      </c>
      <c r="B264" s="4">
        <v>10</v>
      </c>
      <c r="C264" s="5" t="s">
        <v>64</v>
      </c>
      <c r="D264" s="8">
        <v>5</v>
      </c>
      <c r="E264" s="5">
        <v>15</v>
      </c>
      <c r="F264" s="94">
        <v>38915</v>
      </c>
      <c r="G264" s="3">
        <v>16</v>
      </c>
      <c r="H264" s="5" t="s">
        <v>63</v>
      </c>
      <c r="I264" s="6" t="s">
        <v>7</v>
      </c>
      <c r="J264" s="7" t="b">
        <v>1</v>
      </c>
    </row>
    <row r="265" spans="1:10" ht="13.9">
      <c r="A265">
        <v>8920661</v>
      </c>
      <c r="B265" s="4" t="s">
        <v>41</v>
      </c>
      <c r="C265" s="5" t="s">
        <v>60</v>
      </c>
      <c r="D265" s="3">
        <v>9</v>
      </c>
      <c r="E265" s="3"/>
      <c r="F265" s="94">
        <v>42925</v>
      </c>
      <c r="G265" s="3">
        <v>5</v>
      </c>
      <c r="H265" s="3" t="s">
        <v>63</v>
      </c>
      <c r="I265" s="6" t="s">
        <v>7</v>
      </c>
      <c r="J265" s="7" t="b">
        <v>1</v>
      </c>
    </row>
    <row r="266" spans="1:10" ht="13.9">
      <c r="A266">
        <v>22918142</v>
      </c>
      <c r="B266" s="4">
        <v>4</v>
      </c>
      <c r="C266" s="5" t="s">
        <v>62</v>
      </c>
      <c r="D266" s="3">
        <v>15</v>
      </c>
      <c r="E266" s="3">
        <v>9</v>
      </c>
      <c r="F266" s="94">
        <v>41358</v>
      </c>
      <c r="G266" s="5">
        <v>9</v>
      </c>
      <c r="H266" s="3" t="s">
        <v>63</v>
      </c>
      <c r="I266" s="6" t="s">
        <v>4</v>
      </c>
      <c r="J266" s="7" t="b">
        <v>1</v>
      </c>
    </row>
    <row r="267" spans="1:10" ht="13.9">
      <c r="A267">
        <v>3709538</v>
      </c>
      <c r="B267" s="4">
        <v>3</v>
      </c>
      <c r="C267" s="5" t="s">
        <v>60</v>
      </c>
      <c r="D267" s="3">
        <v>17</v>
      </c>
      <c r="E267" s="3"/>
      <c r="F267" s="94">
        <v>41569</v>
      </c>
      <c r="G267" s="5">
        <v>9</v>
      </c>
      <c r="H267" s="3" t="s">
        <v>61</v>
      </c>
      <c r="I267" s="6" t="s">
        <v>7</v>
      </c>
      <c r="J267" s="7" t="b">
        <v>1</v>
      </c>
    </row>
    <row r="268" spans="1:10" ht="13.9">
      <c r="A268">
        <v>538000000</v>
      </c>
      <c r="B268" s="4">
        <v>7</v>
      </c>
      <c r="C268" s="5" t="s">
        <v>64</v>
      </c>
      <c r="D268" s="8">
        <v>7</v>
      </c>
      <c r="E268" s="3"/>
      <c r="F268" s="94">
        <v>39886</v>
      </c>
      <c r="G268" s="3">
        <v>13</v>
      </c>
      <c r="H268" s="3" t="s">
        <v>63</v>
      </c>
      <c r="I268" s="6" t="s">
        <v>7</v>
      </c>
      <c r="J268" s="7" t="b">
        <v>1</v>
      </c>
    </row>
    <row r="269" spans="1:10" ht="13.9">
      <c r="A269">
        <v>21720072</v>
      </c>
      <c r="B269" s="4">
        <v>3</v>
      </c>
      <c r="C269" s="5" t="s">
        <v>62</v>
      </c>
      <c r="D269" s="3">
        <v>5</v>
      </c>
      <c r="E269" s="3">
        <v>17</v>
      </c>
      <c r="F269" s="94">
        <v>41452</v>
      </c>
      <c r="G269" s="3">
        <v>9</v>
      </c>
      <c r="H269" s="5" t="s">
        <v>63</v>
      </c>
      <c r="I269" s="6" t="s">
        <v>7</v>
      </c>
      <c r="J269" s="7" t="b">
        <v>1</v>
      </c>
    </row>
    <row r="270" spans="1:10" ht="13.9">
      <c r="A270">
        <v>8316038</v>
      </c>
      <c r="B270" s="4">
        <v>7</v>
      </c>
      <c r="C270" s="5" t="s">
        <v>65</v>
      </c>
      <c r="D270" s="3">
        <v>6</v>
      </c>
      <c r="E270" s="3"/>
      <c r="F270" s="94">
        <v>40248</v>
      </c>
      <c r="G270" s="3">
        <v>12</v>
      </c>
      <c r="H270" s="3" t="s">
        <v>63</v>
      </c>
      <c r="I270" s="6" t="s">
        <v>7</v>
      </c>
      <c r="J270" s="7" t="b">
        <v>1</v>
      </c>
    </row>
    <row r="271" spans="1:10" ht="13.9">
      <c r="A271">
        <v>256000000</v>
      </c>
      <c r="B271" s="4">
        <v>4</v>
      </c>
      <c r="C271" s="5" t="s">
        <v>60</v>
      </c>
      <c r="D271" s="8">
        <v>15</v>
      </c>
      <c r="E271" s="3">
        <v>9</v>
      </c>
      <c r="F271" s="94">
        <v>41217</v>
      </c>
      <c r="G271" s="5">
        <v>10</v>
      </c>
      <c r="H271" s="3" t="s">
        <v>63</v>
      </c>
      <c r="I271" s="6" t="s">
        <v>7</v>
      </c>
      <c r="J271" s="7" t="b">
        <v>1</v>
      </c>
    </row>
    <row r="272" spans="1:10" ht="13.9">
      <c r="A272">
        <v>8719164</v>
      </c>
      <c r="B272" s="4">
        <v>1</v>
      </c>
      <c r="C272" s="5" t="s">
        <v>62</v>
      </c>
      <c r="D272" s="3">
        <v>10</v>
      </c>
      <c r="E272" s="3">
        <v>9</v>
      </c>
      <c r="F272" s="94">
        <v>41650</v>
      </c>
      <c r="G272" s="5">
        <v>8</v>
      </c>
      <c r="H272" s="3" t="s">
        <v>61</v>
      </c>
      <c r="I272" s="6" t="s">
        <v>6</v>
      </c>
      <c r="J272" s="7" t="b">
        <v>1</v>
      </c>
    </row>
    <row r="273" spans="1:10" ht="13.9">
      <c r="A273" t="s">
        <v>86</v>
      </c>
      <c r="B273" s="4">
        <v>9</v>
      </c>
      <c r="C273" s="5" t="s">
        <v>64</v>
      </c>
      <c r="D273" s="3">
        <v>15</v>
      </c>
      <c r="E273" s="3"/>
      <c r="F273" s="94">
        <v>39573</v>
      </c>
      <c r="G273" s="5">
        <v>14</v>
      </c>
      <c r="H273" s="3" t="s">
        <v>61</v>
      </c>
      <c r="I273" s="9" t="s">
        <v>7</v>
      </c>
      <c r="J273" s="7" t="b">
        <v>1</v>
      </c>
    </row>
    <row r="274" spans="1:10" ht="13.9">
      <c r="A274">
        <v>8318114</v>
      </c>
      <c r="B274" s="4">
        <v>4</v>
      </c>
      <c r="C274" s="5" t="s">
        <v>60</v>
      </c>
      <c r="D274" s="3">
        <v>7</v>
      </c>
      <c r="E274" s="3"/>
      <c r="F274" s="94">
        <v>41239</v>
      </c>
      <c r="G274" s="3">
        <v>10</v>
      </c>
      <c r="H274" s="3" t="s">
        <v>61</v>
      </c>
      <c r="I274" s="6" t="s">
        <v>7</v>
      </c>
      <c r="J274" s="7" t="b">
        <v>1</v>
      </c>
    </row>
    <row r="275" spans="1:10" ht="13.9">
      <c r="A275">
        <v>324000000</v>
      </c>
      <c r="B275" s="4">
        <v>11</v>
      </c>
      <c r="C275" s="5" t="s">
        <v>64</v>
      </c>
      <c r="D275" s="8">
        <v>7</v>
      </c>
      <c r="E275" s="5"/>
      <c r="F275" s="94">
        <v>38381</v>
      </c>
      <c r="G275" s="3">
        <v>17</v>
      </c>
      <c r="H275" s="3" t="s">
        <v>63</v>
      </c>
      <c r="I275" s="6" t="s">
        <v>7</v>
      </c>
      <c r="J275" s="7" t="b">
        <v>1</v>
      </c>
    </row>
    <row r="276" spans="1:10" ht="13.9">
      <c r="A276">
        <v>909000000</v>
      </c>
      <c r="B276" s="4">
        <v>4</v>
      </c>
      <c r="C276" s="5" t="s">
        <v>60</v>
      </c>
      <c r="D276" s="8">
        <v>15</v>
      </c>
      <c r="E276" s="3">
        <v>9</v>
      </c>
      <c r="F276" s="94">
        <v>41331</v>
      </c>
      <c r="G276" s="5">
        <v>9</v>
      </c>
      <c r="H276" s="3" t="s">
        <v>63</v>
      </c>
      <c r="I276" s="6" t="s">
        <v>7</v>
      </c>
      <c r="J276" s="7" t="b">
        <v>1</v>
      </c>
    </row>
    <row r="277" spans="1:10" ht="13.9">
      <c r="A277">
        <v>8313803</v>
      </c>
      <c r="B277" s="4">
        <v>9</v>
      </c>
      <c r="C277" s="5" t="s">
        <v>60</v>
      </c>
      <c r="D277" s="3">
        <v>17</v>
      </c>
      <c r="E277" s="3"/>
      <c r="F277" s="94">
        <v>39024</v>
      </c>
      <c r="G277" s="5">
        <v>16</v>
      </c>
      <c r="H277" s="3" t="s">
        <v>63</v>
      </c>
      <c r="I277" s="6" t="s">
        <v>7</v>
      </c>
      <c r="J277" s="7" t="b">
        <v>1</v>
      </c>
    </row>
    <row r="278" spans="1:10" ht="13.9">
      <c r="A278">
        <v>26514014</v>
      </c>
      <c r="B278" s="4">
        <v>9</v>
      </c>
      <c r="C278" s="5" t="s">
        <v>60</v>
      </c>
      <c r="D278" s="3">
        <v>7</v>
      </c>
      <c r="E278" s="3"/>
      <c r="F278" s="94">
        <v>39657</v>
      </c>
      <c r="G278" s="3">
        <v>14</v>
      </c>
      <c r="H278" s="3" t="s">
        <v>63</v>
      </c>
      <c r="I278" s="6" t="s">
        <v>4</v>
      </c>
      <c r="J278" s="7" t="b">
        <v>1</v>
      </c>
    </row>
    <row r="279" spans="1:10" ht="13.9">
      <c r="A279">
        <v>9415092</v>
      </c>
      <c r="B279" s="4">
        <v>7</v>
      </c>
      <c r="C279" s="5" t="s">
        <v>60</v>
      </c>
      <c r="D279" s="3">
        <v>7</v>
      </c>
      <c r="E279" s="3"/>
      <c r="F279" s="94">
        <v>39953</v>
      </c>
      <c r="G279" s="3">
        <v>13</v>
      </c>
      <c r="H279" s="3" t="s">
        <v>63</v>
      </c>
      <c r="I279" s="9" t="s">
        <v>7</v>
      </c>
      <c r="J279" s="7" t="b">
        <v>1</v>
      </c>
    </row>
    <row r="280" spans="1:10" ht="13.9">
      <c r="A280">
        <v>28120022</v>
      </c>
      <c r="B280" s="4">
        <v>3</v>
      </c>
      <c r="C280" s="5" t="s">
        <v>60</v>
      </c>
      <c r="D280" s="3">
        <v>7</v>
      </c>
      <c r="E280" s="3">
        <v>9</v>
      </c>
      <c r="F280" s="94">
        <v>41543</v>
      </c>
      <c r="G280" s="3">
        <v>9</v>
      </c>
      <c r="H280" s="3" t="s">
        <v>61</v>
      </c>
      <c r="I280" s="6" t="s">
        <v>7</v>
      </c>
      <c r="J280" s="7" t="b">
        <v>1</v>
      </c>
    </row>
    <row r="281" spans="1:10" ht="13.9">
      <c r="A281">
        <v>18616039</v>
      </c>
      <c r="B281" s="4">
        <v>6</v>
      </c>
      <c r="C281" s="5" t="s">
        <v>60</v>
      </c>
      <c r="D281" s="3">
        <v>7</v>
      </c>
      <c r="E281" s="3"/>
      <c r="F281" s="94">
        <v>40744</v>
      </c>
      <c r="G281" s="3">
        <v>11</v>
      </c>
      <c r="H281" s="3" t="s">
        <v>63</v>
      </c>
      <c r="I281" s="6" t="s">
        <v>6</v>
      </c>
      <c r="J281" s="7" t="b">
        <v>1</v>
      </c>
    </row>
    <row r="282" spans="1:10" ht="13.9">
      <c r="A282">
        <v>31817708</v>
      </c>
      <c r="B282" s="4">
        <v>2</v>
      </c>
      <c r="C282" s="5" t="s">
        <v>60</v>
      </c>
      <c r="D282" s="3">
        <v>9</v>
      </c>
      <c r="E282" s="3"/>
      <c r="F282" s="94">
        <v>41683</v>
      </c>
      <c r="G282" s="3">
        <v>8</v>
      </c>
      <c r="H282" s="3" t="s">
        <v>63</v>
      </c>
      <c r="I282" s="6" t="s">
        <v>7</v>
      </c>
      <c r="J282" s="7" t="b">
        <v>1</v>
      </c>
    </row>
    <row r="283" spans="1:10" ht="13.9">
      <c r="A283">
        <v>9214500</v>
      </c>
      <c r="B283" s="4">
        <v>6</v>
      </c>
      <c r="C283" s="5" t="s">
        <v>60</v>
      </c>
      <c r="D283" s="3">
        <v>7</v>
      </c>
      <c r="E283" s="3"/>
      <c r="F283" s="94">
        <v>40511</v>
      </c>
      <c r="G283" s="3">
        <v>12</v>
      </c>
      <c r="H283" s="3" t="s">
        <v>63</v>
      </c>
      <c r="I283" s="6" t="s">
        <v>7</v>
      </c>
      <c r="J283" s="7" t="b">
        <v>1</v>
      </c>
    </row>
    <row r="284" spans="1:10" ht="13.9">
      <c r="A284">
        <v>26911531</v>
      </c>
      <c r="B284" s="4">
        <v>12</v>
      </c>
      <c r="C284" s="5" t="s">
        <v>60</v>
      </c>
      <c r="D284" s="3">
        <v>7</v>
      </c>
      <c r="E284" s="5"/>
      <c r="F284" s="94">
        <v>38338</v>
      </c>
      <c r="G284" s="3">
        <v>17</v>
      </c>
      <c r="H284" s="3" t="s">
        <v>63</v>
      </c>
      <c r="I284" s="6" t="s">
        <v>8</v>
      </c>
      <c r="J284" s="7" t="b">
        <v>1</v>
      </c>
    </row>
    <row r="285" spans="1:10" ht="13.9">
      <c r="A285" t="s">
        <v>87</v>
      </c>
      <c r="B285" s="4">
        <v>4</v>
      </c>
      <c r="C285" s="5" t="s">
        <v>64</v>
      </c>
      <c r="D285" s="3">
        <v>7</v>
      </c>
      <c r="E285" s="3"/>
      <c r="F285" s="94">
        <v>41083</v>
      </c>
      <c r="G285" s="3">
        <v>10</v>
      </c>
      <c r="H285" s="3" t="s">
        <v>63</v>
      </c>
      <c r="I285" s="6" t="s">
        <v>7</v>
      </c>
      <c r="J285" s="7" t="b">
        <v>1</v>
      </c>
    </row>
    <row r="286" spans="1:10" ht="13.9">
      <c r="A286">
        <v>22909632</v>
      </c>
      <c r="B286" s="4">
        <v>12</v>
      </c>
      <c r="C286" s="5" t="s">
        <v>60</v>
      </c>
      <c r="D286" s="3">
        <v>7</v>
      </c>
      <c r="E286" s="5"/>
      <c r="F286" s="94">
        <v>38428</v>
      </c>
      <c r="G286" s="3">
        <v>17</v>
      </c>
      <c r="H286" s="3" t="s">
        <v>63</v>
      </c>
      <c r="I286" s="6" t="s">
        <v>7</v>
      </c>
      <c r="J286" s="7" t="b">
        <v>1</v>
      </c>
    </row>
    <row r="287" spans="1:10" ht="13.9">
      <c r="A287">
        <v>28123053</v>
      </c>
      <c r="B287" s="4" t="s">
        <v>41</v>
      </c>
      <c r="C287" s="5" t="s">
        <v>60</v>
      </c>
      <c r="D287" s="3">
        <v>9</v>
      </c>
      <c r="E287" s="3"/>
      <c r="F287" s="94">
        <v>42598</v>
      </c>
      <c r="G287" s="3">
        <v>6</v>
      </c>
      <c r="H287" s="3" t="s">
        <v>63</v>
      </c>
      <c r="I287" s="6" t="s">
        <v>6</v>
      </c>
      <c r="J287" s="7" t="b">
        <v>1</v>
      </c>
    </row>
    <row r="288" spans="1:10" ht="13.9">
      <c r="A288">
        <v>16112019</v>
      </c>
      <c r="B288" s="4">
        <v>10</v>
      </c>
      <c r="C288" s="5" t="s">
        <v>60</v>
      </c>
      <c r="D288" s="3">
        <v>7</v>
      </c>
      <c r="E288" s="5"/>
      <c r="F288" s="94">
        <v>39188</v>
      </c>
      <c r="G288" s="3">
        <v>15</v>
      </c>
      <c r="H288" s="3" t="s">
        <v>61</v>
      </c>
      <c r="I288" s="6" t="s">
        <v>6</v>
      </c>
      <c r="J288" s="7" t="b">
        <v>1</v>
      </c>
    </row>
    <row r="289" spans="1:10" ht="13.9">
      <c r="A289">
        <v>9621502</v>
      </c>
      <c r="B289" s="4" t="s">
        <v>41</v>
      </c>
      <c r="C289" s="5" t="s">
        <v>62</v>
      </c>
      <c r="D289" s="3">
        <v>15</v>
      </c>
      <c r="E289" s="3">
        <v>9</v>
      </c>
      <c r="F289" s="94">
        <v>42919</v>
      </c>
      <c r="G289" s="5">
        <v>5</v>
      </c>
      <c r="H289" s="3" t="s">
        <v>63</v>
      </c>
      <c r="I289" s="6" t="s">
        <v>6</v>
      </c>
      <c r="J289" s="7" t="b">
        <v>1</v>
      </c>
    </row>
    <row r="290" spans="1:10" ht="13.9">
      <c r="A290">
        <v>8716128</v>
      </c>
      <c r="B290" s="4">
        <v>6</v>
      </c>
      <c r="C290" s="5" t="s">
        <v>60</v>
      </c>
      <c r="D290" s="3">
        <v>7</v>
      </c>
      <c r="E290" s="3"/>
      <c r="F290" s="94">
        <v>40582</v>
      </c>
      <c r="G290" s="3">
        <v>11</v>
      </c>
      <c r="H290" s="3" t="s">
        <v>61</v>
      </c>
      <c r="I290" s="6" t="s">
        <v>7</v>
      </c>
      <c r="J290" s="7" t="b">
        <v>1</v>
      </c>
    </row>
    <row r="291" spans="1:10" ht="13.9">
      <c r="A291">
        <v>16111525</v>
      </c>
      <c r="B291" s="4">
        <v>11</v>
      </c>
      <c r="C291" s="5" t="s">
        <v>71</v>
      </c>
      <c r="D291" s="3">
        <v>5</v>
      </c>
      <c r="E291" s="5"/>
      <c r="F291" s="94">
        <v>38538</v>
      </c>
      <c r="G291" s="3">
        <v>17</v>
      </c>
      <c r="H291" s="3" t="s">
        <v>63</v>
      </c>
      <c r="I291" s="6" t="s">
        <v>6</v>
      </c>
      <c r="J291" s="7" t="b">
        <v>1</v>
      </c>
    </row>
    <row r="292" spans="1:10" ht="13.9">
      <c r="A292">
        <v>22919017</v>
      </c>
      <c r="B292" s="4" t="s">
        <v>41</v>
      </c>
      <c r="C292" s="5" t="s">
        <v>65</v>
      </c>
      <c r="D292" s="3">
        <v>17</v>
      </c>
      <c r="E292" s="3">
        <v>3</v>
      </c>
      <c r="F292" s="94">
        <v>42353</v>
      </c>
      <c r="G292" s="5">
        <v>6</v>
      </c>
      <c r="H292" s="3" t="s">
        <v>63</v>
      </c>
      <c r="I292" s="6" t="s">
        <v>4</v>
      </c>
      <c r="J292" s="7" t="b">
        <v>1</v>
      </c>
    </row>
    <row r="293" spans="1:10" ht="13.9">
      <c r="A293">
        <v>35421129</v>
      </c>
      <c r="B293" s="4">
        <v>1</v>
      </c>
      <c r="C293" s="5" t="s">
        <v>60</v>
      </c>
      <c r="D293" s="3">
        <v>8</v>
      </c>
      <c r="E293" s="3"/>
      <c r="F293" s="94">
        <v>42262</v>
      </c>
      <c r="G293" s="3">
        <v>7</v>
      </c>
      <c r="H293" s="3" t="s">
        <v>63</v>
      </c>
      <c r="I293" s="6" t="s">
        <v>7</v>
      </c>
      <c r="J293" s="7" t="b">
        <v>1</v>
      </c>
    </row>
    <row r="294" spans="1:10" ht="13.9">
      <c r="A294">
        <v>27020026</v>
      </c>
      <c r="B294" s="4">
        <v>3</v>
      </c>
      <c r="C294" s="5" t="s">
        <v>60</v>
      </c>
      <c r="D294" s="3">
        <v>17</v>
      </c>
      <c r="E294" s="3">
        <v>9</v>
      </c>
      <c r="F294" s="94">
        <v>41740</v>
      </c>
      <c r="G294" s="5">
        <v>8</v>
      </c>
      <c r="H294" s="3" t="s">
        <v>63</v>
      </c>
      <c r="I294" s="6" t="s">
        <v>7</v>
      </c>
      <c r="J294" s="7" t="b">
        <v>1</v>
      </c>
    </row>
    <row r="295" spans="1:10" ht="13.9">
      <c r="A295">
        <v>31814728</v>
      </c>
      <c r="B295" s="4">
        <v>6</v>
      </c>
      <c r="C295" s="5" t="s">
        <v>60</v>
      </c>
      <c r="D295" s="3">
        <v>7</v>
      </c>
      <c r="E295" s="3">
        <v>9</v>
      </c>
      <c r="F295" s="94">
        <v>40058</v>
      </c>
      <c r="G295" s="3">
        <v>13</v>
      </c>
      <c r="H295" s="3" t="s">
        <v>63</v>
      </c>
      <c r="I295" s="6" t="s">
        <v>7</v>
      </c>
      <c r="J295" s="7" t="b">
        <v>1</v>
      </c>
    </row>
    <row r="296" spans="1:10" ht="13.9">
      <c r="A296">
        <v>7221146</v>
      </c>
      <c r="B296" s="4">
        <v>5</v>
      </c>
      <c r="C296" s="5" t="s">
        <v>60</v>
      </c>
      <c r="D296" s="3">
        <v>17</v>
      </c>
      <c r="E296" s="3">
        <v>9</v>
      </c>
      <c r="F296" s="94">
        <v>40526</v>
      </c>
      <c r="G296" s="5">
        <v>11</v>
      </c>
      <c r="H296" s="3" t="s">
        <v>61</v>
      </c>
      <c r="I296" s="6" t="s">
        <v>7</v>
      </c>
      <c r="J296" s="7" t="b">
        <v>1</v>
      </c>
    </row>
    <row r="297" spans="1:10" ht="13.9">
      <c r="A297">
        <v>8917665</v>
      </c>
      <c r="B297" s="4">
        <v>2</v>
      </c>
      <c r="C297" s="5" t="s">
        <v>60</v>
      </c>
      <c r="D297" s="3">
        <v>17</v>
      </c>
      <c r="E297" s="3">
        <v>9</v>
      </c>
      <c r="F297" s="94">
        <v>42013</v>
      </c>
      <c r="G297" s="5">
        <v>7</v>
      </c>
      <c r="H297" s="3" t="s">
        <v>63</v>
      </c>
      <c r="I297" s="6" t="s">
        <v>7</v>
      </c>
      <c r="J297" s="7" t="b">
        <v>1</v>
      </c>
    </row>
    <row r="298" spans="1:10" ht="13.9">
      <c r="A298">
        <v>31813760</v>
      </c>
      <c r="B298" s="4">
        <v>8</v>
      </c>
      <c r="C298" s="5" t="s">
        <v>65</v>
      </c>
      <c r="D298" s="3">
        <v>7</v>
      </c>
      <c r="E298" s="3">
        <v>4</v>
      </c>
      <c r="F298" s="94">
        <v>39725</v>
      </c>
      <c r="G298" s="3">
        <v>14</v>
      </c>
      <c r="H298" s="3" t="s">
        <v>63</v>
      </c>
      <c r="I298" s="6" t="s">
        <v>8</v>
      </c>
      <c r="J298" s="7" t="b">
        <v>1</v>
      </c>
    </row>
    <row r="299" spans="1:10" ht="13.9">
      <c r="A299" s="8">
        <v>16216069</v>
      </c>
      <c r="B299" s="4">
        <v>7</v>
      </c>
      <c r="C299" s="5" t="s">
        <v>60</v>
      </c>
      <c r="D299" s="3">
        <v>5</v>
      </c>
      <c r="E299" s="3"/>
      <c r="F299" s="94">
        <v>40170</v>
      </c>
      <c r="G299" s="3">
        <v>12</v>
      </c>
      <c r="H299" s="3" t="s">
        <v>63</v>
      </c>
      <c r="I299" s="6" t="s">
        <v>7</v>
      </c>
      <c r="J299" s="7" t="b">
        <v>1</v>
      </c>
    </row>
    <row r="300" spans="1:10" ht="13.9">
      <c r="A300">
        <v>22915138</v>
      </c>
      <c r="B300" s="4">
        <v>6</v>
      </c>
      <c r="C300" s="5" t="s">
        <v>60</v>
      </c>
      <c r="D300" s="3">
        <v>17</v>
      </c>
      <c r="E300" s="3"/>
      <c r="F300" s="94">
        <v>40516</v>
      </c>
      <c r="G300" s="5">
        <v>11</v>
      </c>
      <c r="H300" s="3" t="s">
        <v>63</v>
      </c>
      <c r="I300" s="6" t="s">
        <v>7</v>
      </c>
      <c r="J300" s="7" t="b">
        <v>1</v>
      </c>
    </row>
    <row r="301" spans="1:10" ht="13.9">
      <c r="A301">
        <v>25320037</v>
      </c>
      <c r="B301" s="4">
        <v>2</v>
      </c>
      <c r="C301" s="5" t="s">
        <v>60</v>
      </c>
      <c r="D301" s="3">
        <v>9</v>
      </c>
      <c r="E301" s="3"/>
      <c r="F301" s="94">
        <v>42049</v>
      </c>
      <c r="G301" s="3">
        <v>7</v>
      </c>
      <c r="H301" s="3" t="s">
        <v>63</v>
      </c>
      <c r="I301" s="6" t="s">
        <v>6</v>
      </c>
      <c r="J301" s="7" t="b">
        <v>1</v>
      </c>
    </row>
    <row r="302" spans="1:10" ht="13.9">
      <c r="A302">
        <v>15116033</v>
      </c>
      <c r="B302" s="4">
        <v>5</v>
      </c>
      <c r="C302" s="5" t="s">
        <v>60</v>
      </c>
      <c r="D302" s="3">
        <v>7</v>
      </c>
      <c r="E302" s="3"/>
      <c r="F302" s="94">
        <v>40909</v>
      </c>
      <c r="G302" s="3">
        <v>10</v>
      </c>
      <c r="H302" s="3" t="s">
        <v>61</v>
      </c>
      <c r="I302" s="6" t="s">
        <v>4</v>
      </c>
      <c r="J302" s="7" t="b">
        <v>1</v>
      </c>
    </row>
    <row r="303" spans="1:10" ht="13.9">
      <c r="A303">
        <v>361000000</v>
      </c>
      <c r="B303" s="4">
        <v>5</v>
      </c>
      <c r="C303" s="5" t="s">
        <v>60</v>
      </c>
      <c r="D303" s="8">
        <v>7</v>
      </c>
      <c r="E303" s="3">
        <v>9</v>
      </c>
      <c r="F303" s="94">
        <v>40922</v>
      </c>
      <c r="G303" s="3">
        <v>10</v>
      </c>
      <c r="H303" s="3" t="s">
        <v>63</v>
      </c>
      <c r="I303" s="6" t="s">
        <v>7</v>
      </c>
      <c r="J303" s="7" t="b">
        <v>1</v>
      </c>
    </row>
  </sheetData>
  <sortState xmlns:xlrd2="http://schemas.microsoft.com/office/spreadsheetml/2017/richdata2" ref="M2:M6">
    <sortCondition ref="M2:M6"/>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outlinePr summaryBelow="0" summaryRight="0"/>
  </sheetPr>
  <dimension ref="A1:Q990"/>
  <sheetViews>
    <sheetView workbookViewId="0">
      <selection activeCell="A990" sqref="A990"/>
    </sheetView>
  </sheetViews>
  <sheetFormatPr defaultColWidth="12.5703125" defaultRowHeight="15.75" customHeight="1"/>
  <cols>
    <col min="3" max="3" width="17.42578125" customWidth="1"/>
    <col min="4" max="4" width="24.85546875" customWidth="1"/>
    <col min="5" max="5" width="28" customWidth="1"/>
    <col min="6" max="6" width="15.28515625" customWidth="1"/>
    <col min="7" max="7" width="15.140625" customWidth="1"/>
    <col min="10" max="10" width="16.5703125" customWidth="1"/>
  </cols>
  <sheetData>
    <row r="1" spans="1:17" ht="13.9">
      <c r="A1" s="3" t="s">
        <v>10</v>
      </c>
      <c r="B1" s="3" t="s">
        <v>52</v>
      </c>
      <c r="C1" s="3" t="s">
        <v>53</v>
      </c>
      <c r="D1" s="3" t="s">
        <v>54</v>
      </c>
      <c r="E1" s="3" t="s">
        <v>55</v>
      </c>
      <c r="F1" s="3" t="s">
        <v>56</v>
      </c>
      <c r="G1" s="3" t="s">
        <v>57</v>
      </c>
      <c r="H1" s="3" t="s">
        <v>58</v>
      </c>
      <c r="I1" s="3" t="s">
        <v>23</v>
      </c>
      <c r="J1" s="3" t="s">
        <v>59</v>
      </c>
    </row>
    <row r="2" spans="1:17" ht="15.75" customHeight="1">
      <c r="A2" s="1">
        <v>22912234</v>
      </c>
      <c r="B2" s="1" t="s">
        <v>41</v>
      </c>
      <c r="C2" s="3" t="s">
        <v>60</v>
      </c>
      <c r="D2" s="5">
        <v>17</v>
      </c>
      <c r="E2" s="3">
        <v>7</v>
      </c>
      <c r="F2" s="6">
        <v>40624</v>
      </c>
      <c r="G2" s="5">
        <v>11</v>
      </c>
      <c r="H2" s="3" t="s">
        <v>63</v>
      </c>
      <c r="I2" s="3" t="s">
        <v>7</v>
      </c>
      <c r="J2" s="7" t="b">
        <v>1</v>
      </c>
      <c r="K2" s="7"/>
      <c r="L2" s="7"/>
      <c r="M2" s="7"/>
      <c r="N2" s="7"/>
      <c r="O2" s="7"/>
      <c r="P2" s="7"/>
      <c r="Q2" s="7"/>
    </row>
    <row r="3" spans="1:17" ht="15.75" customHeight="1">
      <c r="A3" s="1">
        <v>22911047</v>
      </c>
      <c r="B3" s="1">
        <v>2</v>
      </c>
      <c r="C3" s="3" t="s">
        <v>62</v>
      </c>
      <c r="D3" s="3">
        <v>1</v>
      </c>
      <c r="E3" s="3">
        <v>9</v>
      </c>
      <c r="F3" s="6">
        <v>42322</v>
      </c>
      <c r="G3" s="5">
        <v>7</v>
      </c>
      <c r="H3" s="3" t="s">
        <v>63</v>
      </c>
      <c r="I3" s="3" t="s">
        <v>7</v>
      </c>
      <c r="J3" s="7" t="b">
        <v>1</v>
      </c>
      <c r="K3" s="7"/>
      <c r="L3" s="7"/>
      <c r="M3" s="7"/>
      <c r="N3" s="7"/>
      <c r="O3" s="7"/>
      <c r="P3" s="7"/>
      <c r="Q3" s="7"/>
    </row>
    <row r="4" spans="1:17" ht="15.75" customHeight="1">
      <c r="A4" s="1">
        <v>22911143</v>
      </c>
      <c r="B4" s="1">
        <v>1</v>
      </c>
      <c r="C4" s="3" t="s">
        <v>60</v>
      </c>
      <c r="D4" s="3">
        <v>7</v>
      </c>
      <c r="E4" s="3"/>
      <c r="F4" s="6">
        <v>39894</v>
      </c>
      <c r="G4" s="5">
        <v>13</v>
      </c>
      <c r="H4" s="3" t="s">
        <v>63</v>
      </c>
      <c r="I4" s="3" t="s">
        <v>7</v>
      </c>
      <c r="J4" s="7" t="b">
        <v>1</v>
      </c>
      <c r="K4" s="7"/>
      <c r="L4" s="7"/>
      <c r="M4" s="7"/>
      <c r="N4" s="7"/>
      <c r="O4" s="7"/>
      <c r="P4" s="7"/>
      <c r="Q4" s="7"/>
    </row>
    <row r="5" spans="1:17" ht="15.75" customHeight="1">
      <c r="A5" s="1">
        <v>22913229</v>
      </c>
      <c r="B5" s="1">
        <v>1</v>
      </c>
      <c r="C5" s="3" t="s">
        <v>60</v>
      </c>
      <c r="D5" s="3">
        <v>7</v>
      </c>
      <c r="E5" s="3"/>
      <c r="F5" s="6">
        <v>40637</v>
      </c>
      <c r="G5" s="5">
        <v>11</v>
      </c>
      <c r="H5" s="3" t="s">
        <v>61</v>
      </c>
      <c r="I5" s="3" t="s">
        <v>7</v>
      </c>
      <c r="J5" s="7" t="b">
        <v>1</v>
      </c>
      <c r="K5" s="7"/>
      <c r="L5" s="7"/>
      <c r="M5" s="7"/>
      <c r="N5" s="7"/>
      <c r="O5" s="7"/>
      <c r="P5" s="7"/>
      <c r="Q5" s="7"/>
    </row>
    <row r="6" spans="1:17" ht="15.75" customHeight="1">
      <c r="A6" s="1">
        <v>22913229</v>
      </c>
      <c r="B6" s="1">
        <v>1</v>
      </c>
      <c r="C6" s="3" t="s">
        <v>64</v>
      </c>
      <c r="D6" s="3">
        <v>7</v>
      </c>
      <c r="E6" s="3"/>
      <c r="F6" s="6">
        <v>40760</v>
      </c>
      <c r="G6" s="5">
        <v>11</v>
      </c>
      <c r="H6" s="3" t="s">
        <v>61</v>
      </c>
      <c r="I6" s="3" t="s">
        <v>7</v>
      </c>
      <c r="J6" s="7" t="b">
        <v>1</v>
      </c>
      <c r="K6" s="7"/>
      <c r="L6" s="7"/>
      <c r="M6" s="7"/>
      <c r="N6" s="7"/>
      <c r="O6" s="7"/>
      <c r="P6" s="7"/>
      <c r="Q6" s="7"/>
    </row>
    <row r="7" spans="1:17" ht="15.75" customHeight="1">
      <c r="A7" s="1">
        <v>22913229</v>
      </c>
      <c r="B7" s="1">
        <v>1</v>
      </c>
      <c r="C7" s="3" t="s">
        <v>64</v>
      </c>
      <c r="D7" s="5">
        <v>17</v>
      </c>
      <c r="E7" s="3"/>
      <c r="F7" s="6">
        <v>38167</v>
      </c>
      <c r="G7" s="5">
        <v>18</v>
      </c>
      <c r="H7" s="3" t="s">
        <v>61</v>
      </c>
      <c r="I7" s="3" t="s">
        <v>7</v>
      </c>
      <c r="J7" s="7" t="b">
        <v>1</v>
      </c>
      <c r="K7" s="7"/>
      <c r="L7" s="7"/>
      <c r="M7" s="7"/>
      <c r="N7" s="7"/>
      <c r="O7" s="7"/>
      <c r="P7" s="7"/>
      <c r="Q7" s="7"/>
    </row>
    <row r="8" spans="1:17" ht="15.75" customHeight="1">
      <c r="A8" s="1">
        <v>22914091</v>
      </c>
      <c r="B8" s="1">
        <v>1</v>
      </c>
      <c r="C8" s="3" t="s">
        <v>60</v>
      </c>
      <c r="D8" s="5">
        <v>17</v>
      </c>
      <c r="E8" s="3"/>
      <c r="F8" s="6">
        <v>38911</v>
      </c>
      <c r="G8" s="5">
        <v>16</v>
      </c>
      <c r="H8" s="3" t="s">
        <v>63</v>
      </c>
      <c r="I8" s="3" t="s">
        <v>4</v>
      </c>
      <c r="J8" s="7" t="b">
        <v>1</v>
      </c>
      <c r="K8" s="7"/>
      <c r="L8" s="7"/>
      <c r="M8" s="7"/>
      <c r="N8" s="7"/>
      <c r="O8" s="7"/>
      <c r="P8" s="7"/>
      <c r="Q8" s="7"/>
    </row>
    <row r="9" spans="1:17" ht="15.75" customHeight="1">
      <c r="A9" s="1">
        <v>22914379</v>
      </c>
      <c r="B9" s="1">
        <v>1</v>
      </c>
      <c r="C9" s="3" t="s">
        <v>60</v>
      </c>
      <c r="D9" s="5">
        <v>17</v>
      </c>
      <c r="E9" s="3"/>
      <c r="F9" s="6">
        <v>40619</v>
      </c>
      <c r="G9" s="5">
        <v>11</v>
      </c>
      <c r="H9" s="3" t="s">
        <v>63</v>
      </c>
      <c r="I9" s="3" t="s">
        <v>7</v>
      </c>
      <c r="J9" s="7" t="b">
        <v>1</v>
      </c>
      <c r="K9" s="7"/>
      <c r="L9" s="7"/>
      <c r="M9" s="7"/>
      <c r="N9" s="7"/>
      <c r="O9" s="7"/>
      <c r="P9" s="7"/>
      <c r="Q9" s="7"/>
    </row>
    <row r="10" spans="1:17" ht="15.75" customHeight="1">
      <c r="A10" s="1">
        <v>22915224</v>
      </c>
      <c r="B10" s="1">
        <v>1</v>
      </c>
      <c r="C10" s="3" t="s">
        <v>60</v>
      </c>
      <c r="D10" s="3">
        <v>9</v>
      </c>
      <c r="E10" s="3"/>
      <c r="F10" s="6">
        <v>41821</v>
      </c>
      <c r="G10" s="5">
        <v>8</v>
      </c>
      <c r="H10" s="3" t="s">
        <v>61</v>
      </c>
      <c r="I10" s="3" t="s">
        <v>7</v>
      </c>
      <c r="J10" s="7" t="b">
        <v>1</v>
      </c>
      <c r="K10" s="7"/>
      <c r="L10" s="7"/>
      <c r="M10" s="7"/>
      <c r="N10" s="7"/>
      <c r="O10" s="7"/>
      <c r="P10" s="7"/>
      <c r="Q10" s="7"/>
    </row>
    <row r="11" spans="1:17" ht="15.75" customHeight="1">
      <c r="A11" s="1">
        <v>22915242</v>
      </c>
      <c r="B11" s="1">
        <v>1</v>
      </c>
      <c r="C11" s="3" t="s">
        <v>71</v>
      </c>
      <c r="D11" s="3">
        <v>1</v>
      </c>
      <c r="E11" s="3">
        <v>9</v>
      </c>
      <c r="F11" s="6">
        <v>41360</v>
      </c>
      <c r="G11" s="5">
        <v>9</v>
      </c>
      <c r="H11" s="3" t="s">
        <v>61</v>
      </c>
      <c r="I11" s="3" t="s">
        <v>7</v>
      </c>
      <c r="J11" s="7" t="b">
        <v>1</v>
      </c>
      <c r="K11" s="7"/>
      <c r="L11" s="7"/>
      <c r="M11" s="7"/>
      <c r="N11" s="7"/>
      <c r="O11" s="7"/>
      <c r="P11" s="7"/>
      <c r="Q11" s="7"/>
    </row>
    <row r="12" spans="1:17" ht="15.75" customHeight="1">
      <c r="A12" s="1">
        <v>22915242</v>
      </c>
      <c r="B12" s="1">
        <v>1</v>
      </c>
      <c r="C12" s="3" t="s">
        <v>60</v>
      </c>
      <c r="D12" s="3">
        <v>7</v>
      </c>
      <c r="E12" s="3"/>
      <c r="F12" s="6">
        <v>40585</v>
      </c>
      <c r="G12" s="5">
        <v>11</v>
      </c>
      <c r="H12" s="3" t="s">
        <v>61</v>
      </c>
      <c r="I12" s="3" t="s">
        <v>7</v>
      </c>
      <c r="J12" s="7" t="b">
        <v>1</v>
      </c>
      <c r="K12" s="7"/>
      <c r="L12" s="7"/>
      <c r="M12" s="7"/>
      <c r="N12" s="7"/>
      <c r="O12" s="7"/>
      <c r="P12" s="7"/>
      <c r="Q12" s="7"/>
    </row>
    <row r="13" spans="1:17" ht="15.75" customHeight="1">
      <c r="A13" s="1">
        <v>22915242</v>
      </c>
      <c r="B13" s="1">
        <v>1</v>
      </c>
      <c r="C13" s="3" t="s">
        <v>62</v>
      </c>
      <c r="D13" s="5">
        <v>11</v>
      </c>
      <c r="E13" s="3">
        <v>9</v>
      </c>
      <c r="F13" s="9">
        <v>42137</v>
      </c>
      <c r="G13" s="5">
        <v>7</v>
      </c>
      <c r="H13" s="3" t="s">
        <v>63</v>
      </c>
      <c r="I13" s="3" t="s">
        <v>7</v>
      </c>
      <c r="J13" s="7" t="b">
        <v>1</v>
      </c>
      <c r="K13" s="7"/>
      <c r="L13" s="7"/>
      <c r="M13" s="7"/>
      <c r="N13" s="7"/>
      <c r="O13" s="7"/>
      <c r="P13" s="7"/>
      <c r="Q13" s="7"/>
    </row>
    <row r="14" spans="1:17" ht="15.75" customHeight="1">
      <c r="A14" s="1">
        <v>22912405</v>
      </c>
      <c r="B14" s="1">
        <v>3</v>
      </c>
      <c r="C14" s="3" t="s">
        <v>65</v>
      </c>
      <c r="D14" s="5">
        <v>10</v>
      </c>
      <c r="E14" s="3">
        <v>9</v>
      </c>
      <c r="F14" s="6">
        <v>41895</v>
      </c>
      <c r="G14" s="5">
        <v>8</v>
      </c>
      <c r="H14" s="3" t="s">
        <v>61</v>
      </c>
      <c r="I14" s="3" t="s">
        <v>7</v>
      </c>
      <c r="J14" s="7" t="b">
        <v>1</v>
      </c>
      <c r="K14" s="7"/>
      <c r="L14" s="7"/>
      <c r="M14" s="7"/>
      <c r="N14" s="7"/>
      <c r="O14" s="7"/>
      <c r="P14" s="7"/>
      <c r="Q14" s="7"/>
    </row>
    <row r="15" spans="1:17" ht="15.75" customHeight="1">
      <c r="A15" s="1">
        <v>22907502</v>
      </c>
      <c r="B15" s="1" t="s">
        <v>41</v>
      </c>
      <c r="C15" s="3" t="s">
        <v>60</v>
      </c>
      <c r="D15" s="5">
        <v>17</v>
      </c>
      <c r="E15" s="3"/>
      <c r="F15" s="6">
        <v>38560</v>
      </c>
      <c r="G15" s="5">
        <v>17</v>
      </c>
      <c r="H15" s="3" t="s">
        <v>63</v>
      </c>
      <c r="I15" s="3" t="s">
        <v>7</v>
      </c>
      <c r="J15" s="7" t="b">
        <v>1</v>
      </c>
      <c r="K15" s="7"/>
      <c r="L15" s="7"/>
      <c r="M15" s="7"/>
      <c r="N15" s="7"/>
      <c r="O15" s="7"/>
      <c r="P15" s="7"/>
      <c r="Q15" s="7"/>
    </row>
    <row r="16" spans="1:17" ht="15.75" customHeight="1">
      <c r="A16" s="1">
        <v>22908743</v>
      </c>
      <c r="B16" s="1" t="s">
        <v>41</v>
      </c>
      <c r="C16" s="3" t="s">
        <v>60</v>
      </c>
      <c r="D16" s="5">
        <v>17</v>
      </c>
      <c r="E16" s="3">
        <v>9</v>
      </c>
      <c r="F16" s="6">
        <v>41551</v>
      </c>
      <c r="G16" s="5">
        <v>9</v>
      </c>
      <c r="H16" s="3" t="s">
        <v>63</v>
      </c>
      <c r="I16" s="3" t="s">
        <v>7</v>
      </c>
      <c r="J16" s="7" t="b">
        <v>1</v>
      </c>
      <c r="K16" s="7"/>
      <c r="L16" s="7"/>
      <c r="M16" s="7"/>
      <c r="N16" s="7"/>
      <c r="O16" s="7"/>
      <c r="P16" s="7"/>
      <c r="Q16" s="7"/>
    </row>
    <row r="17" spans="1:17" ht="15.75" customHeight="1">
      <c r="A17" s="1">
        <v>22910212</v>
      </c>
      <c r="B17" s="1" t="s">
        <v>41</v>
      </c>
      <c r="C17" s="3" t="s">
        <v>60</v>
      </c>
      <c r="D17" s="3">
        <v>9</v>
      </c>
      <c r="E17" s="3"/>
      <c r="F17" s="6">
        <v>42361</v>
      </c>
      <c r="G17" s="5">
        <v>6</v>
      </c>
      <c r="H17" s="3" t="s">
        <v>63</v>
      </c>
      <c r="I17" s="3" t="s">
        <v>4</v>
      </c>
      <c r="J17" s="7" t="b">
        <v>1</v>
      </c>
      <c r="K17" s="7"/>
      <c r="L17" s="7"/>
      <c r="M17" s="7"/>
      <c r="N17" s="7"/>
      <c r="O17" s="7"/>
      <c r="P17" s="7"/>
      <c r="Q17" s="7"/>
    </row>
    <row r="18" spans="1:17" ht="15.75" customHeight="1">
      <c r="A18" s="1">
        <v>22910212</v>
      </c>
      <c r="B18" s="1" t="s">
        <v>41</v>
      </c>
      <c r="C18" s="3" t="s">
        <v>65</v>
      </c>
      <c r="D18" s="3">
        <v>7</v>
      </c>
      <c r="E18" s="3"/>
      <c r="F18" s="6">
        <v>39637</v>
      </c>
      <c r="G18" s="5">
        <v>14</v>
      </c>
      <c r="H18" s="3" t="s">
        <v>63</v>
      </c>
      <c r="I18" s="3" t="s">
        <v>7</v>
      </c>
      <c r="J18" s="7" t="b">
        <v>1</v>
      </c>
      <c r="K18" s="7"/>
      <c r="L18" s="7"/>
      <c r="M18" s="7"/>
      <c r="N18" s="7"/>
      <c r="O18" s="7"/>
      <c r="P18" s="7"/>
      <c r="Q18" s="7"/>
    </row>
    <row r="19" spans="1:17" ht="15.75" customHeight="1">
      <c r="A19" s="1">
        <v>22910536</v>
      </c>
      <c r="B19" s="1" t="s">
        <v>41</v>
      </c>
      <c r="C19" s="3" t="s">
        <v>60</v>
      </c>
      <c r="D19" s="3">
        <v>7</v>
      </c>
      <c r="E19" s="5">
        <v>17</v>
      </c>
      <c r="F19" s="6">
        <v>39255</v>
      </c>
      <c r="G19" s="5">
        <v>15</v>
      </c>
      <c r="H19" s="3" t="s">
        <v>63</v>
      </c>
      <c r="I19" s="3" t="s">
        <v>7</v>
      </c>
      <c r="J19" s="7" t="b">
        <v>1</v>
      </c>
      <c r="K19" s="7"/>
      <c r="L19" s="7"/>
      <c r="M19" s="7"/>
      <c r="N19" s="7"/>
      <c r="O19" s="7"/>
      <c r="P19" s="7"/>
      <c r="Q19" s="7"/>
    </row>
    <row r="20" spans="1:17" ht="15.75" customHeight="1">
      <c r="A20" s="1">
        <v>22910761</v>
      </c>
      <c r="B20" s="1" t="s">
        <v>41</v>
      </c>
      <c r="C20" s="3" t="s">
        <v>60</v>
      </c>
      <c r="D20" s="3">
        <v>1</v>
      </c>
      <c r="E20" s="3">
        <v>9</v>
      </c>
      <c r="F20" s="6">
        <v>42034</v>
      </c>
      <c r="G20" s="5">
        <v>7</v>
      </c>
      <c r="H20" s="3" t="s">
        <v>63</v>
      </c>
      <c r="I20" s="3" t="s">
        <v>7</v>
      </c>
      <c r="J20" s="7" t="b">
        <v>1</v>
      </c>
      <c r="K20" s="7"/>
      <c r="L20" s="7"/>
      <c r="M20" s="7"/>
      <c r="N20" s="7"/>
      <c r="O20" s="7"/>
      <c r="P20" s="7"/>
      <c r="Q20" s="7"/>
    </row>
    <row r="21" spans="1:17" ht="15.75" customHeight="1">
      <c r="A21" s="1">
        <v>22908537</v>
      </c>
      <c r="B21" s="1" t="s">
        <v>41</v>
      </c>
      <c r="C21" s="3" t="s">
        <v>60</v>
      </c>
      <c r="D21" s="5">
        <v>17</v>
      </c>
      <c r="E21" s="3"/>
      <c r="F21" s="6">
        <v>39327</v>
      </c>
      <c r="G21" s="5">
        <v>15</v>
      </c>
      <c r="H21" s="3" t="s">
        <v>61</v>
      </c>
      <c r="I21" s="3" t="s">
        <v>7</v>
      </c>
      <c r="J21" s="7" t="b">
        <v>1</v>
      </c>
      <c r="K21" s="7"/>
      <c r="L21" s="7"/>
      <c r="M21" s="7"/>
      <c r="N21" s="7"/>
      <c r="O21" s="7"/>
      <c r="P21" s="7"/>
      <c r="Q21" s="7"/>
    </row>
    <row r="22" spans="1:17" ht="15.75" customHeight="1">
      <c r="A22" s="1">
        <v>22909622</v>
      </c>
      <c r="B22" s="1" t="s">
        <v>41</v>
      </c>
      <c r="C22" s="3" t="s">
        <v>60</v>
      </c>
      <c r="D22" s="5">
        <v>15</v>
      </c>
      <c r="E22" s="3"/>
      <c r="F22" s="6">
        <v>38345</v>
      </c>
      <c r="G22" s="5">
        <v>17</v>
      </c>
      <c r="H22" s="3" t="s">
        <v>63</v>
      </c>
      <c r="I22" s="3" t="s">
        <v>7</v>
      </c>
      <c r="J22" s="7" t="b">
        <v>1</v>
      </c>
      <c r="K22" s="7"/>
      <c r="L22" s="7"/>
      <c r="M22" s="7"/>
      <c r="N22" s="7"/>
      <c r="O22" s="7"/>
      <c r="P22" s="7"/>
      <c r="Q22" s="7"/>
    </row>
    <row r="23" spans="1:17" ht="14.45">
      <c r="A23" s="1">
        <v>22909622</v>
      </c>
      <c r="B23" s="1" t="s">
        <v>41</v>
      </c>
      <c r="C23" s="3" t="s">
        <v>60</v>
      </c>
      <c r="D23" s="5">
        <v>17</v>
      </c>
      <c r="E23" s="3">
        <v>7</v>
      </c>
      <c r="F23" s="6">
        <v>39301</v>
      </c>
      <c r="G23" s="5">
        <v>15</v>
      </c>
      <c r="H23" s="3" t="s">
        <v>61</v>
      </c>
      <c r="I23" s="3" t="s">
        <v>4</v>
      </c>
      <c r="J23" s="7" t="b">
        <v>1</v>
      </c>
      <c r="K23" s="7"/>
      <c r="L23" s="7"/>
      <c r="M23" s="7"/>
      <c r="N23" s="7"/>
      <c r="O23" s="7"/>
      <c r="P23" s="7"/>
      <c r="Q23" s="7"/>
    </row>
    <row r="24" spans="1:17" ht="14.45">
      <c r="A24" s="1">
        <v>22909622</v>
      </c>
      <c r="B24" s="1" t="s">
        <v>41</v>
      </c>
      <c r="C24" s="3" t="s">
        <v>60</v>
      </c>
      <c r="D24" s="3">
        <v>6</v>
      </c>
      <c r="E24" s="3"/>
      <c r="F24" s="6">
        <v>39785</v>
      </c>
      <c r="G24" s="5">
        <v>13</v>
      </c>
      <c r="H24" s="3" t="s">
        <v>63</v>
      </c>
      <c r="I24" s="3" t="s">
        <v>7</v>
      </c>
      <c r="J24" s="7" t="b">
        <v>1</v>
      </c>
      <c r="K24" s="7"/>
      <c r="L24" s="7"/>
      <c r="M24" s="7"/>
      <c r="N24" s="7"/>
      <c r="O24" s="7"/>
      <c r="P24" s="7"/>
      <c r="Q24" s="7"/>
    </row>
    <row r="25" spans="1:17" ht="14.45">
      <c r="A25" s="1">
        <v>22910242</v>
      </c>
      <c r="B25" s="1" t="s">
        <v>41</v>
      </c>
      <c r="C25" s="3" t="s">
        <v>62</v>
      </c>
      <c r="D25" s="5">
        <v>11</v>
      </c>
      <c r="E25" s="3"/>
      <c r="F25" s="6">
        <v>38559</v>
      </c>
      <c r="G25" s="5">
        <v>17</v>
      </c>
      <c r="H25" s="3" t="s">
        <v>63</v>
      </c>
      <c r="I25" s="3" t="s">
        <v>7</v>
      </c>
      <c r="J25" s="7" t="b">
        <v>1</v>
      </c>
      <c r="K25" s="7"/>
      <c r="L25" s="7"/>
      <c r="M25" s="7"/>
      <c r="N25" s="7"/>
      <c r="O25" s="7"/>
      <c r="P25" s="7"/>
      <c r="Q25" s="7"/>
    </row>
    <row r="26" spans="1:17" ht="14.45">
      <c r="A26" s="1">
        <v>22910242</v>
      </c>
      <c r="B26" s="1" t="s">
        <v>41</v>
      </c>
      <c r="C26" s="3" t="s">
        <v>64</v>
      </c>
      <c r="D26" s="5">
        <v>15</v>
      </c>
      <c r="E26" s="3">
        <v>9</v>
      </c>
      <c r="F26" s="6">
        <v>39290</v>
      </c>
      <c r="G26" s="5">
        <v>15</v>
      </c>
      <c r="H26" s="3" t="s">
        <v>63</v>
      </c>
      <c r="I26" s="3" t="s">
        <v>8</v>
      </c>
      <c r="J26" s="7" t="b">
        <v>1</v>
      </c>
      <c r="K26" s="7"/>
      <c r="L26" s="7"/>
      <c r="M26" s="7"/>
      <c r="N26" s="7"/>
      <c r="O26" s="7"/>
      <c r="P26" s="7"/>
      <c r="Q26" s="7"/>
    </row>
    <row r="27" spans="1:17" ht="14.45">
      <c r="A27" s="1">
        <v>22909544</v>
      </c>
      <c r="B27" s="1" t="s">
        <v>41</v>
      </c>
      <c r="C27" s="3" t="s">
        <v>60</v>
      </c>
      <c r="D27" s="5">
        <v>10</v>
      </c>
      <c r="E27" s="3">
        <v>9</v>
      </c>
      <c r="F27" s="6">
        <v>41451</v>
      </c>
      <c r="G27" s="5">
        <v>9</v>
      </c>
      <c r="H27" s="3" t="s">
        <v>61</v>
      </c>
      <c r="I27" s="3" t="s">
        <v>7</v>
      </c>
      <c r="J27" s="7" t="b">
        <v>1</v>
      </c>
      <c r="K27" s="7"/>
      <c r="L27" s="7"/>
      <c r="M27" s="7"/>
      <c r="N27" s="7"/>
      <c r="O27" s="7"/>
      <c r="P27" s="7"/>
      <c r="Q27" s="7"/>
    </row>
    <row r="28" spans="1:17" ht="14.45">
      <c r="A28" s="1">
        <v>22910110</v>
      </c>
      <c r="B28" s="1">
        <v>4</v>
      </c>
      <c r="C28" s="3" t="s">
        <v>64</v>
      </c>
      <c r="D28" s="5">
        <v>17</v>
      </c>
      <c r="E28" s="3"/>
      <c r="F28" s="6">
        <v>39626</v>
      </c>
      <c r="G28" s="5">
        <v>14</v>
      </c>
      <c r="H28" s="3" t="s">
        <v>63</v>
      </c>
      <c r="I28" s="3" t="s">
        <v>7</v>
      </c>
      <c r="J28" s="7" t="b">
        <v>1</v>
      </c>
      <c r="K28" s="7"/>
      <c r="L28" s="7"/>
      <c r="M28" s="7"/>
      <c r="N28" s="7"/>
      <c r="O28" s="7"/>
      <c r="P28" s="7"/>
      <c r="Q28" s="7"/>
    </row>
    <row r="29" spans="1:17" ht="14.45">
      <c r="A29" s="1">
        <v>22910110</v>
      </c>
      <c r="B29" s="1">
        <v>2</v>
      </c>
      <c r="C29" s="3" t="s">
        <v>62</v>
      </c>
      <c r="D29" s="5">
        <v>15</v>
      </c>
      <c r="E29" s="3"/>
      <c r="F29" s="6">
        <v>39199</v>
      </c>
      <c r="G29" s="5">
        <v>15</v>
      </c>
      <c r="H29" s="3" t="s">
        <v>61</v>
      </c>
      <c r="I29" s="3" t="s">
        <v>7</v>
      </c>
      <c r="J29" s="7" t="b">
        <v>1</v>
      </c>
      <c r="K29" s="7"/>
      <c r="L29" s="7"/>
      <c r="M29" s="7"/>
      <c r="N29" s="7"/>
      <c r="O29" s="7"/>
      <c r="P29" s="7"/>
      <c r="Q29" s="7"/>
    </row>
    <row r="30" spans="1:17" ht="14.45">
      <c r="A30" s="1">
        <v>22910110</v>
      </c>
      <c r="B30" s="1">
        <v>2</v>
      </c>
      <c r="C30" s="3" t="s">
        <v>60</v>
      </c>
      <c r="D30" s="3">
        <v>7</v>
      </c>
      <c r="E30" s="3"/>
      <c r="F30" s="6">
        <v>38888</v>
      </c>
      <c r="G30" s="5">
        <v>16</v>
      </c>
      <c r="H30" s="3" t="s">
        <v>63</v>
      </c>
      <c r="I30" s="3" t="s">
        <v>7</v>
      </c>
      <c r="J30" s="7" t="b">
        <v>1</v>
      </c>
      <c r="K30" s="7"/>
      <c r="L30" s="7"/>
      <c r="M30" s="7"/>
      <c r="N30" s="7"/>
      <c r="O30" s="7"/>
      <c r="P30" s="7"/>
      <c r="Q30" s="7"/>
    </row>
    <row r="31" spans="1:17" ht="14.45">
      <c r="A31" s="1">
        <v>22910756</v>
      </c>
      <c r="B31" s="1">
        <v>2</v>
      </c>
      <c r="C31" s="3" t="s">
        <v>60</v>
      </c>
      <c r="D31" s="3">
        <v>7</v>
      </c>
      <c r="E31" s="3"/>
      <c r="F31" s="9">
        <v>39934</v>
      </c>
      <c r="G31" s="5">
        <v>13</v>
      </c>
      <c r="H31" s="3" t="s">
        <v>63</v>
      </c>
      <c r="I31" s="3" t="s">
        <v>7</v>
      </c>
      <c r="J31" s="7" t="b">
        <v>1</v>
      </c>
      <c r="K31" s="7"/>
      <c r="L31" s="7"/>
      <c r="M31" s="7"/>
      <c r="N31" s="7"/>
      <c r="O31" s="7"/>
      <c r="P31" s="7"/>
      <c r="Q31" s="7"/>
    </row>
    <row r="32" spans="1:17" ht="14.45">
      <c r="A32" s="1">
        <v>22907674</v>
      </c>
      <c r="B32" s="1">
        <v>5</v>
      </c>
      <c r="C32" s="3" t="s">
        <v>60</v>
      </c>
      <c r="D32" s="3">
        <v>7</v>
      </c>
      <c r="E32" s="3"/>
      <c r="F32" s="6">
        <v>39554</v>
      </c>
      <c r="G32" s="5">
        <v>14</v>
      </c>
      <c r="H32" s="3" t="s">
        <v>63</v>
      </c>
      <c r="I32" s="3" t="s">
        <v>4</v>
      </c>
      <c r="J32" s="7" t="b">
        <v>1</v>
      </c>
      <c r="K32" s="7"/>
      <c r="L32" s="7"/>
      <c r="M32" s="7"/>
      <c r="N32" s="7"/>
      <c r="O32" s="7"/>
      <c r="P32" s="7"/>
      <c r="Q32" s="7"/>
    </row>
    <row r="33" spans="1:17" ht="14.45">
      <c r="A33" s="1">
        <v>22907674</v>
      </c>
      <c r="B33" s="1">
        <v>5</v>
      </c>
      <c r="C33" s="3" t="s">
        <v>64</v>
      </c>
      <c r="D33" s="3">
        <v>7</v>
      </c>
      <c r="E33" s="3"/>
      <c r="F33" s="9">
        <v>39206</v>
      </c>
      <c r="G33" s="5">
        <v>15</v>
      </c>
      <c r="H33" s="3" t="s">
        <v>63</v>
      </c>
      <c r="I33" s="3" t="s">
        <v>7</v>
      </c>
      <c r="J33" s="7" t="b">
        <v>1</v>
      </c>
      <c r="K33" s="7"/>
      <c r="L33" s="7"/>
      <c r="M33" s="7"/>
      <c r="N33" s="7"/>
      <c r="O33" s="7"/>
      <c r="P33" s="7"/>
      <c r="Q33" s="7"/>
    </row>
    <row r="34" spans="1:17" ht="14.45">
      <c r="A34" s="1">
        <v>22907674</v>
      </c>
      <c r="B34" s="1">
        <v>5</v>
      </c>
      <c r="C34" s="3" t="s">
        <v>60</v>
      </c>
      <c r="D34" s="3">
        <v>7</v>
      </c>
      <c r="E34" s="3"/>
      <c r="F34" s="6">
        <v>40275</v>
      </c>
      <c r="G34" s="5">
        <v>12</v>
      </c>
      <c r="H34" s="3" t="s">
        <v>63</v>
      </c>
      <c r="I34" s="3" t="s">
        <v>4</v>
      </c>
      <c r="J34" s="7" t="b">
        <v>1</v>
      </c>
      <c r="K34" s="7"/>
      <c r="L34" s="7"/>
      <c r="M34" s="7"/>
      <c r="N34" s="7"/>
      <c r="O34" s="7"/>
      <c r="P34" s="7"/>
      <c r="Q34" s="7"/>
    </row>
    <row r="35" spans="1:17" ht="14.45">
      <c r="A35" s="1">
        <v>22910117</v>
      </c>
      <c r="B35" s="1">
        <v>5</v>
      </c>
      <c r="C35" s="3" t="s">
        <v>60</v>
      </c>
      <c r="D35" s="3">
        <v>9</v>
      </c>
      <c r="E35" s="3"/>
      <c r="F35" s="6">
        <v>41458</v>
      </c>
      <c r="G35" s="5">
        <v>9</v>
      </c>
      <c r="H35" s="3" t="s">
        <v>63</v>
      </c>
      <c r="I35" s="3" t="s">
        <v>7</v>
      </c>
      <c r="J35" s="7" t="b">
        <v>1</v>
      </c>
      <c r="K35" s="7"/>
      <c r="L35" s="7"/>
      <c r="M35" s="7"/>
      <c r="N35" s="7"/>
      <c r="O35" s="7"/>
      <c r="P35" s="7"/>
      <c r="Q35" s="7"/>
    </row>
    <row r="36" spans="1:17" ht="14.45">
      <c r="A36" s="1">
        <v>22911003</v>
      </c>
      <c r="B36" s="1">
        <v>2</v>
      </c>
      <c r="C36" s="3" t="s">
        <v>65</v>
      </c>
      <c r="D36" s="5">
        <v>10</v>
      </c>
      <c r="E36" s="3"/>
      <c r="F36" s="6">
        <v>40514</v>
      </c>
      <c r="G36" s="5">
        <v>11</v>
      </c>
      <c r="H36" s="3" t="s">
        <v>63</v>
      </c>
      <c r="I36" s="3" t="s">
        <v>7</v>
      </c>
      <c r="J36" s="7" t="b">
        <v>1</v>
      </c>
      <c r="K36" s="7"/>
      <c r="L36" s="7"/>
      <c r="M36" s="7"/>
      <c r="N36" s="7"/>
      <c r="O36" s="7"/>
      <c r="P36" s="7"/>
      <c r="Q36" s="7"/>
    </row>
    <row r="37" spans="1:17" ht="14.45">
      <c r="A37" s="1">
        <v>22911003</v>
      </c>
      <c r="B37" s="1">
        <v>1</v>
      </c>
      <c r="C37" s="3" t="s">
        <v>60</v>
      </c>
      <c r="D37" s="3">
        <v>7</v>
      </c>
      <c r="E37" s="3"/>
      <c r="F37" s="6">
        <v>40696</v>
      </c>
      <c r="G37" s="5">
        <v>11</v>
      </c>
      <c r="H37" s="3" t="s">
        <v>63</v>
      </c>
      <c r="I37" s="3" t="s">
        <v>7</v>
      </c>
      <c r="J37" s="7" t="b">
        <v>1</v>
      </c>
      <c r="K37" s="7"/>
      <c r="L37" s="7"/>
      <c r="M37" s="7"/>
      <c r="N37" s="7"/>
      <c r="O37" s="7"/>
      <c r="P37" s="7"/>
      <c r="Q37" s="7"/>
    </row>
    <row r="38" spans="1:17" ht="14.45">
      <c r="A38" s="1">
        <v>22911003</v>
      </c>
      <c r="B38" s="1" t="s">
        <v>41</v>
      </c>
      <c r="C38" s="3" t="s">
        <v>60</v>
      </c>
      <c r="D38" s="3">
        <v>8</v>
      </c>
      <c r="E38" s="3">
        <v>9</v>
      </c>
      <c r="F38" s="6">
        <v>42084</v>
      </c>
      <c r="G38" s="5">
        <v>7</v>
      </c>
      <c r="H38" s="3" t="s">
        <v>63</v>
      </c>
      <c r="I38" s="3" t="s">
        <v>7</v>
      </c>
      <c r="J38" s="7" t="b">
        <v>1</v>
      </c>
      <c r="K38" s="7"/>
      <c r="L38" s="7"/>
      <c r="M38" s="7"/>
      <c r="N38" s="7"/>
      <c r="O38" s="7"/>
      <c r="P38" s="7"/>
      <c r="Q38" s="7"/>
    </row>
    <row r="39" spans="1:17" ht="14.45">
      <c r="A39" s="1">
        <v>22911142</v>
      </c>
      <c r="B39" s="1">
        <v>3</v>
      </c>
      <c r="C39" s="3" t="s">
        <v>60</v>
      </c>
      <c r="D39" s="5">
        <v>17</v>
      </c>
      <c r="E39" s="3">
        <v>9</v>
      </c>
      <c r="F39" s="6">
        <v>41517</v>
      </c>
      <c r="G39" s="5">
        <v>9</v>
      </c>
      <c r="H39" s="3" t="s">
        <v>63</v>
      </c>
      <c r="I39" s="3" t="s">
        <v>7</v>
      </c>
      <c r="J39" s="7" t="b">
        <v>1</v>
      </c>
      <c r="K39" s="7"/>
      <c r="L39" s="7"/>
      <c r="M39" s="7"/>
      <c r="N39" s="7"/>
      <c r="O39" s="7"/>
      <c r="P39" s="7"/>
      <c r="Q39" s="7"/>
    </row>
    <row r="40" spans="1:17" ht="14.45">
      <c r="A40" s="1">
        <v>22909541</v>
      </c>
      <c r="B40" s="1">
        <v>3</v>
      </c>
      <c r="C40" s="3" t="s">
        <v>60</v>
      </c>
      <c r="D40" s="5">
        <v>10</v>
      </c>
      <c r="E40" s="3"/>
      <c r="F40" s="6">
        <v>39021</v>
      </c>
      <c r="G40" s="5">
        <v>16</v>
      </c>
      <c r="H40" s="3" t="s">
        <v>61</v>
      </c>
      <c r="I40" s="3" t="s">
        <v>7</v>
      </c>
      <c r="J40" s="7" t="b">
        <v>1</v>
      </c>
      <c r="K40" s="7"/>
      <c r="L40" s="7"/>
      <c r="M40" s="7"/>
      <c r="N40" s="7"/>
      <c r="O40" s="7"/>
      <c r="P40" s="7"/>
      <c r="Q40" s="7"/>
    </row>
    <row r="41" spans="1:17" ht="14.45">
      <c r="A41" s="1">
        <v>22910105</v>
      </c>
      <c r="B41" s="1" t="s">
        <v>41</v>
      </c>
      <c r="C41" s="3" t="s">
        <v>60</v>
      </c>
      <c r="D41" s="3">
        <v>7</v>
      </c>
      <c r="E41" s="3"/>
      <c r="F41" s="9">
        <v>40310</v>
      </c>
      <c r="G41" s="5">
        <v>12</v>
      </c>
      <c r="H41" s="3" t="s">
        <v>63</v>
      </c>
      <c r="I41" s="3" t="s">
        <v>6</v>
      </c>
      <c r="J41" s="7" t="b">
        <v>1</v>
      </c>
      <c r="K41" s="7"/>
      <c r="L41" s="7"/>
      <c r="M41" s="7"/>
      <c r="N41" s="7"/>
      <c r="O41" s="7"/>
      <c r="P41" s="7"/>
      <c r="Q41" s="7"/>
    </row>
    <row r="42" spans="1:17" ht="14.45">
      <c r="A42" s="1">
        <v>22910715</v>
      </c>
      <c r="B42" s="1" t="s">
        <v>41</v>
      </c>
      <c r="C42" s="3" t="s">
        <v>60</v>
      </c>
      <c r="D42" s="5">
        <v>17</v>
      </c>
      <c r="E42" s="3"/>
      <c r="F42" s="6">
        <v>41233</v>
      </c>
      <c r="G42" s="5">
        <v>10</v>
      </c>
      <c r="H42" s="3" t="s">
        <v>63</v>
      </c>
      <c r="I42" s="3" t="s">
        <v>7</v>
      </c>
      <c r="J42" s="7" t="b">
        <v>1</v>
      </c>
      <c r="K42" s="7"/>
      <c r="L42" s="7"/>
      <c r="M42" s="7"/>
      <c r="N42" s="7"/>
      <c r="O42" s="7"/>
      <c r="P42" s="7"/>
      <c r="Q42" s="7"/>
    </row>
    <row r="43" spans="1:17" ht="14.45">
      <c r="A43" s="1">
        <v>22910760</v>
      </c>
      <c r="B43" s="1" t="s">
        <v>41</v>
      </c>
      <c r="C43" s="3" t="s">
        <v>60</v>
      </c>
      <c r="D43" s="5">
        <v>17</v>
      </c>
      <c r="E43" s="3"/>
      <c r="F43" s="6">
        <v>40840</v>
      </c>
      <c r="G43" s="5">
        <v>11</v>
      </c>
      <c r="H43" s="3" t="s">
        <v>61</v>
      </c>
      <c r="I43" s="3" t="s">
        <v>7</v>
      </c>
      <c r="J43" s="7" t="b">
        <v>1</v>
      </c>
      <c r="K43" s="7"/>
      <c r="L43" s="7"/>
      <c r="M43" s="7"/>
      <c r="N43" s="7"/>
      <c r="O43" s="7"/>
      <c r="P43" s="7"/>
      <c r="Q43" s="7"/>
    </row>
    <row r="44" spans="1:17" ht="14.45">
      <c r="A44" s="1">
        <v>22910790</v>
      </c>
      <c r="B44" s="1" t="s">
        <v>41</v>
      </c>
      <c r="C44" s="3" t="s">
        <v>62</v>
      </c>
      <c r="D44" s="3">
        <v>5</v>
      </c>
      <c r="E44" s="3"/>
      <c r="F44" s="6">
        <v>41465</v>
      </c>
      <c r="G44" s="5">
        <v>9</v>
      </c>
      <c r="H44" s="3" t="s">
        <v>63</v>
      </c>
      <c r="I44" s="3" t="s">
        <v>7</v>
      </c>
      <c r="J44" s="7" t="b">
        <v>1</v>
      </c>
      <c r="K44" s="7"/>
      <c r="L44" s="7"/>
      <c r="M44" s="7"/>
      <c r="N44" s="7"/>
      <c r="O44" s="7"/>
      <c r="P44" s="7"/>
      <c r="Q44" s="7"/>
    </row>
    <row r="45" spans="1:17" ht="14.45">
      <c r="A45" s="1">
        <v>22911190</v>
      </c>
      <c r="B45" s="1" t="s">
        <v>41</v>
      </c>
      <c r="C45" s="3" t="s">
        <v>60</v>
      </c>
      <c r="D45" s="3">
        <v>9</v>
      </c>
      <c r="E45" s="3"/>
      <c r="F45" s="6">
        <v>40881</v>
      </c>
      <c r="G45" s="5">
        <v>10</v>
      </c>
      <c r="H45" s="3" t="s">
        <v>61</v>
      </c>
      <c r="I45" s="3" t="s">
        <v>7</v>
      </c>
      <c r="J45" s="7" t="b">
        <v>1</v>
      </c>
      <c r="K45" s="7"/>
      <c r="L45" s="7"/>
      <c r="M45" s="7"/>
      <c r="N45" s="7"/>
      <c r="O45" s="7"/>
      <c r="P45" s="7"/>
      <c r="Q45" s="7"/>
    </row>
    <row r="46" spans="1:17" ht="14.45">
      <c r="A46" s="1">
        <v>22907202</v>
      </c>
      <c r="B46" s="1" t="s">
        <v>41</v>
      </c>
      <c r="C46" s="3" t="s">
        <v>60</v>
      </c>
      <c r="D46" s="3">
        <v>9</v>
      </c>
      <c r="E46" s="3"/>
      <c r="F46" s="6">
        <v>42704</v>
      </c>
      <c r="G46" s="5">
        <v>6</v>
      </c>
      <c r="H46" s="3" t="s">
        <v>63</v>
      </c>
      <c r="I46" s="3" t="s">
        <v>7</v>
      </c>
      <c r="J46" s="7" t="b">
        <v>1</v>
      </c>
      <c r="K46" s="7"/>
      <c r="L46" s="7"/>
      <c r="M46" s="7"/>
      <c r="N46" s="7"/>
      <c r="O46" s="7"/>
      <c r="P46" s="7"/>
      <c r="Q46" s="7"/>
    </row>
    <row r="47" spans="1:17" ht="14.45">
      <c r="A47" s="1">
        <v>22907679</v>
      </c>
      <c r="B47" s="1" t="s">
        <v>41</v>
      </c>
      <c r="C47" s="3" t="s">
        <v>62</v>
      </c>
      <c r="D47" s="5">
        <v>10</v>
      </c>
      <c r="E47" s="3"/>
      <c r="F47" s="6">
        <v>39412</v>
      </c>
      <c r="G47" s="5">
        <v>15</v>
      </c>
      <c r="H47" s="3" t="s">
        <v>61</v>
      </c>
      <c r="I47" s="3" t="s">
        <v>6</v>
      </c>
      <c r="J47" s="7" t="b">
        <v>1</v>
      </c>
      <c r="K47" s="7"/>
      <c r="L47" s="7"/>
      <c r="M47" s="7"/>
      <c r="N47" s="7"/>
      <c r="O47" s="7"/>
      <c r="P47" s="7"/>
      <c r="Q47" s="7"/>
    </row>
    <row r="48" spans="1:17" ht="14.45">
      <c r="A48" s="1">
        <v>22908559</v>
      </c>
      <c r="B48" s="1" t="s">
        <v>41</v>
      </c>
      <c r="C48" s="3" t="s">
        <v>60</v>
      </c>
      <c r="D48" s="5">
        <v>17</v>
      </c>
      <c r="E48" s="3">
        <v>9</v>
      </c>
      <c r="F48" s="6">
        <v>40248</v>
      </c>
      <c r="G48" s="5">
        <v>12</v>
      </c>
      <c r="H48" s="3" t="s">
        <v>63</v>
      </c>
      <c r="I48" s="3" t="s">
        <v>7</v>
      </c>
      <c r="J48" s="7" t="b">
        <v>1</v>
      </c>
      <c r="K48" s="7"/>
      <c r="L48" s="7"/>
      <c r="M48" s="7"/>
      <c r="N48" s="7"/>
      <c r="O48" s="7"/>
      <c r="P48" s="7"/>
      <c r="Q48" s="7"/>
    </row>
    <row r="49" spans="1:17" ht="14.45">
      <c r="A49" s="1">
        <v>22909528</v>
      </c>
      <c r="B49" s="1" t="s">
        <v>41</v>
      </c>
      <c r="C49" s="3" t="s">
        <v>62</v>
      </c>
      <c r="D49" s="5">
        <v>11</v>
      </c>
      <c r="E49" s="3">
        <v>9</v>
      </c>
      <c r="F49" s="6">
        <v>41971</v>
      </c>
      <c r="G49" s="5">
        <v>8</v>
      </c>
      <c r="H49" s="3" t="s">
        <v>61</v>
      </c>
      <c r="I49" s="3" t="s">
        <v>7</v>
      </c>
      <c r="J49" s="7" t="b">
        <v>1</v>
      </c>
      <c r="K49" s="7"/>
      <c r="L49" s="7"/>
      <c r="M49" s="7"/>
      <c r="N49" s="7"/>
      <c r="O49" s="7"/>
      <c r="P49" s="7"/>
      <c r="Q49" s="7"/>
    </row>
    <row r="50" spans="1:17" ht="14.45">
      <c r="A50" s="1">
        <v>22909628</v>
      </c>
      <c r="B50" s="1" t="s">
        <v>41</v>
      </c>
      <c r="C50" s="3" t="s">
        <v>60</v>
      </c>
      <c r="D50" s="5">
        <v>17</v>
      </c>
      <c r="E50" s="3"/>
      <c r="F50" s="6">
        <v>40204</v>
      </c>
      <c r="G50" s="5">
        <v>12</v>
      </c>
      <c r="H50" s="3" t="s">
        <v>63</v>
      </c>
      <c r="I50" s="3" t="s">
        <v>7</v>
      </c>
      <c r="J50" s="7" t="b">
        <v>1</v>
      </c>
      <c r="K50" s="7"/>
      <c r="L50" s="7"/>
      <c r="M50" s="7"/>
      <c r="N50" s="7"/>
      <c r="O50" s="7"/>
      <c r="P50" s="7"/>
      <c r="Q50" s="7"/>
    </row>
    <row r="51" spans="1:17" ht="14.45">
      <c r="A51" s="1">
        <v>22910276</v>
      </c>
      <c r="B51" s="1" t="s">
        <v>41</v>
      </c>
      <c r="C51" s="3" t="s">
        <v>65</v>
      </c>
      <c r="D51" s="3">
        <v>6</v>
      </c>
      <c r="E51" s="5">
        <v>17</v>
      </c>
      <c r="F51" s="6">
        <v>41577</v>
      </c>
      <c r="G51" s="5">
        <v>9</v>
      </c>
      <c r="H51" s="3" t="s">
        <v>63</v>
      </c>
      <c r="I51" s="3" t="s">
        <v>7</v>
      </c>
      <c r="J51" s="7" t="b">
        <v>1</v>
      </c>
      <c r="K51" s="7"/>
      <c r="L51" s="7"/>
      <c r="M51" s="7"/>
      <c r="N51" s="7"/>
      <c r="O51" s="7"/>
      <c r="P51" s="7"/>
      <c r="Q51" s="7"/>
    </row>
    <row r="52" spans="1:17" ht="14.45">
      <c r="A52" s="1">
        <v>22910543</v>
      </c>
      <c r="B52" s="1" t="s">
        <v>41</v>
      </c>
      <c r="C52" s="3" t="s">
        <v>60</v>
      </c>
      <c r="D52" s="3">
        <v>7</v>
      </c>
      <c r="E52" s="3"/>
      <c r="F52" s="6">
        <v>41729</v>
      </c>
      <c r="G52" s="5">
        <v>8</v>
      </c>
      <c r="H52" s="3" t="s">
        <v>61</v>
      </c>
      <c r="I52" s="3" t="s">
        <v>7</v>
      </c>
      <c r="J52" s="7" t="b">
        <v>1</v>
      </c>
      <c r="K52" s="7"/>
      <c r="L52" s="7"/>
      <c r="M52" s="7"/>
      <c r="N52" s="7"/>
      <c r="O52" s="7"/>
      <c r="P52" s="7"/>
      <c r="Q52" s="7"/>
    </row>
    <row r="53" spans="1:17" ht="14.45">
      <c r="A53" s="1">
        <v>22910742</v>
      </c>
      <c r="B53" s="1" t="s">
        <v>41</v>
      </c>
      <c r="C53" s="3" t="s">
        <v>60</v>
      </c>
      <c r="D53" s="3">
        <v>7</v>
      </c>
      <c r="E53" s="3"/>
      <c r="F53" s="6">
        <v>39285</v>
      </c>
      <c r="G53" s="5">
        <v>15</v>
      </c>
      <c r="H53" s="3" t="s">
        <v>61</v>
      </c>
      <c r="I53" s="3" t="s">
        <v>6</v>
      </c>
      <c r="J53" s="7" t="b">
        <v>1</v>
      </c>
      <c r="K53" s="7"/>
      <c r="L53" s="7"/>
      <c r="M53" s="7"/>
      <c r="N53" s="7"/>
      <c r="O53" s="7"/>
      <c r="P53" s="7"/>
      <c r="Q53" s="7"/>
    </row>
    <row r="54" spans="1:17" ht="14.45">
      <c r="A54" s="1">
        <v>22910742</v>
      </c>
      <c r="B54" s="1">
        <v>8</v>
      </c>
      <c r="C54" s="3" t="s">
        <v>60</v>
      </c>
      <c r="D54" s="3">
        <v>9</v>
      </c>
      <c r="E54" s="3"/>
      <c r="F54" s="6">
        <v>41725</v>
      </c>
      <c r="G54" s="5">
        <v>8</v>
      </c>
      <c r="H54" s="3" t="s">
        <v>63</v>
      </c>
      <c r="I54" s="3" t="s">
        <v>7</v>
      </c>
      <c r="J54" s="7" t="b">
        <v>1</v>
      </c>
      <c r="K54" s="7"/>
      <c r="L54" s="7"/>
      <c r="M54" s="7"/>
      <c r="N54" s="7"/>
      <c r="O54" s="7"/>
      <c r="P54" s="7"/>
      <c r="Q54" s="7"/>
    </row>
    <row r="55" spans="1:17" ht="14.45">
      <c r="A55" s="1">
        <v>22915388</v>
      </c>
      <c r="B55" s="1">
        <v>5</v>
      </c>
      <c r="C55" s="3" t="s">
        <v>60</v>
      </c>
      <c r="D55" s="3">
        <v>9</v>
      </c>
      <c r="E55" s="3"/>
      <c r="F55" s="9">
        <v>40309</v>
      </c>
      <c r="G55" s="5">
        <v>12</v>
      </c>
      <c r="H55" s="3" t="s">
        <v>63</v>
      </c>
      <c r="I55" s="3" t="s">
        <v>7</v>
      </c>
      <c r="J55" s="7" t="b">
        <v>1</v>
      </c>
      <c r="K55" s="7"/>
      <c r="L55" s="7"/>
      <c r="M55" s="7"/>
      <c r="N55" s="7"/>
      <c r="O55" s="7"/>
      <c r="P55" s="7"/>
      <c r="Q55" s="7"/>
    </row>
    <row r="56" spans="1:17" ht="14.45">
      <c r="A56" s="1">
        <v>22915388</v>
      </c>
      <c r="B56" s="1">
        <v>4</v>
      </c>
      <c r="C56" s="3" t="s">
        <v>60</v>
      </c>
      <c r="D56" s="5">
        <v>10</v>
      </c>
      <c r="E56" s="3">
        <v>9</v>
      </c>
      <c r="F56" s="6">
        <v>39477</v>
      </c>
      <c r="G56" s="5">
        <v>14</v>
      </c>
      <c r="H56" s="3" t="s">
        <v>61</v>
      </c>
      <c r="I56" s="3" t="s">
        <v>7</v>
      </c>
      <c r="J56" s="7" t="b">
        <v>1</v>
      </c>
      <c r="K56" s="7"/>
      <c r="L56" s="7"/>
      <c r="M56" s="7"/>
      <c r="N56" s="7"/>
      <c r="O56" s="7"/>
      <c r="P56" s="7"/>
      <c r="Q56" s="7"/>
    </row>
    <row r="57" spans="1:17" ht="14.45">
      <c r="A57" s="1">
        <v>22915388</v>
      </c>
      <c r="B57" s="1">
        <v>4</v>
      </c>
      <c r="C57" s="3" t="s">
        <v>60</v>
      </c>
      <c r="D57" s="3">
        <v>7</v>
      </c>
      <c r="E57" s="3"/>
      <c r="F57" s="6">
        <v>39493</v>
      </c>
      <c r="G57" s="5">
        <v>14</v>
      </c>
      <c r="H57" s="3" t="s">
        <v>61</v>
      </c>
      <c r="I57" s="3" t="s">
        <v>4</v>
      </c>
      <c r="J57" s="7" t="b">
        <v>1</v>
      </c>
      <c r="K57" s="7"/>
      <c r="L57" s="7"/>
      <c r="M57" s="7"/>
      <c r="N57" s="7"/>
      <c r="O57" s="7"/>
      <c r="P57" s="7"/>
      <c r="Q57" s="7"/>
    </row>
    <row r="58" spans="1:17" ht="14.45">
      <c r="A58" s="1">
        <v>22915388</v>
      </c>
      <c r="B58" s="1">
        <v>4</v>
      </c>
      <c r="C58" s="3" t="s">
        <v>62</v>
      </c>
      <c r="D58" s="5">
        <v>15</v>
      </c>
      <c r="E58" s="3">
        <v>9</v>
      </c>
      <c r="F58" s="6">
        <v>42279</v>
      </c>
      <c r="G58" s="5">
        <v>7</v>
      </c>
      <c r="H58" s="3" t="s">
        <v>61</v>
      </c>
      <c r="I58" s="3" t="s">
        <v>8</v>
      </c>
      <c r="J58" s="7" t="b">
        <v>1</v>
      </c>
      <c r="K58" s="7"/>
      <c r="L58" s="7"/>
      <c r="M58" s="7"/>
      <c r="N58" s="7"/>
      <c r="O58" s="7"/>
      <c r="P58" s="7"/>
      <c r="Q58" s="7"/>
    </row>
    <row r="59" spans="1:17" ht="14.45">
      <c r="A59" s="1">
        <v>22916047</v>
      </c>
      <c r="B59" s="1">
        <v>2</v>
      </c>
      <c r="C59" s="3" t="s">
        <v>60</v>
      </c>
      <c r="D59" s="5">
        <v>17</v>
      </c>
      <c r="E59" s="3"/>
      <c r="F59" s="6">
        <v>40022</v>
      </c>
      <c r="G59" s="5">
        <v>13</v>
      </c>
      <c r="H59" s="3" t="s">
        <v>63</v>
      </c>
      <c r="I59" s="3" t="s">
        <v>4</v>
      </c>
      <c r="J59" s="7" t="b">
        <v>1</v>
      </c>
      <c r="K59" s="7"/>
      <c r="L59" s="7"/>
      <c r="M59" s="7"/>
      <c r="N59" s="7"/>
      <c r="O59" s="7"/>
      <c r="P59" s="7"/>
      <c r="Q59" s="7"/>
    </row>
    <row r="60" spans="1:17" ht="14.45">
      <c r="A60" s="1">
        <v>22916139</v>
      </c>
      <c r="B60" s="1">
        <v>2</v>
      </c>
      <c r="C60" s="3" t="s">
        <v>60</v>
      </c>
      <c r="D60" s="3">
        <v>9</v>
      </c>
      <c r="E60" s="3"/>
      <c r="F60" s="6">
        <v>42296</v>
      </c>
      <c r="G60" s="5">
        <v>7</v>
      </c>
      <c r="H60" s="3" t="s">
        <v>61</v>
      </c>
      <c r="I60" s="3" t="s">
        <v>7</v>
      </c>
      <c r="J60" s="7" t="b">
        <v>1</v>
      </c>
      <c r="K60" s="7"/>
      <c r="L60" s="7"/>
      <c r="M60" s="7"/>
      <c r="N60" s="7"/>
      <c r="O60" s="7"/>
      <c r="P60" s="7"/>
      <c r="Q60" s="7"/>
    </row>
    <row r="61" spans="1:17" ht="14.45">
      <c r="A61" s="1">
        <v>22916139</v>
      </c>
      <c r="B61" s="1">
        <v>2</v>
      </c>
      <c r="C61" s="3" t="s">
        <v>62</v>
      </c>
      <c r="D61" s="3">
        <v>5</v>
      </c>
      <c r="E61" s="3"/>
      <c r="F61" s="6">
        <v>40072</v>
      </c>
      <c r="G61" s="5">
        <v>13</v>
      </c>
      <c r="H61" s="3" t="s">
        <v>63</v>
      </c>
      <c r="I61" s="3" t="s">
        <v>4</v>
      </c>
      <c r="J61" s="7" t="b">
        <v>1</v>
      </c>
      <c r="K61" s="7"/>
      <c r="L61" s="7"/>
      <c r="M61" s="7"/>
      <c r="N61" s="7"/>
      <c r="O61" s="7"/>
      <c r="P61" s="7"/>
      <c r="Q61" s="7"/>
    </row>
    <row r="62" spans="1:17" ht="14.45">
      <c r="A62" s="1">
        <v>22916139</v>
      </c>
      <c r="B62" s="1">
        <v>2</v>
      </c>
      <c r="C62" s="3" t="s">
        <v>64</v>
      </c>
      <c r="D62" s="3">
        <v>7</v>
      </c>
      <c r="E62" s="3"/>
      <c r="F62" s="6">
        <v>38148</v>
      </c>
      <c r="G62" s="5">
        <v>18</v>
      </c>
      <c r="H62" s="3" t="s">
        <v>63</v>
      </c>
      <c r="I62" s="3" t="s">
        <v>7</v>
      </c>
      <c r="J62" s="7" t="b">
        <v>1</v>
      </c>
      <c r="K62" s="7"/>
      <c r="L62" s="7"/>
      <c r="M62" s="7"/>
      <c r="N62" s="7"/>
      <c r="O62" s="7"/>
      <c r="P62" s="7"/>
      <c r="Q62" s="7"/>
    </row>
    <row r="63" spans="1:17" ht="14.45">
      <c r="A63" s="1">
        <v>22916139</v>
      </c>
      <c r="B63" s="1">
        <v>2</v>
      </c>
      <c r="C63" s="3" t="s">
        <v>60</v>
      </c>
      <c r="D63" s="3">
        <v>7</v>
      </c>
      <c r="E63" s="3"/>
      <c r="F63" s="6">
        <v>40234</v>
      </c>
      <c r="G63" s="5">
        <v>12</v>
      </c>
      <c r="H63" s="3" t="s">
        <v>63</v>
      </c>
      <c r="I63" s="3" t="s">
        <v>7</v>
      </c>
      <c r="J63" s="7" t="b">
        <v>1</v>
      </c>
      <c r="K63" s="7"/>
      <c r="L63" s="7"/>
      <c r="M63" s="7"/>
      <c r="N63" s="7"/>
      <c r="O63" s="7"/>
      <c r="P63" s="7"/>
      <c r="Q63" s="7"/>
    </row>
    <row r="64" spans="1:17" ht="14.45">
      <c r="A64" s="1">
        <v>22916139</v>
      </c>
      <c r="B64" s="1">
        <v>4</v>
      </c>
      <c r="C64" s="3" t="s">
        <v>60</v>
      </c>
      <c r="D64" s="3">
        <v>5</v>
      </c>
      <c r="E64" s="3"/>
      <c r="F64" s="6">
        <v>39110</v>
      </c>
      <c r="G64" s="5">
        <v>15</v>
      </c>
      <c r="H64" s="3" t="s">
        <v>63</v>
      </c>
      <c r="I64" s="3" t="s">
        <v>7</v>
      </c>
      <c r="J64" s="7" t="b">
        <v>1</v>
      </c>
      <c r="K64" s="7"/>
      <c r="L64" s="7"/>
      <c r="M64" s="7"/>
      <c r="N64" s="7"/>
      <c r="O64" s="7"/>
      <c r="P64" s="7"/>
      <c r="Q64" s="7"/>
    </row>
    <row r="65" spans="1:17" ht="14.45">
      <c r="A65" s="1">
        <v>22917214</v>
      </c>
      <c r="B65" s="1">
        <v>4</v>
      </c>
      <c r="C65" s="3" t="s">
        <v>65</v>
      </c>
      <c r="D65" s="3">
        <v>7</v>
      </c>
      <c r="E65" s="3"/>
      <c r="F65" s="9">
        <v>38131</v>
      </c>
      <c r="G65" s="5">
        <v>18</v>
      </c>
      <c r="H65" s="3" t="s">
        <v>61</v>
      </c>
      <c r="I65" s="3" t="s">
        <v>4</v>
      </c>
      <c r="J65" s="7" t="b">
        <v>1</v>
      </c>
      <c r="K65" s="7"/>
      <c r="L65" s="7"/>
      <c r="M65" s="7"/>
      <c r="N65" s="7"/>
      <c r="O65" s="7"/>
      <c r="P65" s="7"/>
      <c r="Q65" s="7"/>
    </row>
    <row r="66" spans="1:17" ht="14.45">
      <c r="A66" s="1">
        <v>22909529</v>
      </c>
      <c r="B66" s="1">
        <v>5</v>
      </c>
      <c r="C66" s="3" t="s">
        <v>60</v>
      </c>
      <c r="D66" s="3">
        <v>9</v>
      </c>
      <c r="E66" s="3"/>
      <c r="F66" s="6">
        <v>40704</v>
      </c>
      <c r="G66" s="5">
        <v>11</v>
      </c>
      <c r="H66" s="3" t="s">
        <v>61</v>
      </c>
      <c r="I66" s="3" t="s">
        <v>7</v>
      </c>
      <c r="J66" s="7" t="b">
        <v>1</v>
      </c>
      <c r="K66" s="7"/>
      <c r="L66" s="7"/>
      <c r="M66" s="7"/>
      <c r="N66" s="7"/>
      <c r="O66" s="7"/>
      <c r="P66" s="7"/>
      <c r="Q66" s="7"/>
    </row>
    <row r="67" spans="1:17" ht="14.45">
      <c r="A67" s="1">
        <v>22910192</v>
      </c>
      <c r="B67" s="1">
        <v>1</v>
      </c>
      <c r="C67" s="3" t="s">
        <v>62</v>
      </c>
      <c r="D67" s="3">
        <v>5</v>
      </c>
      <c r="E67" s="3">
        <v>9</v>
      </c>
      <c r="F67" s="6">
        <v>41873</v>
      </c>
      <c r="G67" s="5">
        <v>8</v>
      </c>
      <c r="H67" s="3" t="s">
        <v>63</v>
      </c>
      <c r="I67" s="3" t="s">
        <v>4</v>
      </c>
      <c r="J67" s="7" t="b">
        <v>1</v>
      </c>
      <c r="K67" s="7"/>
      <c r="L67" s="7"/>
      <c r="M67" s="7"/>
      <c r="N67" s="7"/>
      <c r="O67" s="7"/>
      <c r="P67" s="7"/>
      <c r="Q67" s="7"/>
    </row>
    <row r="68" spans="1:17" ht="14.45">
      <c r="A68" s="1">
        <v>22910297</v>
      </c>
      <c r="B68" s="1">
        <v>10</v>
      </c>
      <c r="C68" s="3" t="s">
        <v>62</v>
      </c>
      <c r="D68" s="3">
        <v>1</v>
      </c>
      <c r="E68" s="3">
        <v>9</v>
      </c>
      <c r="F68" s="6">
        <v>39727</v>
      </c>
      <c r="G68" s="5">
        <v>14</v>
      </c>
      <c r="H68" s="3" t="s">
        <v>63</v>
      </c>
      <c r="I68" s="3" t="s">
        <v>7</v>
      </c>
      <c r="J68" s="7" t="b">
        <v>1</v>
      </c>
      <c r="K68" s="7"/>
      <c r="L68" s="7"/>
      <c r="M68" s="7"/>
      <c r="N68" s="7"/>
      <c r="O68" s="7"/>
      <c r="P68" s="7"/>
      <c r="Q68" s="7"/>
    </row>
    <row r="69" spans="1:17" ht="14.45">
      <c r="A69" s="1">
        <v>22912065</v>
      </c>
      <c r="B69" s="1" t="s">
        <v>41</v>
      </c>
      <c r="C69" s="3" t="s">
        <v>64</v>
      </c>
      <c r="D69" s="3">
        <v>7</v>
      </c>
      <c r="E69" s="3"/>
      <c r="F69" s="6">
        <v>39703</v>
      </c>
      <c r="G69" s="5">
        <v>14</v>
      </c>
      <c r="H69" s="3" t="s">
        <v>61</v>
      </c>
      <c r="I69" s="3" t="s">
        <v>7</v>
      </c>
      <c r="J69" s="7" t="b">
        <v>1</v>
      </c>
      <c r="K69" s="7"/>
      <c r="L69" s="7"/>
      <c r="M69" s="7"/>
      <c r="N69" s="7"/>
      <c r="O69" s="7"/>
      <c r="P69" s="7"/>
      <c r="Q69" s="7"/>
    </row>
    <row r="70" spans="1:17" ht="14.45">
      <c r="A70" s="1">
        <v>22912065</v>
      </c>
      <c r="B70" s="1" t="s">
        <v>41</v>
      </c>
      <c r="C70" s="3" t="s">
        <v>60</v>
      </c>
      <c r="D70" s="3">
        <v>7</v>
      </c>
      <c r="E70" s="3"/>
      <c r="F70" s="6">
        <v>40160</v>
      </c>
      <c r="G70" s="5">
        <v>12</v>
      </c>
      <c r="H70" s="3" t="s">
        <v>63</v>
      </c>
      <c r="I70" s="3" t="s">
        <v>8</v>
      </c>
      <c r="J70" s="7" t="b">
        <v>1</v>
      </c>
      <c r="K70" s="7"/>
      <c r="L70" s="7"/>
      <c r="M70" s="7"/>
      <c r="N70" s="7"/>
      <c r="O70" s="7"/>
      <c r="P70" s="7"/>
      <c r="Q70" s="7"/>
    </row>
    <row r="71" spans="1:17" ht="14.45">
      <c r="A71" s="1">
        <v>22913061</v>
      </c>
      <c r="B71" s="1" t="s">
        <v>41</v>
      </c>
      <c r="C71" s="3" t="s">
        <v>60</v>
      </c>
      <c r="D71" s="5">
        <v>17</v>
      </c>
      <c r="E71" s="3"/>
      <c r="F71" s="9">
        <v>38477</v>
      </c>
      <c r="G71" s="5">
        <v>17</v>
      </c>
      <c r="H71" s="3" t="s">
        <v>61</v>
      </c>
      <c r="I71" s="3" t="s">
        <v>4</v>
      </c>
      <c r="J71" s="7" t="b">
        <v>1</v>
      </c>
      <c r="K71" s="7"/>
      <c r="L71" s="7"/>
      <c r="M71" s="7"/>
      <c r="N71" s="7"/>
      <c r="O71" s="7"/>
      <c r="P71" s="7"/>
      <c r="Q71" s="7"/>
    </row>
    <row r="72" spans="1:17" ht="14.45">
      <c r="A72" s="1">
        <v>22913169</v>
      </c>
      <c r="B72" s="1" t="s">
        <v>41</v>
      </c>
      <c r="C72" s="3" t="s">
        <v>60</v>
      </c>
      <c r="D72" s="3">
        <v>9</v>
      </c>
      <c r="E72" s="3"/>
      <c r="F72" s="6">
        <v>40373</v>
      </c>
      <c r="G72" s="5">
        <v>12</v>
      </c>
      <c r="H72" s="3" t="s">
        <v>63</v>
      </c>
      <c r="I72" s="3" t="s">
        <v>7</v>
      </c>
      <c r="J72" s="7" t="b">
        <v>1</v>
      </c>
      <c r="K72" s="7"/>
      <c r="L72" s="7"/>
      <c r="M72" s="7"/>
      <c r="N72" s="7"/>
      <c r="O72" s="7"/>
      <c r="P72" s="7"/>
      <c r="Q72" s="7"/>
    </row>
    <row r="73" spans="1:17" ht="14.45">
      <c r="A73" s="1">
        <v>22911265</v>
      </c>
      <c r="B73" s="1" t="s">
        <v>41</v>
      </c>
      <c r="C73" s="3" t="s">
        <v>64</v>
      </c>
      <c r="D73" s="5">
        <v>17</v>
      </c>
      <c r="E73" s="3"/>
      <c r="F73" s="6">
        <v>38666</v>
      </c>
      <c r="G73" s="5">
        <v>17</v>
      </c>
      <c r="H73" s="3" t="s">
        <v>63</v>
      </c>
      <c r="I73" s="3" t="s">
        <v>7</v>
      </c>
      <c r="J73" s="7" t="b">
        <v>1</v>
      </c>
      <c r="K73" s="7"/>
      <c r="L73" s="7"/>
      <c r="M73" s="7"/>
      <c r="N73" s="7"/>
      <c r="O73" s="7"/>
      <c r="P73" s="7"/>
      <c r="Q73" s="7"/>
    </row>
    <row r="74" spans="1:17" ht="14.45">
      <c r="A74" s="1">
        <v>22912090</v>
      </c>
      <c r="B74" s="1" t="s">
        <v>41</v>
      </c>
      <c r="C74" s="3" t="s">
        <v>64</v>
      </c>
      <c r="D74" s="3">
        <v>7</v>
      </c>
      <c r="E74" s="3"/>
      <c r="F74" s="6">
        <v>40965</v>
      </c>
      <c r="G74" s="5">
        <v>10</v>
      </c>
      <c r="H74" s="3" t="s">
        <v>61</v>
      </c>
      <c r="I74" s="3" t="s">
        <v>7</v>
      </c>
      <c r="J74" s="7" t="b">
        <v>1</v>
      </c>
      <c r="K74" s="7"/>
      <c r="L74" s="7"/>
      <c r="M74" s="7"/>
      <c r="N74" s="7"/>
      <c r="O74" s="7"/>
      <c r="P74" s="7"/>
      <c r="Q74" s="7"/>
    </row>
    <row r="75" spans="1:17" ht="14.45">
      <c r="A75" s="1">
        <v>22911142</v>
      </c>
      <c r="B75" s="1" t="s">
        <v>41</v>
      </c>
      <c r="C75" s="3" t="s">
        <v>60</v>
      </c>
      <c r="D75" s="3">
        <v>8</v>
      </c>
      <c r="E75" s="3"/>
      <c r="F75" s="6">
        <v>42780</v>
      </c>
      <c r="G75" s="5">
        <v>5</v>
      </c>
      <c r="H75" s="3" t="s">
        <v>63</v>
      </c>
      <c r="I75" s="3" t="s">
        <v>7</v>
      </c>
      <c r="J75" s="7" t="b">
        <v>1</v>
      </c>
      <c r="K75" s="7"/>
      <c r="L75" s="7"/>
      <c r="M75" s="7"/>
      <c r="N75" s="7"/>
      <c r="O75" s="7"/>
      <c r="P75" s="7"/>
      <c r="Q75" s="7"/>
    </row>
    <row r="76" spans="1:17" ht="14.45">
      <c r="A76" s="1">
        <v>22911230</v>
      </c>
      <c r="B76" s="1" t="s">
        <v>41</v>
      </c>
      <c r="C76" s="3" t="s">
        <v>60</v>
      </c>
      <c r="D76" s="5">
        <v>15</v>
      </c>
      <c r="E76" s="3"/>
      <c r="F76" s="6">
        <v>40088</v>
      </c>
      <c r="G76" s="5">
        <v>13</v>
      </c>
      <c r="H76" s="3" t="s">
        <v>61</v>
      </c>
      <c r="I76" s="3" t="s">
        <v>8</v>
      </c>
      <c r="J76" s="7" t="b">
        <v>1</v>
      </c>
      <c r="K76" s="7"/>
      <c r="L76" s="7"/>
      <c r="M76" s="7"/>
      <c r="N76" s="7"/>
      <c r="O76" s="7"/>
      <c r="P76" s="7"/>
      <c r="Q76" s="7"/>
    </row>
    <row r="77" spans="1:17" ht="14.45">
      <c r="A77" s="1">
        <v>22908518</v>
      </c>
      <c r="B77" s="1" t="s">
        <v>41</v>
      </c>
      <c r="C77" s="3" t="s">
        <v>62</v>
      </c>
      <c r="D77" s="5">
        <v>10</v>
      </c>
      <c r="E77" s="3"/>
      <c r="F77" s="6">
        <v>38319</v>
      </c>
      <c r="G77" s="5">
        <v>18</v>
      </c>
      <c r="H77" s="3" t="s">
        <v>63</v>
      </c>
      <c r="I77" s="3" t="s">
        <v>4</v>
      </c>
      <c r="J77" s="7" t="b">
        <v>1</v>
      </c>
      <c r="K77" s="7"/>
      <c r="L77" s="7"/>
      <c r="M77" s="7"/>
      <c r="N77" s="7"/>
      <c r="O77" s="7"/>
      <c r="P77" s="7"/>
      <c r="Q77" s="7"/>
    </row>
    <row r="78" spans="1:17" ht="14.45">
      <c r="A78" s="1">
        <v>22908518</v>
      </c>
      <c r="B78" s="1" t="s">
        <v>41</v>
      </c>
      <c r="C78" s="3" t="s">
        <v>62</v>
      </c>
      <c r="D78" s="3">
        <v>5</v>
      </c>
      <c r="E78" s="3"/>
      <c r="F78" s="6">
        <v>41249</v>
      </c>
      <c r="G78" s="5">
        <v>9</v>
      </c>
      <c r="H78" s="3" t="s">
        <v>63</v>
      </c>
      <c r="I78" s="3" t="s">
        <v>7</v>
      </c>
      <c r="J78" s="7" t="b">
        <v>1</v>
      </c>
      <c r="K78" s="7"/>
      <c r="L78" s="7"/>
      <c r="M78" s="7"/>
      <c r="N78" s="7"/>
      <c r="O78" s="7"/>
      <c r="P78" s="7"/>
      <c r="Q78" s="7"/>
    </row>
    <row r="79" spans="1:17" ht="14.45">
      <c r="A79" s="1">
        <v>22908518</v>
      </c>
      <c r="B79" s="1" t="s">
        <v>41</v>
      </c>
      <c r="C79" s="3" t="s">
        <v>60</v>
      </c>
      <c r="D79" s="5">
        <v>17</v>
      </c>
      <c r="E79" s="3"/>
      <c r="F79" s="6">
        <v>40211</v>
      </c>
      <c r="G79" s="5">
        <v>12</v>
      </c>
      <c r="H79" s="3" t="s">
        <v>61</v>
      </c>
      <c r="I79" s="3" t="s">
        <v>7</v>
      </c>
      <c r="J79" s="7" t="b">
        <v>1</v>
      </c>
      <c r="K79" s="7"/>
      <c r="L79" s="7"/>
      <c r="M79" s="7"/>
      <c r="N79" s="7"/>
      <c r="O79" s="7"/>
      <c r="P79" s="7"/>
      <c r="Q79" s="7"/>
    </row>
    <row r="80" spans="1:17" ht="14.45">
      <c r="A80" s="1">
        <v>22907200</v>
      </c>
      <c r="B80" s="1" t="s">
        <v>41</v>
      </c>
      <c r="C80" s="3" t="s">
        <v>60</v>
      </c>
      <c r="D80" s="3">
        <v>7</v>
      </c>
      <c r="E80" s="3"/>
      <c r="F80" s="6">
        <v>38699</v>
      </c>
      <c r="G80" s="5">
        <v>16</v>
      </c>
      <c r="H80" s="3" t="s">
        <v>63</v>
      </c>
      <c r="I80" s="3" t="s">
        <v>4</v>
      </c>
      <c r="J80" s="7" t="b">
        <v>1</v>
      </c>
      <c r="K80" s="7"/>
      <c r="L80" s="7"/>
      <c r="M80" s="7"/>
      <c r="N80" s="7"/>
      <c r="O80" s="7"/>
      <c r="P80" s="7"/>
      <c r="Q80" s="7"/>
    </row>
    <row r="81" spans="1:17" ht="14.45">
      <c r="A81" s="1">
        <v>22909568</v>
      </c>
      <c r="B81" s="1">
        <v>8</v>
      </c>
      <c r="C81" s="3" t="s">
        <v>62</v>
      </c>
      <c r="D81" s="3">
        <v>5</v>
      </c>
      <c r="E81" s="3">
        <v>9</v>
      </c>
      <c r="F81" s="6">
        <v>41685</v>
      </c>
      <c r="G81" s="5">
        <v>8</v>
      </c>
      <c r="H81" s="3" t="s">
        <v>63</v>
      </c>
      <c r="I81" s="3" t="s">
        <v>7</v>
      </c>
      <c r="J81" s="7" t="b">
        <v>1</v>
      </c>
      <c r="K81" s="7"/>
      <c r="L81" s="7"/>
      <c r="M81" s="7"/>
      <c r="N81" s="7"/>
      <c r="O81" s="7"/>
      <c r="P81" s="7"/>
      <c r="Q81" s="7"/>
    </row>
    <row r="82" spans="1:17" ht="14.45">
      <c r="A82" s="1">
        <v>22911078</v>
      </c>
      <c r="B82" s="1">
        <v>9</v>
      </c>
      <c r="C82" s="3" t="s">
        <v>60</v>
      </c>
      <c r="D82" s="3">
        <v>7</v>
      </c>
      <c r="E82" s="3"/>
      <c r="F82" s="6">
        <v>39474</v>
      </c>
      <c r="G82" s="5">
        <v>14</v>
      </c>
      <c r="H82" s="3" t="s">
        <v>63</v>
      </c>
      <c r="I82" s="3" t="s">
        <v>6</v>
      </c>
      <c r="J82" s="7" t="b">
        <v>1</v>
      </c>
      <c r="K82" s="7"/>
      <c r="L82" s="7"/>
      <c r="M82" s="7"/>
      <c r="N82" s="7"/>
      <c r="O82" s="7"/>
      <c r="P82" s="7"/>
      <c r="Q82" s="7"/>
    </row>
    <row r="83" spans="1:17" ht="14.45">
      <c r="A83" s="1">
        <v>22911078</v>
      </c>
      <c r="B83" s="1">
        <v>5</v>
      </c>
      <c r="C83" s="3" t="s">
        <v>60</v>
      </c>
      <c r="D83" s="3">
        <v>8</v>
      </c>
      <c r="E83" s="3">
        <v>9</v>
      </c>
      <c r="F83" s="6">
        <v>42560</v>
      </c>
      <c r="G83" s="5">
        <v>6</v>
      </c>
      <c r="H83" s="3" t="s">
        <v>63</v>
      </c>
      <c r="I83" s="3" t="s">
        <v>7</v>
      </c>
      <c r="J83" s="7" t="b">
        <v>1</v>
      </c>
      <c r="K83" s="7"/>
      <c r="L83" s="7"/>
      <c r="M83" s="7"/>
      <c r="N83" s="7"/>
      <c r="O83" s="7"/>
      <c r="P83" s="7"/>
      <c r="Q83" s="7"/>
    </row>
    <row r="84" spans="1:17" ht="14.45">
      <c r="A84" s="1">
        <v>22911078</v>
      </c>
      <c r="B84" s="1">
        <v>5</v>
      </c>
      <c r="C84" s="3" t="s">
        <v>60</v>
      </c>
      <c r="D84" s="3">
        <v>7</v>
      </c>
      <c r="E84" s="3"/>
      <c r="F84" s="9">
        <v>39944</v>
      </c>
      <c r="G84" s="5">
        <v>13</v>
      </c>
      <c r="H84" s="3" t="s">
        <v>61</v>
      </c>
      <c r="I84" s="3" t="s">
        <v>6</v>
      </c>
      <c r="J84" s="7" t="b">
        <v>1</v>
      </c>
      <c r="K84" s="7"/>
      <c r="L84" s="7"/>
      <c r="M84" s="7"/>
      <c r="N84" s="7"/>
      <c r="O84" s="7"/>
      <c r="P84" s="7"/>
      <c r="Q84" s="7"/>
    </row>
    <row r="85" spans="1:17" ht="14.45">
      <c r="A85" s="1">
        <v>22911078</v>
      </c>
      <c r="B85" s="1">
        <v>4</v>
      </c>
      <c r="C85" s="3" t="s">
        <v>64</v>
      </c>
      <c r="D85" s="3">
        <v>7</v>
      </c>
      <c r="E85" s="3"/>
      <c r="F85" s="6">
        <v>39328</v>
      </c>
      <c r="G85" s="5">
        <v>15</v>
      </c>
      <c r="H85" s="3" t="s">
        <v>61</v>
      </c>
      <c r="I85" s="3" t="s">
        <v>7</v>
      </c>
      <c r="J85" s="7" t="b">
        <v>1</v>
      </c>
      <c r="K85" s="7"/>
      <c r="L85" s="7"/>
      <c r="M85" s="7"/>
      <c r="N85" s="7"/>
      <c r="O85" s="7"/>
      <c r="P85" s="7"/>
      <c r="Q85" s="7"/>
    </row>
    <row r="86" spans="1:17" ht="14.45">
      <c r="A86" s="1">
        <v>22910125</v>
      </c>
      <c r="B86" s="1">
        <v>4</v>
      </c>
      <c r="C86" s="3" t="s">
        <v>60</v>
      </c>
      <c r="D86" s="3">
        <v>9</v>
      </c>
      <c r="E86" s="3"/>
      <c r="F86" s="9">
        <v>42131</v>
      </c>
      <c r="G86" s="5">
        <v>7</v>
      </c>
      <c r="H86" s="3" t="s">
        <v>63</v>
      </c>
      <c r="I86" s="3" t="s">
        <v>7</v>
      </c>
      <c r="J86" s="7" t="b">
        <v>1</v>
      </c>
      <c r="K86" s="7"/>
      <c r="L86" s="7"/>
      <c r="M86" s="7"/>
      <c r="N86" s="7"/>
      <c r="O86" s="7"/>
      <c r="P86" s="7"/>
      <c r="Q86" s="7"/>
    </row>
    <row r="87" spans="1:17" ht="14.45">
      <c r="A87" s="1">
        <v>22915531</v>
      </c>
      <c r="B87" s="1">
        <v>4</v>
      </c>
      <c r="C87" s="3" t="s">
        <v>60</v>
      </c>
      <c r="D87" s="3">
        <v>6</v>
      </c>
      <c r="E87" s="5">
        <v>17</v>
      </c>
      <c r="F87" s="6">
        <v>41365</v>
      </c>
      <c r="G87" s="5">
        <v>9</v>
      </c>
      <c r="H87" s="3" t="s">
        <v>63</v>
      </c>
      <c r="I87" s="3" t="s">
        <v>7</v>
      </c>
      <c r="J87" s="7" t="b">
        <v>1</v>
      </c>
      <c r="K87" s="7"/>
      <c r="L87" s="7"/>
      <c r="M87" s="7"/>
      <c r="N87" s="7"/>
      <c r="O87" s="7"/>
      <c r="P87" s="7"/>
      <c r="Q87" s="7"/>
    </row>
    <row r="88" spans="1:17" ht="14.45">
      <c r="A88" s="1">
        <v>22915531</v>
      </c>
      <c r="B88" s="1">
        <v>4</v>
      </c>
      <c r="C88" s="3" t="s">
        <v>60</v>
      </c>
      <c r="D88" s="5">
        <v>17</v>
      </c>
      <c r="E88" s="3"/>
      <c r="F88" s="9">
        <v>40675</v>
      </c>
      <c r="G88" s="5">
        <v>11</v>
      </c>
      <c r="H88" s="3" t="s">
        <v>63</v>
      </c>
      <c r="I88" s="3" t="s">
        <v>7</v>
      </c>
      <c r="J88" s="7" t="b">
        <v>1</v>
      </c>
      <c r="K88" s="7"/>
      <c r="L88" s="7"/>
      <c r="M88" s="7"/>
      <c r="N88" s="7"/>
      <c r="O88" s="7"/>
      <c r="P88" s="7"/>
      <c r="Q88" s="7"/>
    </row>
    <row r="89" spans="1:17" ht="14.45">
      <c r="A89" s="1">
        <v>23315060</v>
      </c>
      <c r="B89" s="1">
        <v>4</v>
      </c>
      <c r="C89" s="3" t="s">
        <v>60</v>
      </c>
      <c r="D89" s="3">
        <v>9</v>
      </c>
      <c r="E89" s="3"/>
      <c r="F89" s="6">
        <v>40486</v>
      </c>
      <c r="G89" s="5">
        <v>12</v>
      </c>
      <c r="H89" s="3" t="s">
        <v>61</v>
      </c>
      <c r="I89" s="3" t="s">
        <v>6</v>
      </c>
      <c r="J89" s="7" t="b">
        <v>1</v>
      </c>
      <c r="K89" s="7"/>
      <c r="L89" s="7"/>
      <c r="M89" s="7"/>
      <c r="N89" s="7"/>
      <c r="O89" s="7"/>
      <c r="P89" s="7"/>
      <c r="Q89" s="7"/>
    </row>
    <row r="90" spans="1:17" ht="14.45">
      <c r="A90" s="1">
        <v>23315060</v>
      </c>
      <c r="B90" s="1">
        <v>4</v>
      </c>
      <c r="C90" s="3" t="s">
        <v>60</v>
      </c>
      <c r="D90" s="3">
        <v>9</v>
      </c>
      <c r="E90" s="3"/>
      <c r="F90" s="6">
        <v>42186</v>
      </c>
      <c r="G90" s="5">
        <v>7</v>
      </c>
      <c r="H90" s="3" t="s">
        <v>63</v>
      </c>
      <c r="I90" s="3" t="s">
        <v>7</v>
      </c>
      <c r="J90" s="7" t="b">
        <v>1</v>
      </c>
      <c r="K90" s="7"/>
      <c r="L90" s="7"/>
      <c r="M90" s="7"/>
      <c r="N90" s="7"/>
      <c r="O90" s="7"/>
      <c r="P90" s="7"/>
      <c r="Q90" s="7"/>
    </row>
    <row r="91" spans="1:17" ht="14.45">
      <c r="A91" s="1">
        <v>22913292</v>
      </c>
      <c r="B91" s="1">
        <v>4</v>
      </c>
      <c r="C91" s="3" t="s">
        <v>65</v>
      </c>
      <c r="D91" s="3">
        <v>7</v>
      </c>
      <c r="E91" s="3">
        <v>9</v>
      </c>
      <c r="F91" s="6">
        <v>40737</v>
      </c>
      <c r="G91" s="5">
        <v>11</v>
      </c>
      <c r="H91" s="3" t="s">
        <v>63</v>
      </c>
      <c r="I91" s="3" t="s">
        <v>7</v>
      </c>
      <c r="J91" s="7" t="b">
        <v>1</v>
      </c>
      <c r="K91" s="7"/>
      <c r="L91" s="7"/>
      <c r="M91" s="7"/>
      <c r="N91" s="7"/>
      <c r="O91" s="7"/>
      <c r="P91" s="7"/>
      <c r="Q91" s="7"/>
    </row>
    <row r="92" spans="1:17" ht="14.45">
      <c r="A92" s="1">
        <v>22913292</v>
      </c>
      <c r="B92" s="1">
        <v>4</v>
      </c>
      <c r="C92" s="3" t="s">
        <v>65</v>
      </c>
      <c r="D92" s="5">
        <v>10</v>
      </c>
      <c r="E92" s="3"/>
      <c r="F92" s="6">
        <v>38218</v>
      </c>
      <c r="G92" s="5">
        <v>18</v>
      </c>
      <c r="H92" s="3" t="s">
        <v>63</v>
      </c>
      <c r="I92" s="3" t="s">
        <v>7</v>
      </c>
      <c r="J92" s="7" t="b">
        <v>1</v>
      </c>
      <c r="K92" s="7"/>
      <c r="L92" s="7"/>
      <c r="M92" s="7"/>
      <c r="N92" s="7"/>
      <c r="O92" s="7"/>
      <c r="P92" s="7"/>
      <c r="Q92" s="7"/>
    </row>
    <row r="93" spans="1:17" ht="14.45">
      <c r="A93" s="1">
        <v>22913292</v>
      </c>
      <c r="B93" s="1">
        <v>2</v>
      </c>
      <c r="C93" s="3" t="s">
        <v>60</v>
      </c>
      <c r="D93" s="5">
        <v>15</v>
      </c>
      <c r="E93" s="3"/>
      <c r="F93" s="6">
        <v>39506</v>
      </c>
      <c r="G93" s="5">
        <v>14</v>
      </c>
      <c r="H93" s="3" t="s">
        <v>63</v>
      </c>
      <c r="I93" s="3" t="s">
        <v>7</v>
      </c>
      <c r="J93" s="7" t="b">
        <v>1</v>
      </c>
      <c r="K93" s="7"/>
      <c r="L93" s="7"/>
      <c r="M93" s="7"/>
      <c r="N93" s="7"/>
      <c r="O93" s="7"/>
      <c r="P93" s="7"/>
      <c r="Q93" s="7"/>
    </row>
    <row r="94" spans="1:17" ht="14.45">
      <c r="A94" s="1">
        <v>22913292</v>
      </c>
      <c r="B94" s="1">
        <v>5</v>
      </c>
      <c r="C94" s="3" t="s">
        <v>65</v>
      </c>
      <c r="D94" s="5">
        <v>15</v>
      </c>
      <c r="E94" s="5">
        <v>17</v>
      </c>
      <c r="F94" s="6">
        <v>40966</v>
      </c>
      <c r="G94" s="5">
        <v>10</v>
      </c>
      <c r="H94" s="3" t="s">
        <v>63</v>
      </c>
      <c r="I94" s="3" t="s">
        <v>8</v>
      </c>
      <c r="J94" s="7" t="b">
        <v>1</v>
      </c>
      <c r="K94" s="7"/>
      <c r="L94" s="7"/>
      <c r="M94" s="7"/>
      <c r="N94" s="7"/>
      <c r="O94" s="7"/>
      <c r="P94" s="7"/>
      <c r="Q94" s="7"/>
    </row>
    <row r="95" spans="1:17" ht="14.45">
      <c r="A95" s="1">
        <v>22913292</v>
      </c>
      <c r="B95" s="1" t="s">
        <v>41</v>
      </c>
      <c r="C95" s="3" t="s">
        <v>64</v>
      </c>
      <c r="D95" s="5">
        <v>15</v>
      </c>
      <c r="E95" s="3"/>
      <c r="F95" s="6">
        <v>40385</v>
      </c>
      <c r="G95" s="5">
        <v>12</v>
      </c>
      <c r="H95" s="3" t="s">
        <v>63</v>
      </c>
      <c r="I95" s="3" t="s">
        <v>7</v>
      </c>
      <c r="J95" s="7" t="b">
        <v>1</v>
      </c>
      <c r="K95" s="7"/>
      <c r="L95" s="7"/>
      <c r="M95" s="7"/>
      <c r="N95" s="7"/>
      <c r="O95" s="7"/>
      <c r="P95" s="7"/>
      <c r="Q95" s="7"/>
    </row>
    <row r="96" spans="1:17" ht="14.45">
      <c r="A96" s="1">
        <v>22913406</v>
      </c>
      <c r="B96" s="1">
        <v>9</v>
      </c>
      <c r="C96" s="3" t="s">
        <v>60</v>
      </c>
      <c r="D96" s="3">
        <v>8</v>
      </c>
      <c r="E96" s="3">
        <v>9</v>
      </c>
      <c r="F96" s="6">
        <v>41991</v>
      </c>
      <c r="G96" s="5">
        <v>7</v>
      </c>
      <c r="H96" s="3" t="s">
        <v>63</v>
      </c>
      <c r="I96" s="3" t="s">
        <v>7</v>
      </c>
      <c r="J96" s="7" t="b">
        <v>1</v>
      </c>
      <c r="K96" s="7"/>
      <c r="L96" s="7"/>
      <c r="M96" s="7"/>
      <c r="N96" s="7"/>
      <c r="O96" s="7"/>
      <c r="P96" s="7"/>
      <c r="Q96" s="7"/>
    </row>
    <row r="97" spans="1:17" ht="14.45">
      <c r="A97" s="1">
        <v>22914277</v>
      </c>
      <c r="B97" s="1">
        <v>5</v>
      </c>
      <c r="C97" s="3" t="s">
        <v>65</v>
      </c>
      <c r="D97" s="3">
        <v>6</v>
      </c>
      <c r="E97" s="5">
        <v>17</v>
      </c>
      <c r="F97" s="6">
        <v>41189</v>
      </c>
      <c r="G97" s="5">
        <v>10</v>
      </c>
      <c r="H97" s="3" t="s">
        <v>63</v>
      </c>
      <c r="I97" s="3" t="s">
        <v>8</v>
      </c>
      <c r="J97" s="7" t="b">
        <v>1</v>
      </c>
      <c r="K97" s="7"/>
      <c r="L97" s="7"/>
      <c r="M97" s="7"/>
      <c r="N97" s="7"/>
      <c r="O97" s="7"/>
      <c r="P97" s="7"/>
      <c r="Q97" s="7"/>
    </row>
    <row r="98" spans="1:17" ht="14.45">
      <c r="A98" s="1">
        <v>22914277</v>
      </c>
      <c r="B98" s="1">
        <v>5</v>
      </c>
      <c r="C98" s="3" t="s">
        <v>60</v>
      </c>
      <c r="D98" s="3">
        <v>9</v>
      </c>
      <c r="E98" s="3"/>
      <c r="F98" s="6">
        <v>42272</v>
      </c>
      <c r="G98" s="5">
        <v>7</v>
      </c>
      <c r="H98" s="3" t="s">
        <v>63</v>
      </c>
      <c r="I98" s="3" t="s">
        <v>7</v>
      </c>
      <c r="J98" s="7" t="b">
        <v>1</v>
      </c>
      <c r="K98" s="7"/>
      <c r="L98" s="7"/>
      <c r="M98" s="7"/>
      <c r="N98" s="7"/>
      <c r="O98" s="7"/>
      <c r="P98" s="7"/>
      <c r="Q98" s="7"/>
    </row>
    <row r="99" spans="1:17" ht="14.45">
      <c r="A99" s="1">
        <v>22914277</v>
      </c>
      <c r="B99" s="1">
        <v>6</v>
      </c>
      <c r="C99" s="3" t="s">
        <v>64</v>
      </c>
      <c r="D99" s="3">
        <v>9</v>
      </c>
      <c r="E99" s="3"/>
      <c r="F99" s="6">
        <v>40530</v>
      </c>
      <c r="G99" s="5">
        <v>11</v>
      </c>
      <c r="H99" s="3" t="s">
        <v>63</v>
      </c>
      <c r="I99" s="3" t="s">
        <v>8</v>
      </c>
      <c r="J99" s="7" t="b">
        <v>1</v>
      </c>
      <c r="K99" s="7"/>
      <c r="L99" s="7"/>
      <c r="M99" s="7"/>
      <c r="N99" s="7"/>
      <c r="O99" s="7"/>
      <c r="P99" s="7"/>
      <c r="Q99" s="7"/>
    </row>
    <row r="100" spans="1:17" ht="14.45">
      <c r="A100" s="1">
        <v>22914278</v>
      </c>
      <c r="B100" s="1">
        <v>1</v>
      </c>
      <c r="C100" s="3" t="s">
        <v>60</v>
      </c>
      <c r="D100" s="5">
        <v>17</v>
      </c>
      <c r="E100" s="3"/>
      <c r="F100" s="6">
        <v>39475</v>
      </c>
      <c r="G100" s="5">
        <v>14</v>
      </c>
      <c r="H100" s="3" t="s">
        <v>61</v>
      </c>
      <c r="I100" s="3" t="s">
        <v>4</v>
      </c>
      <c r="J100" s="7" t="b">
        <v>1</v>
      </c>
      <c r="K100" s="7"/>
      <c r="L100" s="7"/>
      <c r="M100" s="7"/>
      <c r="N100" s="7"/>
      <c r="O100" s="7"/>
      <c r="P100" s="7"/>
      <c r="Q100" s="7"/>
    </row>
    <row r="101" spans="1:17" ht="14.45">
      <c r="A101" s="1">
        <v>22914393</v>
      </c>
      <c r="B101" s="1">
        <v>1</v>
      </c>
      <c r="C101" s="3" t="s">
        <v>64</v>
      </c>
      <c r="D101" s="5">
        <v>17</v>
      </c>
      <c r="E101" s="3"/>
      <c r="F101" s="6">
        <v>38283</v>
      </c>
      <c r="G101" s="5">
        <v>18</v>
      </c>
      <c r="H101" s="3" t="s">
        <v>63</v>
      </c>
      <c r="I101" s="3" t="s">
        <v>7</v>
      </c>
      <c r="J101" s="7" t="b">
        <v>1</v>
      </c>
      <c r="K101" s="7"/>
      <c r="L101" s="7"/>
      <c r="M101" s="7"/>
      <c r="N101" s="7"/>
      <c r="O101" s="7"/>
      <c r="P101" s="7"/>
      <c r="Q101" s="7"/>
    </row>
    <row r="102" spans="1:17" ht="14.45">
      <c r="A102" s="1">
        <v>22914393</v>
      </c>
      <c r="B102" s="1">
        <v>1</v>
      </c>
      <c r="C102" s="3" t="s">
        <v>60</v>
      </c>
      <c r="D102" s="3">
        <v>7</v>
      </c>
      <c r="E102" s="3"/>
      <c r="F102" s="6">
        <v>39806</v>
      </c>
      <c r="G102" s="5">
        <v>13</v>
      </c>
      <c r="H102" s="3" t="s">
        <v>63</v>
      </c>
      <c r="I102" s="3" t="s">
        <v>6</v>
      </c>
      <c r="J102" s="7" t="b">
        <v>1</v>
      </c>
      <c r="K102" s="7"/>
      <c r="L102" s="7"/>
      <c r="M102" s="7"/>
      <c r="N102" s="7"/>
      <c r="O102" s="7"/>
      <c r="P102" s="7"/>
      <c r="Q102" s="7"/>
    </row>
    <row r="103" spans="1:17" ht="14.45">
      <c r="A103" s="1">
        <v>22914393</v>
      </c>
      <c r="B103" s="1">
        <v>1</v>
      </c>
      <c r="C103" s="3" t="s">
        <v>60</v>
      </c>
      <c r="D103" s="3">
        <v>7</v>
      </c>
      <c r="E103" s="3"/>
      <c r="F103" s="6">
        <v>40845</v>
      </c>
      <c r="G103" s="5">
        <v>11</v>
      </c>
      <c r="H103" s="3" t="s">
        <v>63</v>
      </c>
      <c r="I103" s="3" t="s">
        <v>7</v>
      </c>
      <c r="J103" s="7" t="b">
        <v>1</v>
      </c>
      <c r="K103" s="7"/>
      <c r="L103" s="7"/>
      <c r="M103" s="7"/>
      <c r="N103" s="7"/>
      <c r="O103" s="7"/>
      <c r="P103" s="7"/>
      <c r="Q103" s="7"/>
    </row>
    <row r="104" spans="1:17" ht="14.45">
      <c r="A104" s="1">
        <v>22914393</v>
      </c>
      <c r="B104" s="1">
        <v>1</v>
      </c>
      <c r="C104" s="3" t="s">
        <v>62</v>
      </c>
      <c r="D104" s="5">
        <v>15</v>
      </c>
      <c r="E104" s="3">
        <v>9</v>
      </c>
      <c r="F104" s="6">
        <v>39053</v>
      </c>
      <c r="G104" s="5">
        <v>15</v>
      </c>
      <c r="H104" s="3" t="s">
        <v>63</v>
      </c>
      <c r="I104" s="3" t="s">
        <v>4</v>
      </c>
      <c r="J104" s="7" t="b">
        <v>1</v>
      </c>
      <c r="K104" s="7"/>
      <c r="L104" s="7"/>
      <c r="M104" s="7"/>
      <c r="N104" s="7"/>
      <c r="O104" s="7"/>
      <c r="P104" s="7"/>
      <c r="Q104" s="7"/>
    </row>
    <row r="105" spans="1:17" ht="14.45">
      <c r="A105" s="1">
        <v>22914393</v>
      </c>
      <c r="B105" s="1">
        <v>2</v>
      </c>
      <c r="C105" s="3" t="s">
        <v>60</v>
      </c>
      <c r="D105" s="3">
        <v>9</v>
      </c>
      <c r="E105" s="3"/>
      <c r="F105" s="6">
        <v>41228</v>
      </c>
      <c r="G105" s="5">
        <v>10</v>
      </c>
      <c r="H105" s="3" t="s">
        <v>63</v>
      </c>
      <c r="I105" s="3" t="s">
        <v>7</v>
      </c>
      <c r="J105" s="7" t="b">
        <v>1</v>
      </c>
      <c r="K105" s="7"/>
      <c r="L105" s="7"/>
      <c r="M105" s="7"/>
      <c r="N105" s="7"/>
      <c r="O105" s="7"/>
      <c r="P105" s="7"/>
      <c r="Q105" s="7"/>
    </row>
    <row r="106" spans="1:17" ht="14.45">
      <c r="A106" s="1">
        <v>22915003</v>
      </c>
      <c r="B106" s="1">
        <v>2</v>
      </c>
      <c r="C106" s="3" t="s">
        <v>60</v>
      </c>
      <c r="D106" s="5">
        <v>17</v>
      </c>
      <c r="E106" s="3">
        <v>7</v>
      </c>
      <c r="F106" s="6">
        <v>41117</v>
      </c>
      <c r="G106" s="5">
        <v>10</v>
      </c>
      <c r="H106" s="3" t="s">
        <v>63</v>
      </c>
      <c r="I106" s="3" t="s">
        <v>7</v>
      </c>
      <c r="J106" s="7" t="b">
        <v>1</v>
      </c>
      <c r="K106" s="7"/>
      <c r="L106" s="7"/>
      <c r="M106" s="7"/>
      <c r="N106" s="7"/>
      <c r="O106" s="7"/>
      <c r="P106" s="7"/>
      <c r="Q106" s="7"/>
    </row>
    <row r="107" spans="1:17" ht="14.45">
      <c r="A107" s="1">
        <v>22915105</v>
      </c>
      <c r="B107" s="1">
        <v>2</v>
      </c>
      <c r="C107" s="3" t="s">
        <v>60</v>
      </c>
      <c r="D107" s="5">
        <v>17</v>
      </c>
      <c r="E107" s="3"/>
      <c r="F107" s="6">
        <v>39897</v>
      </c>
      <c r="G107" s="5">
        <v>13</v>
      </c>
      <c r="H107" s="3" t="s">
        <v>63</v>
      </c>
      <c r="I107" s="3" t="s">
        <v>8</v>
      </c>
      <c r="J107" s="7" t="b">
        <v>1</v>
      </c>
      <c r="K107" s="7"/>
      <c r="L107" s="7"/>
      <c r="M107" s="7"/>
      <c r="N107" s="7"/>
      <c r="O107" s="7"/>
      <c r="P107" s="7"/>
      <c r="Q107" s="7"/>
    </row>
    <row r="108" spans="1:17" ht="14.45">
      <c r="A108" s="1">
        <v>22915250</v>
      </c>
      <c r="B108" s="1">
        <v>2</v>
      </c>
      <c r="C108" s="3" t="s">
        <v>60</v>
      </c>
      <c r="D108" s="3">
        <v>7</v>
      </c>
      <c r="E108" s="3"/>
      <c r="F108" s="6">
        <v>40232</v>
      </c>
      <c r="G108" s="5">
        <v>12</v>
      </c>
      <c r="H108" s="3" t="s">
        <v>61</v>
      </c>
      <c r="I108" s="3" t="s">
        <v>4</v>
      </c>
      <c r="J108" s="7" t="b">
        <v>1</v>
      </c>
      <c r="K108" s="7"/>
      <c r="L108" s="7"/>
      <c r="M108" s="7"/>
      <c r="N108" s="7"/>
      <c r="O108" s="7"/>
      <c r="P108" s="7"/>
      <c r="Q108" s="7"/>
    </row>
    <row r="109" spans="1:17" ht="14.45">
      <c r="A109" s="1">
        <v>22908746</v>
      </c>
      <c r="B109" s="1" t="s">
        <v>41</v>
      </c>
      <c r="C109" s="3" t="s">
        <v>60</v>
      </c>
      <c r="D109" s="5">
        <v>17</v>
      </c>
      <c r="E109" s="3"/>
      <c r="F109" s="6">
        <v>39722</v>
      </c>
      <c r="G109" s="5">
        <v>14</v>
      </c>
      <c r="H109" s="3" t="s">
        <v>63</v>
      </c>
      <c r="I109" s="3" t="s">
        <v>7</v>
      </c>
      <c r="J109" s="7" t="b">
        <v>1</v>
      </c>
      <c r="K109" s="7"/>
      <c r="L109" s="7"/>
      <c r="M109" s="7"/>
      <c r="N109" s="7"/>
      <c r="O109" s="7"/>
      <c r="P109" s="7"/>
      <c r="Q109" s="7"/>
    </row>
    <row r="110" spans="1:17" ht="14.45">
      <c r="A110" s="1">
        <v>22910135</v>
      </c>
      <c r="B110" s="1">
        <v>7</v>
      </c>
      <c r="C110" s="3" t="s">
        <v>65</v>
      </c>
      <c r="D110" s="3">
        <v>7</v>
      </c>
      <c r="E110" s="3"/>
      <c r="F110" s="6">
        <v>39412</v>
      </c>
      <c r="G110" s="5">
        <v>15</v>
      </c>
      <c r="H110" s="3" t="s">
        <v>61</v>
      </c>
      <c r="I110" s="3" t="s">
        <v>7</v>
      </c>
      <c r="J110" s="7" t="b">
        <v>1</v>
      </c>
      <c r="K110" s="7"/>
      <c r="L110" s="7"/>
      <c r="M110" s="7"/>
      <c r="N110" s="7"/>
      <c r="O110" s="7"/>
      <c r="P110" s="7"/>
      <c r="Q110" s="7"/>
    </row>
    <row r="111" spans="1:17" ht="14.45">
      <c r="A111" s="1">
        <v>22914003</v>
      </c>
      <c r="B111" s="1">
        <v>5</v>
      </c>
      <c r="C111" s="3" t="s">
        <v>65</v>
      </c>
      <c r="D111" s="5">
        <v>17</v>
      </c>
      <c r="E111" s="3">
        <v>9</v>
      </c>
      <c r="F111" s="6">
        <v>39002</v>
      </c>
      <c r="G111" s="5">
        <v>16</v>
      </c>
      <c r="H111" s="3" t="s">
        <v>63</v>
      </c>
      <c r="I111" s="3" t="s">
        <v>7</v>
      </c>
      <c r="J111" s="7" t="b">
        <v>1</v>
      </c>
      <c r="K111" s="7"/>
      <c r="L111" s="7"/>
      <c r="M111" s="7"/>
      <c r="N111" s="7"/>
      <c r="O111" s="7"/>
      <c r="P111" s="7"/>
      <c r="Q111" s="7"/>
    </row>
    <row r="112" spans="1:17" ht="14.45">
      <c r="A112" s="1">
        <v>22914131</v>
      </c>
      <c r="B112" s="1">
        <v>5</v>
      </c>
      <c r="C112" s="3" t="s">
        <v>60</v>
      </c>
      <c r="D112" s="3">
        <v>8</v>
      </c>
      <c r="E112" s="3">
        <v>9</v>
      </c>
      <c r="F112" s="9">
        <v>42880</v>
      </c>
      <c r="G112" s="5">
        <v>5</v>
      </c>
      <c r="H112" s="3" t="s">
        <v>63</v>
      </c>
      <c r="I112" s="3" t="s">
        <v>7</v>
      </c>
      <c r="J112" s="7" t="b">
        <v>1</v>
      </c>
      <c r="K112" s="7"/>
      <c r="L112" s="7"/>
      <c r="M112" s="7"/>
      <c r="N112" s="7"/>
      <c r="O112" s="7"/>
      <c r="P112" s="7"/>
      <c r="Q112" s="7"/>
    </row>
    <row r="113" spans="1:17" ht="14.45">
      <c r="A113" s="1">
        <v>22915043</v>
      </c>
      <c r="C113" s="3" t="s">
        <v>62</v>
      </c>
      <c r="D113" s="5">
        <v>15</v>
      </c>
      <c r="E113" s="3">
        <v>9</v>
      </c>
      <c r="F113" s="6">
        <v>39552</v>
      </c>
      <c r="G113" s="5">
        <v>14</v>
      </c>
      <c r="H113" s="3" t="s">
        <v>63</v>
      </c>
      <c r="I113" s="3" t="s">
        <v>6</v>
      </c>
      <c r="J113" s="7" t="b">
        <v>1</v>
      </c>
      <c r="K113" s="7"/>
      <c r="L113" s="7"/>
      <c r="M113" s="7"/>
      <c r="N113" s="7"/>
      <c r="O113" s="7"/>
      <c r="P113" s="7"/>
      <c r="Q113" s="7"/>
    </row>
    <row r="114" spans="1:17" ht="14.45">
      <c r="A114" s="1">
        <v>22915109</v>
      </c>
      <c r="C114" s="3" t="s">
        <v>60</v>
      </c>
      <c r="D114" s="3">
        <v>9</v>
      </c>
      <c r="E114" s="3"/>
      <c r="F114" s="6">
        <v>40564</v>
      </c>
      <c r="G114" s="5">
        <v>11</v>
      </c>
      <c r="H114" s="3" t="s">
        <v>63</v>
      </c>
      <c r="I114" s="3" t="s">
        <v>7</v>
      </c>
      <c r="J114" s="7" t="b">
        <v>1</v>
      </c>
      <c r="K114" s="7"/>
      <c r="L114" s="7"/>
      <c r="M114" s="7"/>
      <c r="N114" s="7"/>
      <c r="O114" s="7"/>
      <c r="P114" s="7"/>
      <c r="Q114" s="7"/>
    </row>
    <row r="115" spans="1:17" ht="13.9">
      <c r="A115" s="3" t="s">
        <v>88</v>
      </c>
      <c r="B115" s="5">
        <v>10</v>
      </c>
      <c r="C115" s="3" t="s">
        <v>64</v>
      </c>
      <c r="D115" s="3">
        <v>7</v>
      </c>
      <c r="E115" s="3"/>
      <c r="F115" s="6">
        <v>38992</v>
      </c>
      <c r="G115" s="5">
        <v>16</v>
      </c>
      <c r="H115" s="3" t="s">
        <v>63</v>
      </c>
      <c r="I115" s="3" t="s">
        <v>7</v>
      </c>
      <c r="J115" s="7" t="b">
        <v>1</v>
      </c>
      <c r="K115" s="7"/>
      <c r="L115" s="7"/>
      <c r="M115" s="7"/>
      <c r="N115" s="7"/>
      <c r="O115" s="7"/>
      <c r="P115" s="7"/>
      <c r="Q115" s="7"/>
    </row>
    <row r="116" spans="1:17" ht="13.9">
      <c r="A116" s="3">
        <v>9821218</v>
      </c>
      <c r="B116" s="3">
        <v>1</v>
      </c>
      <c r="C116" s="3" t="s">
        <v>60</v>
      </c>
      <c r="D116" s="3">
        <v>9</v>
      </c>
      <c r="E116" s="3"/>
      <c r="F116" s="9">
        <v>42508</v>
      </c>
      <c r="G116" s="5">
        <v>6</v>
      </c>
      <c r="H116" s="3" t="s">
        <v>63</v>
      </c>
      <c r="I116" s="3" t="s">
        <v>7</v>
      </c>
      <c r="J116" s="7" t="b">
        <v>1</v>
      </c>
      <c r="K116" s="7"/>
      <c r="L116" s="7"/>
      <c r="M116" s="7"/>
      <c r="N116" s="7"/>
      <c r="O116" s="7"/>
      <c r="P116" s="7"/>
      <c r="Q116" s="7"/>
    </row>
    <row r="117" spans="1:17" ht="13.9">
      <c r="A117" s="5">
        <v>361319078</v>
      </c>
      <c r="B117" s="3">
        <v>4</v>
      </c>
      <c r="C117" s="3" t="s">
        <v>60</v>
      </c>
      <c r="D117" s="3">
        <v>7</v>
      </c>
      <c r="E117" s="5">
        <v>17</v>
      </c>
      <c r="F117" s="6">
        <v>41235</v>
      </c>
      <c r="G117" s="5">
        <v>10</v>
      </c>
      <c r="H117" s="3" t="s">
        <v>61</v>
      </c>
      <c r="I117" s="3" t="s">
        <v>7</v>
      </c>
      <c r="J117" s="7" t="b">
        <v>1</v>
      </c>
      <c r="K117" s="7"/>
      <c r="L117" s="7"/>
      <c r="M117" s="7"/>
      <c r="N117" s="7"/>
      <c r="O117" s="7"/>
      <c r="P117" s="7"/>
      <c r="Q117" s="7"/>
    </row>
    <row r="118" spans="1:17" ht="13.9">
      <c r="A118" s="5">
        <v>191313012</v>
      </c>
      <c r="B118" s="5">
        <v>10</v>
      </c>
      <c r="C118" s="3" t="s">
        <v>60</v>
      </c>
      <c r="D118" s="3">
        <v>7</v>
      </c>
      <c r="E118" s="3"/>
      <c r="F118" s="9">
        <v>39231</v>
      </c>
      <c r="G118" s="5">
        <v>15</v>
      </c>
      <c r="H118" s="3" t="s">
        <v>61</v>
      </c>
      <c r="I118" s="3" t="s">
        <v>7</v>
      </c>
      <c r="J118" s="7" t="b">
        <v>1</v>
      </c>
      <c r="K118" s="7"/>
      <c r="L118" s="7"/>
      <c r="M118" s="7"/>
      <c r="N118" s="7"/>
      <c r="O118" s="7"/>
      <c r="P118" s="7"/>
      <c r="Q118" s="7"/>
    </row>
    <row r="119" spans="1:17" ht="13.9">
      <c r="A119" s="3">
        <v>22912105</v>
      </c>
      <c r="B119" s="3">
        <v>7</v>
      </c>
      <c r="C119" s="3" t="s">
        <v>60</v>
      </c>
      <c r="D119" s="3">
        <v>5</v>
      </c>
      <c r="E119" s="5">
        <v>10</v>
      </c>
      <c r="F119" s="6">
        <v>39847</v>
      </c>
      <c r="G119" s="5">
        <v>13</v>
      </c>
      <c r="H119" s="3" t="s">
        <v>63</v>
      </c>
      <c r="I119" s="3" t="s">
        <v>7</v>
      </c>
      <c r="J119" s="7" t="b">
        <v>1</v>
      </c>
      <c r="K119" s="7"/>
      <c r="L119" s="7"/>
      <c r="M119" s="7"/>
      <c r="N119" s="7"/>
      <c r="O119" s="7"/>
      <c r="P119" s="7"/>
      <c r="Q119" s="7"/>
    </row>
    <row r="120" spans="1:17" ht="13.9">
      <c r="A120" s="3">
        <v>2017014</v>
      </c>
      <c r="B120" s="3">
        <v>6</v>
      </c>
      <c r="C120" s="3" t="s">
        <v>60</v>
      </c>
      <c r="D120" s="3">
        <v>7</v>
      </c>
      <c r="E120" s="3"/>
      <c r="F120" s="9">
        <v>40689</v>
      </c>
      <c r="G120" s="5">
        <v>11</v>
      </c>
      <c r="H120" s="3" t="s">
        <v>63</v>
      </c>
      <c r="I120" s="3" t="s">
        <v>7</v>
      </c>
      <c r="J120" s="7" t="b">
        <v>1</v>
      </c>
      <c r="K120" s="7"/>
      <c r="L120" s="7"/>
      <c r="M120" s="7"/>
      <c r="N120" s="7"/>
      <c r="O120" s="7"/>
      <c r="P120" s="7"/>
      <c r="Q120" s="7"/>
    </row>
    <row r="121" spans="1:17" ht="13.9">
      <c r="A121" s="3">
        <v>29122126</v>
      </c>
      <c r="B121" s="3">
        <v>2</v>
      </c>
      <c r="C121" s="3" t="s">
        <v>60</v>
      </c>
      <c r="D121" s="3">
        <v>7</v>
      </c>
      <c r="E121" s="3"/>
      <c r="F121" s="6">
        <v>42004</v>
      </c>
      <c r="G121" s="5">
        <v>7</v>
      </c>
      <c r="H121" s="3" t="s">
        <v>63</v>
      </c>
      <c r="I121" s="3" t="s">
        <v>6</v>
      </c>
      <c r="J121" s="7" t="b">
        <v>1</v>
      </c>
      <c r="K121" s="7"/>
      <c r="L121" s="7"/>
      <c r="M121" s="7"/>
      <c r="N121" s="7"/>
      <c r="O121" s="7"/>
      <c r="P121" s="7"/>
      <c r="Q121" s="7"/>
    </row>
    <row r="122" spans="1:17" ht="13.9">
      <c r="A122" s="3">
        <v>25314002</v>
      </c>
      <c r="B122" s="3">
        <v>9</v>
      </c>
      <c r="C122" s="3" t="s">
        <v>60</v>
      </c>
      <c r="D122" s="3">
        <v>7</v>
      </c>
      <c r="E122" s="3"/>
      <c r="F122" s="9">
        <v>39591</v>
      </c>
      <c r="G122" s="5">
        <v>14</v>
      </c>
      <c r="H122" s="3" t="s">
        <v>63</v>
      </c>
      <c r="I122" s="3" t="s">
        <v>8</v>
      </c>
      <c r="J122" s="7" t="b">
        <v>1</v>
      </c>
      <c r="K122" s="7"/>
      <c r="L122" s="7"/>
      <c r="M122" s="7"/>
      <c r="N122" s="7"/>
      <c r="O122" s="7"/>
      <c r="P122" s="7"/>
      <c r="Q122" s="7"/>
    </row>
    <row r="123" spans="1:17" ht="13.9">
      <c r="A123" s="3">
        <v>7114001</v>
      </c>
      <c r="B123" s="3">
        <v>6</v>
      </c>
      <c r="C123" s="3" t="s">
        <v>65</v>
      </c>
      <c r="D123" s="5">
        <v>15</v>
      </c>
      <c r="E123" s="3">
        <v>9</v>
      </c>
      <c r="F123" s="6">
        <v>40337</v>
      </c>
      <c r="G123" s="5">
        <v>12</v>
      </c>
      <c r="H123" s="3" t="s">
        <v>63</v>
      </c>
      <c r="I123" s="3" t="s">
        <v>7</v>
      </c>
      <c r="J123" s="7" t="b">
        <v>1</v>
      </c>
      <c r="K123" s="7"/>
      <c r="L123" s="7"/>
      <c r="M123" s="7"/>
      <c r="N123" s="7"/>
      <c r="O123" s="7"/>
      <c r="P123" s="7"/>
      <c r="Q123" s="7"/>
    </row>
    <row r="124" spans="1:17" ht="13.9">
      <c r="A124" s="3">
        <v>28121030</v>
      </c>
      <c r="B124" s="3">
        <v>2</v>
      </c>
      <c r="C124" s="3" t="s">
        <v>60</v>
      </c>
      <c r="D124" s="3">
        <v>7</v>
      </c>
      <c r="E124" s="3"/>
      <c r="F124" s="9">
        <v>42139</v>
      </c>
      <c r="G124" s="5">
        <v>7</v>
      </c>
      <c r="H124" s="3" t="s">
        <v>63</v>
      </c>
      <c r="I124" s="3" t="s">
        <v>7</v>
      </c>
      <c r="J124" s="7" t="b">
        <v>1</v>
      </c>
      <c r="K124" s="7"/>
      <c r="L124" s="7"/>
      <c r="M124" s="7"/>
      <c r="N124" s="7"/>
      <c r="O124" s="7"/>
      <c r="P124" s="7"/>
      <c r="Q124" s="7"/>
    </row>
    <row r="125" spans="1:17" ht="13.9">
      <c r="A125" s="3">
        <v>22917434</v>
      </c>
      <c r="B125" s="3">
        <v>2</v>
      </c>
      <c r="C125" s="3" t="s">
        <v>60</v>
      </c>
      <c r="D125" s="3">
        <v>2</v>
      </c>
      <c r="E125" s="3">
        <v>9</v>
      </c>
      <c r="F125" s="6">
        <v>42042</v>
      </c>
      <c r="G125" s="5">
        <v>7</v>
      </c>
      <c r="H125" s="3" t="s">
        <v>63</v>
      </c>
      <c r="I125" s="3" t="s">
        <v>7</v>
      </c>
      <c r="J125" s="7" t="b">
        <v>1</v>
      </c>
      <c r="K125" s="7"/>
      <c r="L125" s="7"/>
      <c r="M125" s="7"/>
      <c r="N125" s="7"/>
      <c r="O125" s="7"/>
      <c r="P125" s="7"/>
      <c r="Q125" s="7"/>
    </row>
    <row r="126" spans="1:17" ht="13.9">
      <c r="A126" s="3">
        <v>13717046</v>
      </c>
      <c r="B126" s="3">
        <v>6</v>
      </c>
      <c r="C126" s="3" t="s">
        <v>60</v>
      </c>
      <c r="D126" s="3">
        <v>7</v>
      </c>
      <c r="E126" s="3"/>
      <c r="F126" s="6">
        <v>40476</v>
      </c>
      <c r="G126" s="5">
        <v>12</v>
      </c>
      <c r="H126" s="3" t="s">
        <v>63</v>
      </c>
      <c r="I126" s="3" t="s">
        <v>6</v>
      </c>
      <c r="J126" s="7" t="b">
        <v>1</v>
      </c>
      <c r="K126" s="7"/>
      <c r="L126" s="7"/>
      <c r="M126" s="7"/>
      <c r="N126" s="7"/>
      <c r="O126" s="7"/>
      <c r="P126" s="7"/>
      <c r="Q126" s="7"/>
    </row>
    <row r="127" spans="1:17" ht="13.9">
      <c r="A127" s="3">
        <v>7117111</v>
      </c>
      <c r="B127" s="3">
        <v>7</v>
      </c>
      <c r="C127" s="3" t="s">
        <v>60</v>
      </c>
      <c r="D127" s="5">
        <v>17</v>
      </c>
      <c r="E127" s="3"/>
      <c r="F127" s="6">
        <v>39818</v>
      </c>
      <c r="G127" s="5">
        <v>13</v>
      </c>
      <c r="H127" s="3" t="s">
        <v>63</v>
      </c>
      <c r="I127" s="3" t="s">
        <v>7</v>
      </c>
      <c r="J127" s="7" t="b">
        <v>1</v>
      </c>
      <c r="K127" s="7"/>
      <c r="L127" s="7"/>
      <c r="M127" s="7"/>
      <c r="N127" s="7"/>
      <c r="O127" s="7"/>
      <c r="P127" s="7"/>
      <c r="Q127" s="7"/>
    </row>
    <row r="128" spans="1:17" ht="13.9">
      <c r="A128" s="5">
        <v>327312027</v>
      </c>
      <c r="B128" s="5">
        <v>11</v>
      </c>
      <c r="C128" s="3" t="s">
        <v>64</v>
      </c>
      <c r="D128" s="3">
        <v>7</v>
      </c>
      <c r="E128" s="3"/>
      <c r="F128" s="6">
        <v>38628</v>
      </c>
      <c r="G128" s="5">
        <v>17</v>
      </c>
      <c r="H128" s="3" t="s">
        <v>63</v>
      </c>
      <c r="I128" s="3" t="s">
        <v>7</v>
      </c>
      <c r="J128" s="7" t="b">
        <v>1</v>
      </c>
      <c r="K128" s="7"/>
      <c r="L128" s="7"/>
      <c r="M128" s="7"/>
      <c r="N128" s="7"/>
      <c r="O128" s="7"/>
      <c r="P128" s="7"/>
      <c r="Q128" s="7"/>
    </row>
    <row r="129" spans="1:17" ht="13.9">
      <c r="A129" s="3">
        <v>6412061</v>
      </c>
      <c r="B129" s="5">
        <v>12</v>
      </c>
      <c r="C129" s="3" t="s">
        <v>60</v>
      </c>
      <c r="D129" s="5">
        <v>15</v>
      </c>
      <c r="E129" s="3"/>
      <c r="F129" s="6">
        <v>38257</v>
      </c>
      <c r="G129" s="5">
        <v>18</v>
      </c>
      <c r="H129" s="3" t="s">
        <v>63</v>
      </c>
      <c r="I129" s="3" t="s">
        <v>7</v>
      </c>
      <c r="J129" s="7" t="b">
        <v>1</v>
      </c>
      <c r="K129" s="7"/>
      <c r="L129" s="7"/>
      <c r="M129" s="7"/>
      <c r="N129" s="7"/>
      <c r="O129" s="7"/>
      <c r="P129" s="7"/>
      <c r="Q129" s="7"/>
    </row>
    <row r="130" spans="1:17" ht="13.9">
      <c r="A130" s="5">
        <v>863313782</v>
      </c>
      <c r="B130" s="3">
        <v>4</v>
      </c>
      <c r="C130" s="3" t="s">
        <v>60</v>
      </c>
      <c r="D130" s="5">
        <v>17</v>
      </c>
      <c r="E130" s="3">
        <v>9</v>
      </c>
      <c r="F130" s="6">
        <v>41135</v>
      </c>
      <c r="G130" s="5">
        <v>10</v>
      </c>
      <c r="H130" s="3" t="s">
        <v>63</v>
      </c>
      <c r="I130" s="3" t="s">
        <v>7</v>
      </c>
      <c r="J130" s="7" t="b">
        <v>1</v>
      </c>
      <c r="K130" s="7"/>
      <c r="L130" s="7"/>
      <c r="M130" s="7"/>
      <c r="N130" s="7"/>
      <c r="O130" s="7"/>
      <c r="P130" s="7"/>
      <c r="Q130" s="7"/>
    </row>
    <row r="131" spans="1:17" ht="13.9">
      <c r="A131" s="5">
        <v>999812044</v>
      </c>
      <c r="B131" s="3">
        <v>9</v>
      </c>
      <c r="C131" s="3" t="s">
        <v>64</v>
      </c>
      <c r="D131" s="5">
        <v>17</v>
      </c>
      <c r="E131" s="3"/>
      <c r="F131" s="6">
        <v>39320</v>
      </c>
      <c r="G131" s="5">
        <v>15</v>
      </c>
      <c r="H131" s="3" t="s">
        <v>63</v>
      </c>
      <c r="I131" s="3" t="s">
        <v>6</v>
      </c>
      <c r="J131" s="7" t="b">
        <v>1</v>
      </c>
      <c r="K131" s="7"/>
      <c r="L131" s="7"/>
      <c r="M131" s="7"/>
      <c r="N131" s="7"/>
      <c r="O131" s="7"/>
      <c r="P131" s="7"/>
      <c r="Q131" s="7"/>
    </row>
    <row r="132" spans="1:17" ht="13.9">
      <c r="A132" s="3">
        <v>22912452</v>
      </c>
      <c r="B132" s="3">
        <v>7</v>
      </c>
      <c r="C132" s="3" t="s">
        <v>60</v>
      </c>
      <c r="D132" s="3">
        <v>7</v>
      </c>
      <c r="E132" s="3"/>
      <c r="F132" s="6">
        <v>40053</v>
      </c>
      <c r="G132" s="5">
        <v>13</v>
      </c>
      <c r="H132" s="3" t="s">
        <v>63</v>
      </c>
      <c r="I132" s="3" t="s">
        <v>7</v>
      </c>
      <c r="J132" s="7" t="b">
        <v>1</v>
      </c>
      <c r="K132" s="7"/>
      <c r="L132" s="7"/>
      <c r="M132" s="7"/>
      <c r="N132" s="7"/>
      <c r="O132" s="7"/>
      <c r="P132" s="7"/>
      <c r="Q132" s="7"/>
    </row>
    <row r="133" spans="1:17" ht="13.9">
      <c r="A133" s="3">
        <v>28118072</v>
      </c>
      <c r="B133" s="3">
        <v>4</v>
      </c>
      <c r="C133" s="3" t="s">
        <v>60</v>
      </c>
      <c r="D133" s="3">
        <v>9</v>
      </c>
      <c r="E133" s="3"/>
      <c r="F133" s="9">
        <v>41408</v>
      </c>
      <c r="G133" s="5">
        <v>9</v>
      </c>
      <c r="H133" s="3" t="s">
        <v>61</v>
      </c>
      <c r="I133" s="3" t="s">
        <v>7</v>
      </c>
      <c r="J133" s="7" t="b">
        <v>1</v>
      </c>
      <c r="K133" s="7"/>
      <c r="L133" s="7"/>
      <c r="M133" s="7"/>
      <c r="N133" s="7"/>
      <c r="O133" s="7"/>
      <c r="P133" s="7"/>
      <c r="Q133" s="7"/>
    </row>
    <row r="134" spans="1:17" ht="13.9">
      <c r="A134" s="3">
        <v>22912251</v>
      </c>
      <c r="B134" s="3">
        <v>7</v>
      </c>
      <c r="C134" s="3" t="s">
        <v>60</v>
      </c>
      <c r="D134" s="3">
        <v>7</v>
      </c>
      <c r="E134" s="3"/>
      <c r="F134" s="9">
        <v>39945</v>
      </c>
      <c r="G134" s="5">
        <v>13</v>
      </c>
      <c r="H134" s="3" t="s">
        <v>63</v>
      </c>
      <c r="I134" s="3" t="s">
        <v>6</v>
      </c>
      <c r="J134" s="7" t="b">
        <v>1</v>
      </c>
      <c r="K134" s="7"/>
      <c r="L134" s="7"/>
      <c r="M134" s="7"/>
      <c r="N134" s="7"/>
      <c r="O134" s="7"/>
      <c r="P134" s="7"/>
      <c r="Q134" s="7"/>
    </row>
    <row r="135" spans="1:17" ht="13.9">
      <c r="A135" s="3">
        <v>8916624</v>
      </c>
      <c r="B135" s="3">
        <v>5</v>
      </c>
      <c r="C135" s="3" t="s">
        <v>60</v>
      </c>
      <c r="D135" s="3">
        <v>7</v>
      </c>
      <c r="E135" s="3">
        <v>9</v>
      </c>
      <c r="F135" s="6">
        <v>40733</v>
      </c>
      <c r="G135" s="5">
        <v>11</v>
      </c>
      <c r="H135" s="3" t="s">
        <v>63</v>
      </c>
      <c r="I135" s="3" t="s">
        <v>7</v>
      </c>
      <c r="J135" s="7" t="b">
        <v>1</v>
      </c>
      <c r="K135" s="7"/>
      <c r="L135" s="7"/>
      <c r="M135" s="7"/>
      <c r="N135" s="7"/>
      <c r="O135" s="7"/>
      <c r="P135" s="7"/>
      <c r="Q135" s="7"/>
    </row>
    <row r="136" spans="1:17" ht="13.9">
      <c r="A136" s="3">
        <v>7216046</v>
      </c>
      <c r="B136" s="3">
        <v>7</v>
      </c>
      <c r="C136" s="3" t="s">
        <v>60</v>
      </c>
      <c r="D136" s="5">
        <v>17</v>
      </c>
      <c r="E136" s="3"/>
      <c r="F136" s="6">
        <v>39890</v>
      </c>
      <c r="G136" s="5">
        <v>13</v>
      </c>
      <c r="H136" s="3" t="s">
        <v>61</v>
      </c>
      <c r="I136" s="3" t="s">
        <v>7</v>
      </c>
      <c r="J136" s="7" t="b">
        <v>1</v>
      </c>
      <c r="K136" s="7"/>
      <c r="L136" s="7"/>
      <c r="M136" s="7"/>
      <c r="N136" s="7"/>
      <c r="O136" s="7"/>
      <c r="P136" s="7"/>
      <c r="Q136" s="7"/>
    </row>
    <row r="137" spans="1:17" ht="13.9">
      <c r="A137" s="5">
        <v>113319007</v>
      </c>
      <c r="B137" s="3">
        <v>1</v>
      </c>
      <c r="C137" s="3" t="s">
        <v>60</v>
      </c>
      <c r="D137" s="5">
        <v>17</v>
      </c>
      <c r="E137" s="3">
        <v>9</v>
      </c>
      <c r="F137" s="6">
        <v>42247</v>
      </c>
      <c r="G137" s="5">
        <v>7</v>
      </c>
      <c r="H137" s="3" t="s">
        <v>63</v>
      </c>
      <c r="I137" s="3" t="s">
        <v>7</v>
      </c>
      <c r="J137" s="7" t="b">
        <v>1</v>
      </c>
      <c r="K137" s="7"/>
      <c r="L137" s="7"/>
      <c r="M137" s="7"/>
      <c r="N137" s="7"/>
      <c r="O137" s="7"/>
      <c r="P137" s="7"/>
      <c r="Q137" s="7"/>
    </row>
    <row r="138" spans="1:17" ht="13.9">
      <c r="A138" s="3">
        <v>31020014</v>
      </c>
      <c r="B138" s="3">
        <v>3</v>
      </c>
      <c r="C138" s="3" t="s">
        <v>60</v>
      </c>
      <c r="D138" s="5">
        <v>17</v>
      </c>
      <c r="E138" s="3"/>
      <c r="F138" s="6">
        <v>41847</v>
      </c>
      <c r="G138" s="5">
        <v>8</v>
      </c>
      <c r="H138" s="3" t="s">
        <v>63</v>
      </c>
      <c r="I138" s="3" t="s">
        <v>8</v>
      </c>
      <c r="J138" s="7" t="b">
        <v>1</v>
      </c>
      <c r="K138" s="7"/>
      <c r="L138" s="7"/>
      <c r="M138" s="7"/>
      <c r="N138" s="7"/>
      <c r="O138" s="7"/>
      <c r="P138" s="7"/>
      <c r="Q138" s="7"/>
    </row>
    <row r="139" spans="1:17" ht="13.9">
      <c r="A139" s="3">
        <v>19311303</v>
      </c>
      <c r="B139" s="5">
        <v>12</v>
      </c>
      <c r="C139" s="3" t="s">
        <v>60</v>
      </c>
      <c r="D139" s="5">
        <v>15</v>
      </c>
      <c r="E139" s="3"/>
      <c r="F139" s="6">
        <v>38235</v>
      </c>
      <c r="G139" s="5">
        <v>18</v>
      </c>
      <c r="H139" s="3" t="s">
        <v>63</v>
      </c>
      <c r="I139" s="3" t="s">
        <v>7</v>
      </c>
      <c r="J139" s="7" t="b">
        <v>1</v>
      </c>
      <c r="K139" s="7"/>
      <c r="L139" s="7"/>
      <c r="M139" s="7"/>
      <c r="N139" s="7"/>
      <c r="O139" s="7"/>
      <c r="P139" s="7"/>
      <c r="Q139" s="7"/>
    </row>
    <row r="140" spans="1:17" ht="13.9">
      <c r="A140" s="3" t="s">
        <v>89</v>
      </c>
      <c r="B140" s="3">
        <v>7</v>
      </c>
      <c r="C140" s="3" t="s">
        <v>60</v>
      </c>
      <c r="D140" s="3">
        <v>7</v>
      </c>
      <c r="E140" s="3"/>
      <c r="F140" s="6">
        <v>40382</v>
      </c>
      <c r="G140" s="5">
        <v>12</v>
      </c>
      <c r="H140" s="3" t="s">
        <v>63</v>
      </c>
      <c r="I140" s="3" t="s">
        <v>7</v>
      </c>
      <c r="J140" s="7" t="b">
        <v>1</v>
      </c>
      <c r="K140" s="7"/>
      <c r="L140" s="7"/>
      <c r="M140" s="7"/>
      <c r="N140" s="7"/>
      <c r="O140" s="7"/>
      <c r="P140" s="7"/>
      <c r="Q140" s="7"/>
    </row>
    <row r="141" spans="1:17" ht="13.9">
      <c r="A141" s="3">
        <v>16217046</v>
      </c>
      <c r="B141" s="3">
        <v>6</v>
      </c>
      <c r="C141" s="3" t="s">
        <v>60</v>
      </c>
      <c r="D141" s="5">
        <v>17</v>
      </c>
      <c r="E141" s="3"/>
      <c r="F141" s="6">
        <v>40632</v>
      </c>
      <c r="G141" s="5">
        <v>11</v>
      </c>
      <c r="H141" s="3" t="s">
        <v>61</v>
      </c>
      <c r="I141" s="3" t="s">
        <v>7</v>
      </c>
      <c r="J141" s="7" t="b">
        <v>1</v>
      </c>
      <c r="K141" s="7"/>
      <c r="L141" s="7"/>
      <c r="M141" s="7"/>
      <c r="N141" s="7"/>
      <c r="O141" s="7"/>
      <c r="P141" s="7"/>
      <c r="Q141" s="7"/>
    </row>
    <row r="142" spans="1:17" ht="13.9">
      <c r="A142" s="5">
        <v>586812014</v>
      </c>
      <c r="B142" s="5">
        <v>10</v>
      </c>
      <c r="C142" s="3" t="s">
        <v>64</v>
      </c>
      <c r="D142" s="3">
        <v>7</v>
      </c>
      <c r="E142" s="3"/>
      <c r="F142" s="6">
        <v>38687</v>
      </c>
      <c r="G142" s="5">
        <v>17</v>
      </c>
      <c r="H142" s="3" t="s">
        <v>63</v>
      </c>
      <c r="I142" s="3" t="s">
        <v>7</v>
      </c>
      <c r="J142" s="7" t="b">
        <v>1</v>
      </c>
      <c r="K142" s="7"/>
      <c r="L142" s="7"/>
      <c r="M142" s="7"/>
      <c r="N142" s="7"/>
      <c r="O142" s="7"/>
      <c r="P142" s="7"/>
      <c r="Q142" s="7"/>
    </row>
    <row r="143" spans="1:17" ht="13.9">
      <c r="A143" s="3" t="s">
        <v>90</v>
      </c>
      <c r="B143" s="5">
        <v>11</v>
      </c>
      <c r="C143" s="3" t="s">
        <v>64</v>
      </c>
      <c r="D143" s="5">
        <v>17</v>
      </c>
      <c r="E143" s="3">
        <v>7</v>
      </c>
      <c r="F143" s="6">
        <v>38948</v>
      </c>
      <c r="G143" s="5">
        <v>16</v>
      </c>
      <c r="H143" s="3" t="s">
        <v>61</v>
      </c>
      <c r="I143" s="3" t="s">
        <v>7</v>
      </c>
      <c r="J143" s="7" t="b">
        <v>1</v>
      </c>
      <c r="K143" s="7"/>
      <c r="L143" s="7"/>
      <c r="M143" s="7"/>
      <c r="N143" s="7"/>
      <c r="O143" s="7"/>
      <c r="P143" s="7"/>
      <c r="Q143" s="7"/>
    </row>
    <row r="144" spans="1:17" ht="13.9">
      <c r="A144" s="3">
        <v>22913033</v>
      </c>
      <c r="B144" s="3">
        <v>8</v>
      </c>
      <c r="C144" s="3" t="s">
        <v>60</v>
      </c>
      <c r="D144" s="5">
        <v>17</v>
      </c>
      <c r="E144" s="3"/>
      <c r="F144" s="6">
        <v>39829</v>
      </c>
      <c r="G144" s="5">
        <v>13</v>
      </c>
      <c r="H144" s="3" t="s">
        <v>63</v>
      </c>
      <c r="I144" s="3" t="s">
        <v>7</v>
      </c>
      <c r="J144" s="7" t="b">
        <v>1</v>
      </c>
      <c r="K144" s="7"/>
      <c r="L144" s="7"/>
      <c r="M144" s="7"/>
      <c r="N144" s="7"/>
      <c r="O144" s="7"/>
      <c r="P144" s="7"/>
      <c r="Q144" s="7"/>
    </row>
    <row r="145" spans="1:17" ht="13.9">
      <c r="A145" s="5">
        <v>822519020</v>
      </c>
      <c r="B145" s="3">
        <v>5</v>
      </c>
      <c r="C145" s="3" t="s">
        <v>64</v>
      </c>
      <c r="D145" s="5">
        <v>17</v>
      </c>
      <c r="E145" s="3">
        <v>7</v>
      </c>
      <c r="F145" s="6">
        <v>40835</v>
      </c>
      <c r="G145" s="5">
        <v>11</v>
      </c>
      <c r="H145" s="3" t="s">
        <v>63</v>
      </c>
      <c r="I145" s="3" t="s">
        <v>7</v>
      </c>
      <c r="J145" s="7" t="b">
        <v>1</v>
      </c>
      <c r="K145" s="7"/>
      <c r="L145" s="7"/>
      <c r="M145" s="7"/>
      <c r="N145" s="7"/>
      <c r="O145" s="7"/>
      <c r="P145" s="7"/>
      <c r="Q145" s="7"/>
    </row>
    <row r="146" spans="1:17" ht="13.9">
      <c r="A146" s="3" t="s">
        <v>91</v>
      </c>
      <c r="B146" s="3">
        <v>3</v>
      </c>
      <c r="C146" s="3" t="s">
        <v>64</v>
      </c>
      <c r="D146" s="3">
        <v>8</v>
      </c>
      <c r="E146" s="3"/>
      <c r="F146" s="6">
        <v>41817</v>
      </c>
      <c r="G146" s="5">
        <v>8</v>
      </c>
      <c r="H146" s="3" t="s">
        <v>63</v>
      </c>
      <c r="I146" s="3" t="s">
        <v>7</v>
      </c>
      <c r="J146" s="7" t="b">
        <v>1</v>
      </c>
      <c r="K146" s="7"/>
      <c r="L146" s="7"/>
      <c r="M146" s="7"/>
      <c r="N146" s="7"/>
      <c r="O146" s="7"/>
      <c r="P146" s="7"/>
      <c r="Q146" s="7"/>
    </row>
    <row r="147" spans="1:17" ht="13.9">
      <c r="A147" s="3">
        <v>15714067</v>
      </c>
      <c r="B147" s="3">
        <v>9</v>
      </c>
      <c r="C147" s="3" t="s">
        <v>60</v>
      </c>
      <c r="D147" s="3">
        <v>7</v>
      </c>
      <c r="E147" s="3"/>
      <c r="F147" s="6">
        <v>39540</v>
      </c>
      <c r="G147" s="5">
        <v>14</v>
      </c>
      <c r="H147" s="3" t="s">
        <v>61</v>
      </c>
      <c r="I147" s="3" t="s">
        <v>7</v>
      </c>
      <c r="J147" s="7" t="b">
        <v>1</v>
      </c>
      <c r="K147" s="7"/>
      <c r="L147" s="7"/>
      <c r="M147" s="7"/>
      <c r="N147" s="7"/>
      <c r="O147" s="7"/>
      <c r="P147" s="7"/>
      <c r="Q147" s="7"/>
    </row>
    <row r="148" spans="1:17" ht="13.9">
      <c r="A148" s="3">
        <v>22915069</v>
      </c>
      <c r="B148" s="3">
        <v>6</v>
      </c>
      <c r="C148" s="3" t="s">
        <v>60</v>
      </c>
      <c r="D148" s="3">
        <v>7</v>
      </c>
      <c r="E148" s="3"/>
      <c r="F148" s="6">
        <v>40422</v>
      </c>
      <c r="G148" s="5">
        <v>12</v>
      </c>
      <c r="H148" s="3" t="s">
        <v>63</v>
      </c>
      <c r="I148" s="3" t="s">
        <v>8</v>
      </c>
      <c r="J148" s="7" t="b">
        <v>1</v>
      </c>
      <c r="K148" s="7"/>
      <c r="L148" s="7"/>
      <c r="M148" s="7"/>
      <c r="N148" s="7"/>
      <c r="O148" s="7"/>
      <c r="P148" s="7"/>
      <c r="Q148" s="7"/>
    </row>
    <row r="149" spans="1:17" ht="13.9">
      <c r="A149" s="3">
        <v>31711089</v>
      </c>
      <c r="B149" s="5">
        <v>11</v>
      </c>
      <c r="C149" s="3" t="s">
        <v>60</v>
      </c>
      <c r="D149" s="5">
        <v>10</v>
      </c>
      <c r="E149" s="3"/>
      <c r="F149" s="6">
        <v>38406</v>
      </c>
      <c r="G149" s="5">
        <v>17</v>
      </c>
      <c r="H149" s="3" t="s">
        <v>61</v>
      </c>
      <c r="I149" s="3" t="s">
        <v>4</v>
      </c>
      <c r="J149" s="7" t="b">
        <v>1</v>
      </c>
      <c r="K149" s="7"/>
      <c r="L149" s="7"/>
      <c r="M149" s="7"/>
      <c r="N149" s="7"/>
      <c r="O149" s="7"/>
      <c r="P149" s="7"/>
      <c r="Q149" s="7"/>
    </row>
    <row r="150" spans="1:17" ht="13.9">
      <c r="A150" s="3">
        <v>31817037</v>
      </c>
      <c r="B150" s="3">
        <v>2</v>
      </c>
      <c r="C150" s="3" t="s">
        <v>60</v>
      </c>
      <c r="D150" s="3">
        <v>9</v>
      </c>
      <c r="E150" s="3"/>
      <c r="F150" s="6">
        <v>41845</v>
      </c>
      <c r="G150" s="5">
        <v>8</v>
      </c>
      <c r="H150" s="3" t="s">
        <v>63</v>
      </c>
      <c r="I150" s="3" t="s">
        <v>7</v>
      </c>
      <c r="J150" s="7" t="b">
        <v>1</v>
      </c>
      <c r="K150" s="7"/>
      <c r="L150" s="7"/>
      <c r="M150" s="7"/>
      <c r="N150" s="7"/>
      <c r="O150" s="7"/>
      <c r="P150" s="7"/>
      <c r="Q150" s="7"/>
    </row>
    <row r="151" spans="1:17" ht="13.9">
      <c r="A151" s="3">
        <v>21315033</v>
      </c>
      <c r="B151" s="3">
        <v>7</v>
      </c>
      <c r="C151" s="3" t="s">
        <v>60</v>
      </c>
      <c r="D151" s="5">
        <v>17</v>
      </c>
      <c r="E151" s="3">
        <v>7</v>
      </c>
      <c r="F151" s="6">
        <v>40150</v>
      </c>
      <c r="G151" s="5">
        <v>12</v>
      </c>
      <c r="H151" s="3" t="s">
        <v>63</v>
      </c>
      <c r="I151" s="3" t="s">
        <v>7</v>
      </c>
      <c r="J151" s="7" t="b">
        <v>1</v>
      </c>
      <c r="K151" s="7"/>
      <c r="L151" s="7"/>
      <c r="M151" s="7"/>
      <c r="N151" s="7"/>
      <c r="O151" s="7"/>
      <c r="P151" s="7"/>
      <c r="Q151" s="7"/>
    </row>
    <row r="152" spans="1:17" ht="13.9">
      <c r="A152" s="3">
        <v>22920043</v>
      </c>
      <c r="B152" s="3">
        <v>2</v>
      </c>
      <c r="C152" s="3" t="s">
        <v>60</v>
      </c>
      <c r="D152" s="3">
        <v>9</v>
      </c>
      <c r="E152" s="3"/>
      <c r="F152" s="6">
        <v>41911</v>
      </c>
      <c r="G152" s="5">
        <v>8</v>
      </c>
      <c r="H152" s="3" t="s">
        <v>61</v>
      </c>
      <c r="I152" s="3" t="s">
        <v>7</v>
      </c>
      <c r="J152" s="7" t="b">
        <v>1</v>
      </c>
      <c r="K152" s="7"/>
      <c r="L152" s="7"/>
      <c r="M152" s="7"/>
      <c r="N152" s="7"/>
      <c r="O152" s="7"/>
      <c r="P152" s="7"/>
      <c r="Q152" s="7"/>
    </row>
    <row r="153" spans="1:17" ht="13.9">
      <c r="A153" s="3">
        <v>18608592</v>
      </c>
      <c r="B153" s="5">
        <v>12</v>
      </c>
      <c r="C153" s="3" t="s">
        <v>65</v>
      </c>
      <c r="D153" s="5">
        <v>10</v>
      </c>
      <c r="E153" s="5">
        <v>17</v>
      </c>
      <c r="F153" s="6">
        <v>38261</v>
      </c>
      <c r="G153" s="5">
        <v>18</v>
      </c>
      <c r="H153" s="3" t="s">
        <v>63</v>
      </c>
      <c r="I153" s="3" t="s">
        <v>7</v>
      </c>
      <c r="J153" s="7" t="b">
        <v>1</v>
      </c>
      <c r="K153" s="7"/>
      <c r="L153" s="7"/>
      <c r="M153" s="7"/>
      <c r="N153" s="7"/>
      <c r="O153" s="7"/>
      <c r="P153" s="7"/>
      <c r="Q153" s="7"/>
    </row>
    <row r="154" spans="1:17" ht="13.9">
      <c r="A154" s="3">
        <v>21311500</v>
      </c>
      <c r="B154" s="5">
        <v>11</v>
      </c>
      <c r="C154" s="3" t="s">
        <v>60</v>
      </c>
      <c r="D154" s="3">
        <v>7</v>
      </c>
      <c r="E154" s="3"/>
      <c r="F154" s="6">
        <v>38819</v>
      </c>
      <c r="G154" s="5">
        <v>16</v>
      </c>
      <c r="H154" s="3" t="s">
        <v>63</v>
      </c>
      <c r="I154" s="3" t="s">
        <v>8</v>
      </c>
      <c r="J154" s="7" t="b">
        <v>1</v>
      </c>
      <c r="K154" s="7"/>
      <c r="L154" s="7"/>
      <c r="M154" s="7"/>
      <c r="N154" s="7"/>
      <c r="O154" s="7"/>
      <c r="P154" s="7"/>
      <c r="Q154" s="7"/>
    </row>
    <row r="155" spans="1:17" ht="13.9">
      <c r="A155" s="3">
        <v>15114072</v>
      </c>
      <c r="B155" s="3">
        <v>7</v>
      </c>
      <c r="C155" s="3" t="s">
        <v>60</v>
      </c>
      <c r="D155" s="5">
        <v>15</v>
      </c>
      <c r="E155" s="3"/>
      <c r="F155" s="6">
        <v>40133</v>
      </c>
      <c r="G155" s="5">
        <v>13</v>
      </c>
      <c r="H155" s="3" t="s">
        <v>63</v>
      </c>
      <c r="I155" s="3" t="s">
        <v>7</v>
      </c>
      <c r="J155" s="7" t="b">
        <v>1</v>
      </c>
      <c r="K155" s="7"/>
      <c r="L155" s="7"/>
      <c r="M155" s="7"/>
      <c r="N155" s="7"/>
      <c r="O155" s="7"/>
      <c r="P155" s="7"/>
      <c r="Q155" s="7"/>
    </row>
    <row r="156" spans="1:17" ht="13.9">
      <c r="A156" s="3">
        <v>22915159</v>
      </c>
      <c r="B156" s="3">
        <v>6</v>
      </c>
      <c r="C156" s="3" t="s">
        <v>60</v>
      </c>
      <c r="D156" s="3">
        <v>7</v>
      </c>
      <c r="E156" s="3"/>
      <c r="F156" s="6">
        <v>40554</v>
      </c>
      <c r="G156" s="5">
        <v>11</v>
      </c>
      <c r="H156" s="3" t="s">
        <v>63</v>
      </c>
      <c r="I156" s="3" t="s">
        <v>7</v>
      </c>
      <c r="J156" s="7" t="b">
        <v>1</v>
      </c>
      <c r="K156" s="7"/>
      <c r="L156" s="7"/>
      <c r="M156" s="7"/>
      <c r="N156" s="7"/>
      <c r="O156" s="7"/>
      <c r="P156" s="7"/>
      <c r="Q156" s="7"/>
    </row>
    <row r="157" spans="1:17" ht="13.9">
      <c r="A157" s="5">
        <v>273411008</v>
      </c>
      <c r="B157" s="5">
        <v>10</v>
      </c>
      <c r="C157" s="3" t="s">
        <v>60</v>
      </c>
      <c r="D157" s="5">
        <v>17</v>
      </c>
      <c r="E157" s="3"/>
      <c r="F157" s="9">
        <v>38865</v>
      </c>
      <c r="G157" s="5">
        <v>16</v>
      </c>
      <c r="H157" s="3" t="s">
        <v>63</v>
      </c>
      <c r="I157" s="3" t="s">
        <v>7</v>
      </c>
      <c r="J157" s="7" t="b">
        <v>1</v>
      </c>
      <c r="K157" s="7"/>
      <c r="L157" s="7"/>
      <c r="M157" s="7"/>
      <c r="N157" s="7"/>
      <c r="O157" s="7"/>
      <c r="P157" s="7"/>
      <c r="Q157" s="7"/>
    </row>
    <row r="158" spans="1:17" ht="13.9">
      <c r="A158" s="3" t="s">
        <v>92</v>
      </c>
      <c r="B158" s="3">
        <v>2</v>
      </c>
      <c r="C158" s="3" t="s">
        <v>60</v>
      </c>
      <c r="D158" s="3">
        <v>9</v>
      </c>
      <c r="E158" s="3"/>
      <c r="F158" s="6">
        <v>42002</v>
      </c>
      <c r="G158" s="5">
        <v>7</v>
      </c>
      <c r="H158" s="3" t="s">
        <v>63</v>
      </c>
      <c r="I158" s="3" t="s">
        <v>7</v>
      </c>
      <c r="J158" s="7" t="b">
        <v>1</v>
      </c>
      <c r="K158" s="7"/>
      <c r="L158" s="7"/>
      <c r="M158" s="7"/>
      <c r="N158" s="7"/>
      <c r="O158" s="7"/>
      <c r="P158" s="7"/>
      <c r="Q158" s="7"/>
    </row>
    <row r="159" spans="1:17" ht="13.9">
      <c r="A159" s="3" t="s">
        <v>93</v>
      </c>
      <c r="B159" s="3">
        <v>6</v>
      </c>
      <c r="C159" s="3" t="s">
        <v>64</v>
      </c>
      <c r="D159" s="3">
        <v>7</v>
      </c>
      <c r="E159" s="3"/>
      <c r="F159" s="6">
        <v>40520</v>
      </c>
      <c r="G159" s="5">
        <v>11</v>
      </c>
      <c r="H159" s="3" t="s">
        <v>61</v>
      </c>
      <c r="I159" s="3" t="s">
        <v>7</v>
      </c>
      <c r="J159" s="7" t="b">
        <v>1</v>
      </c>
      <c r="K159" s="7"/>
      <c r="L159" s="7"/>
      <c r="M159" s="7"/>
      <c r="N159" s="7"/>
      <c r="O159" s="7"/>
      <c r="P159" s="7"/>
      <c r="Q159" s="7"/>
    </row>
    <row r="160" spans="1:17" ht="13.9">
      <c r="A160" s="5">
        <v>909810768</v>
      </c>
      <c r="B160" s="5">
        <v>10</v>
      </c>
      <c r="C160" s="3" t="s">
        <v>62</v>
      </c>
      <c r="D160" s="3">
        <v>1</v>
      </c>
      <c r="E160" s="3"/>
      <c r="F160" s="6">
        <v>39237</v>
      </c>
      <c r="G160" s="5">
        <v>15</v>
      </c>
      <c r="H160" s="3" t="s">
        <v>61</v>
      </c>
      <c r="I160" s="3" t="s">
        <v>7</v>
      </c>
      <c r="J160" s="7" t="b">
        <v>1</v>
      </c>
      <c r="K160" s="7"/>
      <c r="L160" s="7"/>
      <c r="M160" s="7"/>
      <c r="N160" s="7"/>
      <c r="O160" s="7"/>
      <c r="P160" s="7"/>
      <c r="Q160" s="7"/>
    </row>
    <row r="161" spans="1:17" ht="13.9">
      <c r="A161" s="3">
        <v>26915047</v>
      </c>
      <c r="B161" s="3">
        <v>8</v>
      </c>
      <c r="C161" s="3" t="s">
        <v>60</v>
      </c>
      <c r="D161" s="3">
        <v>7</v>
      </c>
      <c r="E161" s="3"/>
      <c r="F161" s="6">
        <v>39845</v>
      </c>
      <c r="G161" s="5">
        <v>13</v>
      </c>
      <c r="H161" s="3" t="s">
        <v>63</v>
      </c>
      <c r="I161" s="3" t="s">
        <v>7</v>
      </c>
      <c r="J161" s="7" t="b">
        <v>1</v>
      </c>
      <c r="K161" s="7"/>
      <c r="L161" s="7"/>
      <c r="M161" s="7"/>
      <c r="N161" s="7"/>
      <c r="O161" s="7"/>
      <c r="P161" s="7"/>
      <c r="Q161" s="7"/>
    </row>
    <row r="162" spans="1:17" ht="13.9">
      <c r="A162" s="3">
        <v>26918055</v>
      </c>
      <c r="B162" s="3">
        <v>5</v>
      </c>
      <c r="C162" s="3" t="s">
        <v>60</v>
      </c>
      <c r="D162" s="3">
        <v>7</v>
      </c>
      <c r="E162" s="3"/>
      <c r="F162" s="6">
        <v>40809</v>
      </c>
      <c r="G162" s="5">
        <v>11</v>
      </c>
      <c r="H162" s="3" t="s">
        <v>61</v>
      </c>
      <c r="I162" s="3" t="s">
        <v>8</v>
      </c>
      <c r="J162" s="7" t="b">
        <v>1</v>
      </c>
      <c r="K162" s="7"/>
      <c r="L162" s="7"/>
      <c r="M162" s="7"/>
      <c r="N162" s="7"/>
      <c r="O162" s="7"/>
      <c r="P162" s="7"/>
      <c r="Q162" s="7"/>
    </row>
    <row r="163" spans="1:17" ht="13.9">
      <c r="A163" s="3">
        <v>2516023</v>
      </c>
      <c r="B163" s="3">
        <v>7</v>
      </c>
      <c r="C163" s="3" t="s">
        <v>60</v>
      </c>
      <c r="D163" s="3">
        <v>9</v>
      </c>
      <c r="E163" s="3"/>
      <c r="F163" s="6">
        <v>40361</v>
      </c>
      <c r="G163" s="5">
        <v>12</v>
      </c>
      <c r="H163" s="3" t="s">
        <v>61</v>
      </c>
      <c r="I163" s="3" t="s">
        <v>7</v>
      </c>
      <c r="J163" s="7" t="b">
        <v>1</v>
      </c>
      <c r="K163" s="7"/>
      <c r="L163" s="7"/>
      <c r="M163" s="7"/>
      <c r="N163" s="7"/>
      <c r="O163" s="7"/>
      <c r="P163" s="7"/>
      <c r="Q163" s="7"/>
    </row>
    <row r="164" spans="1:17" ht="13.9">
      <c r="A164" s="5">
        <v>153912002</v>
      </c>
      <c r="B164" s="5">
        <v>11</v>
      </c>
      <c r="C164" s="3" t="s">
        <v>60</v>
      </c>
      <c r="D164" s="3">
        <v>7</v>
      </c>
      <c r="E164" s="3"/>
      <c r="F164" s="6">
        <v>38898</v>
      </c>
      <c r="G164" s="5">
        <v>16</v>
      </c>
      <c r="H164" s="3" t="s">
        <v>61</v>
      </c>
      <c r="I164" s="3" t="s">
        <v>4</v>
      </c>
      <c r="J164" s="7" t="b">
        <v>1</v>
      </c>
      <c r="K164" s="7"/>
      <c r="L164" s="7"/>
      <c r="M164" s="7"/>
      <c r="N164" s="7"/>
      <c r="O164" s="7"/>
      <c r="P164" s="7"/>
      <c r="Q164" s="7"/>
    </row>
    <row r="165" spans="1:17" ht="13.9">
      <c r="A165" s="3">
        <v>4110162</v>
      </c>
      <c r="B165" s="3">
        <v>3</v>
      </c>
      <c r="C165" s="3" t="s">
        <v>60</v>
      </c>
      <c r="D165" s="3">
        <v>7</v>
      </c>
      <c r="E165" s="3"/>
      <c r="F165" s="6">
        <v>41394</v>
      </c>
      <c r="G165" s="5">
        <v>9</v>
      </c>
      <c r="H165" s="3" t="s">
        <v>61</v>
      </c>
      <c r="I165" s="3" t="s">
        <v>7</v>
      </c>
      <c r="J165" s="7" t="b">
        <v>1</v>
      </c>
      <c r="K165" s="7"/>
      <c r="L165" s="7"/>
      <c r="M165" s="7"/>
      <c r="N165" s="7"/>
      <c r="O165" s="7"/>
      <c r="P165" s="7"/>
      <c r="Q165" s="7"/>
    </row>
    <row r="166" spans="1:17" ht="13.9">
      <c r="A166" s="3">
        <v>21312018</v>
      </c>
      <c r="B166" s="5">
        <v>10</v>
      </c>
      <c r="C166" s="3" t="s">
        <v>60</v>
      </c>
      <c r="D166" s="5">
        <v>10</v>
      </c>
      <c r="E166" s="3"/>
      <c r="F166" s="9">
        <v>39218</v>
      </c>
      <c r="G166" s="5">
        <v>15</v>
      </c>
      <c r="H166" s="3" t="s">
        <v>63</v>
      </c>
      <c r="I166" s="3" t="s">
        <v>4</v>
      </c>
      <c r="J166" s="7" t="b">
        <v>1</v>
      </c>
      <c r="K166" s="7"/>
      <c r="L166" s="7"/>
      <c r="M166" s="7"/>
      <c r="N166" s="7"/>
      <c r="O166" s="7"/>
      <c r="P166" s="7"/>
      <c r="Q166" s="7"/>
    </row>
    <row r="167" spans="1:17" ht="13.9">
      <c r="A167" s="3">
        <v>27519046</v>
      </c>
      <c r="B167" s="3">
        <v>4</v>
      </c>
      <c r="C167" s="3" t="s">
        <v>60</v>
      </c>
      <c r="D167" s="3">
        <v>7</v>
      </c>
      <c r="E167" s="3">
        <v>9</v>
      </c>
      <c r="F167" s="6">
        <v>41327</v>
      </c>
      <c r="G167" s="5">
        <v>9</v>
      </c>
      <c r="H167" s="3" t="s">
        <v>63</v>
      </c>
      <c r="I167" s="3" t="s">
        <v>7</v>
      </c>
      <c r="J167" s="7" t="b">
        <v>1</v>
      </c>
      <c r="K167" s="7"/>
      <c r="L167" s="7"/>
      <c r="M167" s="7"/>
      <c r="N167" s="7"/>
      <c r="O167" s="7"/>
      <c r="P167" s="7"/>
      <c r="Q167" s="7"/>
    </row>
    <row r="168" spans="1:17" ht="13.9">
      <c r="A168" s="3">
        <v>14910500</v>
      </c>
      <c r="B168" s="5">
        <v>12</v>
      </c>
      <c r="C168" s="3" t="s">
        <v>60</v>
      </c>
      <c r="D168" s="3">
        <v>7</v>
      </c>
      <c r="E168" s="3"/>
      <c r="F168" s="6">
        <v>38551</v>
      </c>
      <c r="G168" s="5">
        <v>17</v>
      </c>
      <c r="H168" s="3" t="s">
        <v>63</v>
      </c>
      <c r="I168" s="3" t="s">
        <v>4</v>
      </c>
      <c r="J168" s="7" t="b">
        <v>1</v>
      </c>
      <c r="K168" s="7"/>
      <c r="L168" s="7"/>
      <c r="M168" s="7"/>
      <c r="N168" s="7"/>
      <c r="O168" s="7"/>
      <c r="P168" s="7"/>
      <c r="Q168" s="7"/>
    </row>
    <row r="169" spans="1:17" ht="13.9">
      <c r="A169" s="5">
        <v>185216519</v>
      </c>
      <c r="B169" s="3">
        <v>4</v>
      </c>
      <c r="C169" s="3" t="s">
        <v>60</v>
      </c>
      <c r="D169" s="3">
        <v>9</v>
      </c>
      <c r="E169" s="3"/>
      <c r="F169" s="6">
        <v>41320</v>
      </c>
      <c r="G169" s="5">
        <v>9</v>
      </c>
      <c r="H169" s="3" t="s">
        <v>63</v>
      </c>
      <c r="I169" s="3" t="s">
        <v>7</v>
      </c>
      <c r="J169" s="7" t="b">
        <v>1</v>
      </c>
      <c r="K169" s="7"/>
      <c r="L169" s="7"/>
      <c r="M169" s="7"/>
      <c r="N169" s="7"/>
      <c r="O169" s="7"/>
      <c r="P169" s="7"/>
      <c r="Q169" s="7"/>
    </row>
    <row r="170" spans="1:17" ht="13.9">
      <c r="A170" s="3">
        <v>22916003</v>
      </c>
      <c r="B170" s="3">
        <v>7</v>
      </c>
      <c r="C170" s="3" t="s">
        <v>60</v>
      </c>
      <c r="D170" s="5">
        <v>15</v>
      </c>
      <c r="E170" s="3"/>
      <c r="F170" s="6">
        <v>40375</v>
      </c>
      <c r="G170" s="5">
        <v>12</v>
      </c>
      <c r="H170" s="3" t="s">
        <v>63</v>
      </c>
      <c r="I170" s="3" t="s">
        <v>6</v>
      </c>
      <c r="J170" s="7" t="b">
        <v>1</v>
      </c>
      <c r="K170" s="7"/>
      <c r="L170" s="7"/>
      <c r="M170" s="7"/>
      <c r="N170" s="7"/>
      <c r="O170" s="7"/>
      <c r="P170" s="7"/>
      <c r="Q170" s="7"/>
    </row>
    <row r="171" spans="1:17" ht="13.9">
      <c r="A171" s="3">
        <v>22914391</v>
      </c>
      <c r="B171" s="3">
        <v>5</v>
      </c>
      <c r="C171" s="3" t="s">
        <v>62</v>
      </c>
      <c r="D171" s="5">
        <v>15</v>
      </c>
      <c r="E171" s="5">
        <v>10</v>
      </c>
      <c r="F171" s="6">
        <v>40810</v>
      </c>
      <c r="G171" s="5">
        <v>11</v>
      </c>
      <c r="H171" s="3" t="s">
        <v>63</v>
      </c>
      <c r="I171" s="3" t="s">
        <v>7</v>
      </c>
      <c r="J171" s="7" t="b">
        <v>1</v>
      </c>
      <c r="K171" s="7"/>
      <c r="L171" s="7"/>
      <c r="M171" s="7"/>
      <c r="N171" s="7"/>
      <c r="O171" s="7"/>
      <c r="P171" s="7"/>
      <c r="Q171" s="7"/>
    </row>
    <row r="172" spans="1:17" ht="13.9">
      <c r="A172" s="3" t="s">
        <v>94</v>
      </c>
      <c r="B172" s="5">
        <v>11</v>
      </c>
      <c r="C172" s="3" t="s">
        <v>60</v>
      </c>
      <c r="D172" s="5">
        <v>17</v>
      </c>
      <c r="E172" s="3">
        <v>7</v>
      </c>
      <c r="F172" s="6">
        <v>38773</v>
      </c>
      <c r="G172" s="5">
        <v>16</v>
      </c>
      <c r="H172" s="3" t="s">
        <v>61</v>
      </c>
      <c r="I172" s="3" t="s">
        <v>7</v>
      </c>
      <c r="J172" s="7" t="b">
        <v>1</v>
      </c>
      <c r="K172" s="7"/>
      <c r="L172" s="7"/>
      <c r="M172" s="7"/>
      <c r="N172" s="7"/>
      <c r="O172" s="7"/>
      <c r="P172" s="7"/>
      <c r="Q172" s="7"/>
    </row>
    <row r="173" spans="1:17" ht="13.9">
      <c r="A173" s="3">
        <v>27516044</v>
      </c>
      <c r="B173" s="3">
        <v>7</v>
      </c>
      <c r="C173" s="3" t="s">
        <v>60</v>
      </c>
      <c r="D173" s="3">
        <v>7</v>
      </c>
      <c r="E173" s="3"/>
      <c r="F173" s="9">
        <v>40321</v>
      </c>
      <c r="G173" s="5">
        <v>12</v>
      </c>
      <c r="H173" s="3" t="s">
        <v>63</v>
      </c>
      <c r="I173" s="3" t="s">
        <v>4</v>
      </c>
      <c r="J173" s="7" t="b">
        <v>1</v>
      </c>
      <c r="K173" s="7"/>
      <c r="L173" s="7"/>
      <c r="M173" s="7"/>
      <c r="N173" s="7"/>
      <c r="O173" s="7"/>
      <c r="P173" s="7"/>
      <c r="Q173" s="7"/>
    </row>
    <row r="174" spans="1:17" ht="13.9">
      <c r="A174" s="5">
        <v>558220178</v>
      </c>
      <c r="B174" s="3">
        <v>2</v>
      </c>
      <c r="C174" s="3" t="s">
        <v>60</v>
      </c>
      <c r="D174" s="5">
        <v>17</v>
      </c>
      <c r="E174" s="3"/>
      <c r="F174" s="6">
        <v>41827</v>
      </c>
      <c r="G174" s="5">
        <v>8</v>
      </c>
      <c r="H174" s="3" t="s">
        <v>61</v>
      </c>
      <c r="I174" s="3" t="s">
        <v>7</v>
      </c>
      <c r="J174" s="7" t="b">
        <v>1</v>
      </c>
      <c r="K174" s="7"/>
      <c r="L174" s="7"/>
      <c r="M174" s="7"/>
      <c r="N174" s="7"/>
      <c r="O174" s="7"/>
      <c r="P174" s="7"/>
      <c r="Q174" s="7"/>
    </row>
    <row r="175" spans="1:17" ht="13.9">
      <c r="A175" s="3">
        <v>8316110</v>
      </c>
      <c r="B175" s="3">
        <v>6</v>
      </c>
      <c r="C175" s="3" t="s">
        <v>60</v>
      </c>
      <c r="D175" s="3">
        <v>7</v>
      </c>
      <c r="E175" s="3"/>
      <c r="F175" s="6">
        <v>40254</v>
      </c>
      <c r="G175" s="5">
        <v>12</v>
      </c>
      <c r="H175" s="3" t="s">
        <v>63</v>
      </c>
      <c r="I175" s="3" t="s">
        <v>7</v>
      </c>
      <c r="J175" s="7" t="b">
        <v>1</v>
      </c>
      <c r="K175" s="7"/>
      <c r="L175" s="7"/>
      <c r="M175" s="7"/>
      <c r="N175" s="7"/>
      <c r="O175" s="7"/>
      <c r="P175" s="7"/>
      <c r="Q175" s="7"/>
    </row>
    <row r="176" spans="1:17" ht="13.9">
      <c r="A176" s="3">
        <v>9216061</v>
      </c>
      <c r="B176" s="3">
        <v>6</v>
      </c>
      <c r="C176" s="3" t="s">
        <v>65</v>
      </c>
      <c r="D176" s="3">
        <v>7</v>
      </c>
      <c r="E176" s="3"/>
      <c r="F176" s="6">
        <v>40579</v>
      </c>
      <c r="G176" s="5">
        <v>11</v>
      </c>
      <c r="H176" s="3" t="s">
        <v>63</v>
      </c>
      <c r="I176" s="3" t="s">
        <v>7</v>
      </c>
      <c r="J176" s="7" t="b">
        <v>1</v>
      </c>
      <c r="K176" s="7"/>
      <c r="L176" s="7"/>
      <c r="M176" s="7"/>
      <c r="N176" s="7"/>
      <c r="O176" s="7"/>
      <c r="P176" s="7"/>
      <c r="Q176" s="7"/>
    </row>
    <row r="177" spans="1:17" ht="13.9">
      <c r="A177" s="3">
        <v>8720117</v>
      </c>
      <c r="B177" s="3">
        <v>2</v>
      </c>
      <c r="C177" s="3" t="s">
        <v>60</v>
      </c>
      <c r="D177" s="3">
        <v>9</v>
      </c>
      <c r="E177" s="3"/>
      <c r="F177" s="6">
        <v>41921</v>
      </c>
      <c r="G177" s="5">
        <v>8</v>
      </c>
      <c r="H177" s="3" t="s">
        <v>61</v>
      </c>
      <c r="I177" s="3" t="s">
        <v>7</v>
      </c>
      <c r="J177" s="7" t="b">
        <v>1</v>
      </c>
      <c r="K177" s="7"/>
      <c r="L177" s="7"/>
      <c r="M177" s="7"/>
      <c r="N177" s="7"/>
      <c r="O177" s="7"/>
      <c r="P177" s="7"/>
      <c r="Q177" s="7"/>
    </row>
    <row r="178" spans="1:17" ht="13.9">
      <c r="A178" s="3">
        <v>25320065</v>
      </c>
      <c r="B178" s="3">
        <v>2</v>
      </c>
      <c r="C178" s="3" t="s">
        <v>60</v>
      </c>
      <c r="D178" s="3">
        <v>9</v>
      </c>
      <c r="E178" s="3"/>
      <c r="F178" s="6">
        <v>42074</v>
      </c>
      <c r="G178" s="5">
        <v>7</v>
      </c>
      <c r="H178" s="3" t="s">
        <v>61</v>
      </c>
      <c r="I178" s="3" t="s">
        <v>8</v>
      </c>
      <c r="J178" s="7" t="b">
        <v>1</v>
      </c>
      <c r="K178" s="7"/>
      <c r="L178" s="7"/>
      <c r="M178" s="7"/>
      <c r="N178" s="7"/>
      <c r="O178" s="7"/>
      <c r="P178" s="7"/>
      <c r="Q178" s="7"/>
    </row>
    <row r="179" spans="1:17" ht="13.9">
      <c r="A179" s="3">
        <v>24913022</v>
      </c>
      <c r="B179" s="3">
        <v>9</v>
      </c>
      <c r="C179" s="3" t="s">
        <v>60</v>
      </c>
      <c r="D179" s="3">
        <v>7</v>
      </c>
      <c r="E179" s="3"/>
      <c r="F179" s="6">
        <v>39467</v>
      </c>
      <c r="G179" s="5">
        <v>14</v>
      </c>
      <c r="H179" s="3" t="s">
        <v>61</v>
      </c>
      <c r="I179" s="3" t="s">
        <v>4</v>
      </c>
      <c r="J179" s="7" t="b">
        <v>1</v>
      </c>
      <c r="K179" s="7"/>
      <c r="L179" s="7"/>
      <c r="M179" s="7"/>
      <c r="N179" s="7"/>
      <c r="O179" s="7"/>
      <c r="P179" s="7"/>
      <c r="Q179" s="7"/>
    </row>
    <row r="180" spans="1:17" ht="13.9">
      <c r="A180" s="3">
        <v>9615045</v>
      </c>
      <c r="B180" s="3">
        <v>7</v>
      </c>
      <c r="C180" s="3" t="s">
        <v>60</v>
      </c>
      <c r="D180" s="5">
        <v>17</v>
      </c>
      <c r="E180" s="3"/>
      <c r="F180" s="6">
        <v>40093</v>
      </c>
      <c r="G180" s="5">
        <v>13</v>
      </c>
      <c r="H180" s="3" t="s">
        <v>61</v>
      </c>
      <c r="I180" s="3" t="s">
        <v>7</v>
      </c>
      <c r="J180" s="7" t="b">
        <v>1</v>
      </c>
      <c r="K180" s="7"/>
      <c r="L180" s="7"/>
      <c r="M180" s="7"/>
      <c r="N180" s="7"/>
      <c r="O180" s="7"/>
      <c r="P180" s="7"/>
      <c r="Q180" s="7"/>
    </row>
    <row r="181" spans="1:17" ht="13.9">
      <c r="A181" s="3">
        <v>2511124</v>
      </c>
      <c r="B181" s="3">
        <v>8</v>
      </c>
      <c r="C181" s="3" t="s">
        <v>60</v>
      </c>
      <c r="D181" s="5">
        <v>15</v>
      </c>
      <c r="E181" s="3">
        <v>9</v>
      </c>
      <c r="F181" s="6">
        <v>39679</v>
      </c>
      <c r="G181" s="5">
        <v>14</v>
      </c>
      <c r="H181" s="3" t="s">
        <v>63</v>
      </c>
      <c r="I181" s="3" t="s">
        <v>7</v>
      </c>
      <c r="J181" s="7" t="b">
        <v>1</v>
      </c>
      <c r="K181" s="7"/>
      <c r="L181" s="7"/>
      <c r="M181" s="7"/>
      <c r="N181" s="7"/>
      <c r="O181" s="7"/>
      <c r="P181" s="7"/>
      <c r="Q181" s="7"/>
    </row>
    <row r="182" spans="1:17" ht="13.9">
      <c r="A182" s="3">
        <v>15115078</v>
      </c>
      <c r="B182" s="3">
        <v>8</v>
      </c>
      <c r="C182" s="3" t="s">
        <v>60</v>
      </c>
      <c r="D182" s="3">
        <v>5</v>
      </c>
      <c r="E182" s="3"/>
      <c r="F182" s="9">
        <v>39941</v>
      </c>
      <c r="G182" s="5">
        <v>13</v>
      </c>
      <c r="H182" s="3" t="s">
        <v>63</v>
      </c>
      <c r="I182" s="3" t="s">
        <v>4</v>
      </c>
      <c r="J182" s="7" t="b">
        <v>1</v>
      </c>
      <c r="K182" s="7"/>
      <c r="L182" s="7"/>
      <c r="M182" s="7"/>
      <c r="N182" s="7"/>
      <c r="O182" s="7"/>
      <c r="P182" s="7"/>
      <c r="Q182" s="7"/>
    </row>
    <row r="183" spans="1:17" ht="13.9">
      <c r="A183" s="3">
        <v>8317137</v>
      </c>
      <c r="B183" s="3">
        <v>5</v>
      </c>
      <c r="C183" s="3" t="s">
        <v>60</v>
      </c>
      <c r="D183" s="3">
        <v>4</v>
      </c>
      <c r="E183" s="3"/>
      <c r="F183" s="6">
        <v>40930</v>
      </c>
      <c r="G183" s="5">
        <v>10</v>
      </c>
      <c r="H183" s="3" t="s">
        <v>61</v>
      </c>
      <c r="I183" s="3" t="s">
        <v>7</v>
      </c>
      <c r="J183" s="7" t="b">
        <v>1</v>
      </c>
      <c r="K183" s="7"/>
      <c r="L183" s="7"/>
      <c r="M183" s="7"/>
      <c r="N183" s="7"/>
      <c r="O183" s="7"/>
      <c r="P183" s="7"/>
      <c r="Q183" s="7"/>
    </row>
    <row r="184" spans="1:17" ht="13.9">
      <c r="A184" s="3" t="s">
        <v>95</v>
      </c>
      <c r="B184" s="5">
        <v>11</v>
      </c>
      <c r="C184" s="3" t="s">
        <v>60</v>
      </c>
      <c r="D184" s="5">
        <v>17</v>
      </c>
      <c r="E184" s="3"/>
      <c r="F184" s="6">
        <v>38741</v>
      </c>
      <c r="G184" s="5">
        <v>16</v>
      </c>
      <c r="H184" s="3" t="s">
        <v>61</v>
      </c>
      <c r="I184" s="3" t="s">
        <v>7</v>
      </c>
      <c r="J184" s="7" t="b">
        <v>1</v>
      </c>
      <c r="K184" s="7"/>
      <c r="L184" s="7"/>
      <c r="M184" s="7"/>
      <c r="N184" s="7"/>
      <c r="O184" s="7"/>
      <c r="P184" s="7"/>
      <c r="Q184" s="7"/>
    </row>
    <row r="185" spans="1:17" ht="13.9">
      <c r="A185" s="3">
        <v>26921003</v>
      </c>
      <c r="B185" s="3">
        <v>6</v>
      </c>
      <c r="C185" s="3" t="s">
        <v>60</v>
      </c>
      <c r="D185" s="3">
        <v>7</v>
      </c>
      <c r="E185" s="5">
        <v>17</v>
      </c>
      <c r="F185" s="6">
        <v>40653</v>
      </c>
      <c r="G185" s="5">
        <v>11</v>
      </c>
      <c r="H185" s="3" t="s">
        <v>63</v>
      </c>
      <c r="I185" s="3" t="s">
        <v>6</v>
      </c>
      <c r="J185" s="7" t="b">
        <v>1</v>
      </c>
      <c r="K185" s="7"/>
      <c r="L185" s="7"/>
      <c r="M185" s="7"/>
      <c r="N185" s="7"/>
      <c r="O185" s="7"/>
      <c r="P185" s="7"/>
      <c r="Q185" s="7"/>
    </row>
    <row r="186" spans="1:17" ht="13.9">
      <c r="A186" s="3">
        <v>4109551</v>
      </c>
      <c r="B186" s="3">
        <v>6</v>
      </c>
      <c r="C186" s="3" t="s">
        <v>65</v>
      </c>
      <c r="D186" s="5">
        <v>15</v>
      </c>
      <c r="E186" s="3">
        <v>9</v>
      </c>
      <c r="F186" s="6">
        <v>40106</v>
      </c>
      <c r="G186" s="5">
        <v>13</v>
      </c>
      <c r="H186" s="3" t="s">
        <v>63</v>
      </c>
      <c r="I186" s="3" t="s">
        <v>7</v>
      </c>
      <c r="J186" s="7" t="b">
        <v>1</v>
      </c>
      <c r="K186" s="7"/>
      <c r="L186" s="7"/>
      <c r="M186" s="7"/>
      <c r="N186" s="7"/>
      <c r="O186" s="7"/>
      <c r="P186" s="7"/>
      <c r="Q186" s="7"/>
    </row>
    <row r="187" spans="1:17" ht="13.9">
      <c r="A187" s="3">
        <v>16406530</v>
      </c>
      <c r="B187" s="5">
        <v>12</v>
      </c>
      <c r="C187" s="3" t="s">
        <v>65</v>
      </c>
      <c r="D187" s="5">
        <v>11</v>
      </c>
      <c r="E187" s="3"/>
      <c r="F187" s="6">
        <v>37559</v>
      </c>
      <c r="G187" s="5">
        <v>20</v>
      </c>
      <c r="H187" s="3" t="s">
        <v>61</v>
      </c>
      <c r="I187" s="3" t="s">
        <v>7</v>
      </c>
      <c r="J187" s="7" t="b">
        <v>1</v>
      </c>
      <c r="K187" s="7"/>
      <c r="L187" s="7"/>
      <c r="M187" s="7"/>
      <c r="N187" s="7"/>
      <c r="O187" s="7"/>
      <c r="P187" s="7"/>
      <c r="Q187" s="7"/>
    </row>
    <row r="188" spans="1:17" ht="13.9">
      <c r="A188" s="3">
        <v>28118079</v>
      </c>
      <c r="B188" s="3">
        <v>4</v>
      </c>
      <c r="C188" s="3" t="s">
        <v>60</v>
      </c>
      <c r="D188" s="3">
        <v>7</v>
      </c>
      <c r="E188" s="3">
        <v>9</v>
      </c>
      <c r="F188" s="6">
        <v>41251</v>
      </c>
      <c r="G188" s="5">
        <v>9</v>
      </c>
      <c r="H188" s="3" t="s">
        <v>63</v>
      </c>
      <c r="I188" s="3" t="s">
        <v>7</v>
      </c>
      <c r="J188" s="7" t="b">
        <v>1</v>
      </c>
      <c r="K188" s="7"/>
      <c r="L188" s="7"/>
      <c r="M188" s="7"/>
      <c r="N188" s="7"/>
      <c r="O188" s="7"/>
      <c r="P188" s="7"/>
      <c r="Q188" s="7"/>
    </row>
    <row r="189" spans="1:17" ht="13.9">
      <c r="A189" s="5">
        <v>428717009</v>
      </c>
      <c r="B189" s="3">
        <v>3</v>
      </c>
      <c r="C189" s="3" t="s">
        <v>64</v>
      </c>
      <c r="D189" s="3">
        <v>9</v>
      </c>
      <c r="E189" s="3"/>
      <c r="F189" s="6">
        <v>41532</v>
      </c>
      <c r="G189" s="5">
        <v>9</v>
      </c>
      <c r="H189" s="3" t="s">
        <v>63</v>
      </c>
      <c r="I189" s="3" t="s">
        <v>7</v>
      </c>
      <c r="J189" s="7" t="b">
        <v>1</v>
      </c>
      <c r="K189" s="7"/>
      <c r="L189" s="7"/>
      <c r="M189" s="7"/>
      <c r="N189" s="7"/>
      <c r="O189" s="7"/>
      <c r="P189" s="7"/>
      <c r="Q189" s="7"/>
    </row>
    <row r="190" spans="1:17" ht="13.9">
      <c r="A190" s="5">
        <v>898409144</v>
      </c>
      <c r="B190" s="5">
        <v>11</v>
      </c>
      <c r="C190" s="3" t="s">
        <v>64</v>
      </c>
      <c r="D190" s="3">
        <v>9</v>
      </c>
      <c r="E190" s="3"/>
      <c r="F190" s="6">
        <v>38757</v>
      </c>
      <c r="G190" s="5">
        <v>16</v>
      </c>
      <c r="H190" s="3" t="s">
        <v>61</v>
      </c>
      <c r="I190" s="3" t="s">
        <v>3</v>
      </c>
      <c r="J190" s="7" t="b">
        <v>1</v>
      </c>
      <c r="K190" s="7"/>
      <c r="L190" s="7"/>
      <c r="M190" s="7"/>
      <c r="N190" s="7"/>
      <c r="O190" s="7"/>
      <c r="P190" s="7"/>
      <c r="Q190" s="7"/>
    </row>
    <row r="191" spans="1:17" ht="13.9">
      <c r="A191" s="5">
        <v>543410037</v>
      </c>
      <c r="B191" s="5">
        <v>10</v>
      </c>
      <c r="C191" s="3" t="s">
        <v>64</v>
      </c>
      <c r="D191" s="5">
        <v>17</v>
      </c>
      <c r="E191" s="3"/>
      <c r="F191" s="6">
        <v>38826</v>
      </c>
      <c r="G191" s="5">
        <v>16</v>
      </c>
      <c r="H191" s="3" t="s">
        <v>63</v>
      </c>
      <c r="I191" s="3" t="s">
        <v>7</v>
      </c>
      <c r="J191" s="7" t="b">
        <v>1</v>
      </c>
      <c r="K191" s="7"/>
      <c r="L191" s="7"/>
      <c r="M191" s="7"/>
      <c r="N191" s="7"/>
      <c r="O191" s="7"/>
      <c r="P191" s="7"/>
      <c r="Q191" s="7"/>
    </row>
    <row r="192" spans="1:17" ht="13.9">
      <c r="A192" s="3">
        <v>20910026</v>
      </c>
      <c r="B192" s="5">
        <v>12</v>
      </c>
      <c r="C192" s="3" t="s">
        <v>60</v>
      </c>
      <c r="D192" s="3">
        <v>7</v>
      </c>
      <c r="E192" s="3"/>
      <c r="F192" s="6">
        <v>37872</v>
      </c>
      <c r="G192" s="5">
        <v>19</v>
      </c>
      <c r="H192" s="3" t="s">
        <v>63</v>
      </c>
      <c r="I192" s="3" t="s">
        <v>7</v>
      </c>
      <c r="J192" s="7" t="b">
        <v>1</v>
      </c>
      <c r="K192" s="7"/>
      <c r="L192" s="7"/>
      <c r="M192" s="7"/>
      <c r="N192" s="7"/>
      <c r="O192" s="7"/>
      <c r="P192" s="7"/>
      <c r="Q192" s="7"/>
    </row>
    <row r="193" spans="1:17" ht="13.9">
      <c r="A193" s="3">
        <v>27018016</v>
      </c>
      <c r="B193" s="3">
        <v>4</v>
      </c>
      <c r="C193" s="3" t="s">
        <v>60</v>
      </c>
      <c r="D193" s="5">
        <v>17</v>
      </c>
      <c r="E193" s="3"/>
      <c r="F193" s="6">
        <v>40877</v>
      </c>
      <c r="G193" s="5">
        <v>11</v>
      </c>
      <c r="H193" s="3" t="s">
        <v>61</v>
      </c>
      <c r="I193" s="3" t="s">
        <v>7</v>
      </c>
      <c r="J193" s="7" t="b">
        <v>1</v>
      </c>
      <c r="K193" s="7"/>
      <c r="L193" s="7"/>
      <c r="M193" s="7"/>
      <c r="N193" s="7"/>
      <c r="O193" s="7"/>
      <c r="P193" s="7"/>
      <c r="Q193" s="7"/>
    </row>
    <row r="194" spans="1:17" ht="13.9">
      <c r="A194" s="3">
        <v>27513504</v>
      </c>
      <c r="B194" s="5">
        <v>10</v>
      </c>
      <c r="C194" s="3" t="s">
        <v>60</v>
      </c>
      <c r="D194" s="5">
        <v>10</v>
      </c>
      <c r="E194" s="3"/>
      <c r="F194" s="6">
        <v>38798</v>
      </c>
      <c r="G194" s="5">
        <v>16</v>
      </c>
      <c r="H194" s="3" t="s">
        <v>63</v>
      </c>
      <c r="I194" s="3" t="s">
        <v>7</v>
      </c>
      <c r="J194" s="7" t="b">
        <v>1</v>
      </c>
      <c r="K194" s="7"/>
      <c r="L194" s="7"/>
      <c r="M194" s="7"/>
      <c r="N194" s="7"/>
      <c r="O194" s="7"/>
      <c r="P194" s="7"/>
      <c r="Q194" s="7"/>
    </row>
    <row r="195" spans="1:17" ht="13.9">
      <c r="A195" s="3">
        <v>36618063</v>
      </c>
      <c r="B195" s="3">
        <v>4</v>
      </c>
      <c r="C195" s="3" t="s">
        <v>60</v>
      </c>
      <c r="D195" s="3">
        <v>9</v>
      </c>
      <c r="E195" s="3"/>
      <c r="F195" s="6">
        <v>41440</v>
      </c>
      <c r="G195" s="5">
        <v>9</v>
      </c>
      <c r="H195" s="3" t="s">
        <v>61</v>
      </c>
      <c r="I195" s="3" t="s">
        <v>7</v>
      </c>
      <c r="J195" s="7" t="b">
        <v>1</v>
      </c>
      <c r="K195" s="7"/>
      <c r="L195" s="7"/>
      <c r="M195" s="7"/>
      <c r="N195" s="7"/>
      <c r="O195" s="7"/>
      <c r="P195" s="7"/>
      <c r="Q195" s="7"/>
    </row>
    <row r="196" spans="1:17" ht="13.9">
      <c r="A196" s="3">
        <v>9416032</v>
      </c>
      <c r="B196" s="3">
        <v>6</v>
      </c>
      <c r="C196" s="3" t="s">
        <v>60</v>
      </c>
      <c r="D196" s="3">
        <v>7</v>
      </c>
      <c r="E196" s="3"/>
      <c r="F196" s="6">
        <v>40616</v>
      </c>
      <c r="G196" s="5">
        <v>11</v>
      </c>
      <c r="H196" s="3" t="s">
        <v>63</v>
      </c>
      <c r="I196" s="3" t="s">
        <v>7</v>
      </c>
      <c r="J196" s="7" t="b">
        <v>1</v>
      </c>
      <c r="K196" s="7"/>
      <c r="L196" s="7"/>
      <c r="M196" s="7"/>
      <c r="N196" s="7"/>
      <c r="O196" s="7"/>
      <c r="P196" s="7"/>
      <c r="Q196" s="7"/>
    </row>
    <row r="197" spans="1:17" ht="13.9">
      <c r="A197" s="5">
        <v>550816142</v>
      </c>
      <c r="B197" s="3">
        <v>6</v>
      </c>
      <c r="C197" s="3" t="s">
        <v>64</v>
      </c>
      <c r="D197" s="3">
        <v>7</v>
      </c>
      <c r="E197" s="3"/>
      <c r="F197" s="6">
        <v>40442</v>
      </c>
      <c r="G197" s="5">
        <v>12</v>
      </c>
      <c r="H197" s="3" t="s">
        <v>63</v>
      </c>
      <c r="I197" s="3" t="s">
        <v>6</v>
      </c>
      <c r="J197" s="7" t="b">
        <v>1</v>
      </c>
      <c r="K197" s="7"/>
      <c r="L197" s="7"/>
      <c r="M197" s="7"/>
      <c r="N197" s="7"/>
      <c r="O197" s="7"/>
      <c r="P197" s="7"/>
      <c r="Q197" s="7"/>
    </row>
    <row r="198" spans="1:17" ht="13.9">
      <c r="A198" s="3">
        <v>27517036</v>
      </c>
      <c r="B198" s="3">
        <v>5</v>
      </c>
      <c r="C198" s="3" t="s">
        <v>60</v>
      </c>
      <c r="D198" s="3">
        <v>7</v>
      </c>
      <c r="E198" s="3"/>
      <c r="F198" s="6">
        <v>40360</v>
      </c>
      <c r="G198" s="5">
        <v>12</v>
      </c>
      <c r="H198" s="3" t="s">
        <v>63</v>
      </c>
      <c r="I198" s="3" t="s">
        <v>7</v>
      </c>
      <c r="J198" s="7" t="b">
        <v>1</v>
      </c>
      <c r="K198" s="7"/>
      <c r="L198" s="7"/>
      <c r="M198" s="7"/>
      <c r="N198" s="7"/>
      <c r="O198" s="7"/>
      <c r="P198" s="7"/>
      <c r="Q198" s="7"/>
    </row>
    <row r="199" spans="1:17" ht="13.9">
      <c r="A199" s="5">
        <v>132908135</v>
      </c>
      <c r="B199" s="5">
        <v>11</v>
      </c>
      <c r="C199" s="3" t="s">
        <v>60</v>
      </c>
      <c r="D199" s="3">
        <v>4</v>
      </c>
      <c r="E199" s="3">
        <v>9</v>
      </c>
      <c r="F199" s="6">
        <v>38426</v>
      </c>
      <c r="G199" s="5">
        <v>17</v>
      </c>
      <c r="H199" s="3" t="s">
        <v>63</v>
      </c>
      <c r="I199" s="3" t="s">
        <v>7</v>
      </c>
      <c r="J199" s="7" t="b">
        <v>1</v>
      </c>
      <c r="K199" s="7"/>
      <c r="L199" s="7"/>
      <c r="M199" s="7"/>
      <c r="N199" s="7"/>
      <c r="O199" s="7"/>
      <c r="P199" s="7"/>
      <c r="Q199" s="7"/>
    </row>
    <row r="200" spans="1:17" ht="13.9">
      <c r="A200" s="3">
        <v>17814087</v>
      </c>
      <c r="B200" s="3">
        <v>9</v>
      </c>
      <c r="C200" s="3" t="s">
        <v>60</v>
      </c>
      <c r="D200" s="3">
        <v>7</v>
      </c>
      <c r="E200" s="3"/>
      <c r="F200" s="6">
        <v>39428</v>
      </c>
      <c r="G200" s="5">
        <v>14</v>
      </c>
      <c r="H200" s="3" t="s">
        <v>63</v>
      </c>
      <c r="I200" s="3" t="s">
        <v>7</v>
      </c>
      <c r="J200" s="7" t="b">
        <v>1</v>
      </c>
      <c r="K200" s="7"/>
      <c r="L200" s="7"/>
      <c r="M200" s="7"/>
      <c r="N200" s="7"/>
      <c r="O200" s="7"/>
      <c r="P200" s="7"/>
      <c r="Q200" s="7"/>
    </row>
    <row r="201" spans="1:17" ht="13.9">
      <c r="A201" s="3">
        <v>22912301</v>
      </c>
      <c r="B201" s="3">
        <v>7</v>
      </c>
      <c r="C201" s="3" t="s">
        <v>60</v>
      </c>
      <c r="D201" s="5">
        <v>17</v>
      </c>
      <c r="E201" s="3"/>
      <c r="F201" s="6">
        <v>40002</v>
      </c>
      <c r="G201" s="5">
        <v>13</v>
      </c>
      <c r="H201" s="3" t="s">
        <v>63</v>
      </c>
      <c r="I201" s="3" t="s">
        <v>7</v>
      </c>
      <c r="J201" s="7" t="b">
        <v>1</v>
      </c>
      <c r="K201" s="7"/>
      <c r="L201" s="7"/>
      <c r="M201" s="7"/>
      <c r="N201" s="7"/>
      <c r="O201" s="7"/>
      <c r="P201" s="7"/>
      <c r="Q201" s="7"/>
    </row>
    <row r="202" spans="1:17" ht="13.9">
      <c r="A202" s="3">
        <v>35420119</v>
      </c>
      <c r="B202" s="3" t="s">
        <v>41</v>
      </c>
      <c r="C202" s="3" t="s">
        <v>60</v>
      </c>
      <c r="D202" s="3">
        <v>9</v>
      </c>
      <c r="E202" s="3"/>
      <c r="F202" s="6">
        <v>42731</v>
      </c>
      <c r="G202" s="5">
        <v>5</v>
      </c>
      <c r="H202" s="3" t="s">
        <v>63</v>
      </c>
      <c r="I202" s="3" t="s">
        <v>7</v>
      </c>
      <c r="J202" s="7" t="b">
        <v>1</v>
      </c>
      <c r="K202" s="7"/>
      <c r="L202" s="7"/>
      <c r="M202" s="7"/>
      <c r="N202" s="7"/>
      <c r="O202" s="7"/>
      <c r="P202" s="7"/>
      <c r="Q202" s="7"/>
    </row>
    <row r="203" spans="1:17" ht="13.9">
      <c r="A203" s="3" t="s">
        <v>96</v>
      </c>
      <c r="B203" s="3">
        <v>1</v>
      </c>
      <c r="C203" s="3" t="s">
        <v>60</v>
      </c>
      <c r="D203" s="3">
        <v>9</v>
      </c>
      <c r="E203" s="3"/>
      <c r="F203" s="6">
        <v>42357</v>
      </c>
      <c r="G203" s="5">
        <v>6</v>
      </c>
      <c r="H203" s="3" t="s">
        <v>61</v>
      </c>
      <c r="I203" s="3" t="s">
        <v>7</v>
      </c>
      <c r="J203" s="7" t="b">
        <v>1</v>
      </c>
      <c r="K203" s="7"/>
      <c r="L203" s="7"/>
      <c r="M203" s="7"/>
      <c r="N203" s="7"/>
      <c r="O203" s="7"/>
      <c r="P203" s="7"/>
      <c r="Q203" s="7"/>
    </row>
    <row r="204" spans="1:17" ht="13.9">
      <c r="A204" s="3">
        <v>96112313</v>
      </c>
      <c r="B204" s="5">
        <v>11</v>
      </c>
      <c r="C204" s="3" t="s">
        <v>64</v>
      </c>
      <c r="D204" s="3">
        <v>7</v>
      </c>
      <c r="E204" s="3"/>
      <c r="F204" s="6">
        <v>38751</v>
      </c>
      <c r="G204" s="5">
        <v>16</v>
      </c>
      <c r="H204" s="3" t="s">
        <v>61</v>
      </c>
      <c r="I204" s="3" t="s">
        <v>7</v>
      </c>
      <c r="J204" s="7" t="b">
        <v>1</v>
      </c>
      <c r="K204" s="7"/>
      <c r="L204" s="7"/>
      <c r="M204" s="7"/>
      <c r="N204" s="7"/>
      <c r="O204" s="7"/>
      <c r="P204" s="7"/>
      <c r="Q204" s="7"/>
    </row>
    <row r="205" spans="1:17" ht="13.9">
      <c r="A205" s="3">
        <v>13612010</v>
      </c>
      <c r="B205" s="5">
        <v>11</v>
      </c>
      <c r="C205" s="3" t="s">
        <v>60</v>
      </c>
      <c r="D205" s="3">
        <v>7</v>
      </c>
      <c r="E205" s="3"/>
      <c r="F205" s="6">
        <v>38816</v>
      </c>
      <c r="G205" s="5">
        <v>16</v>
      </c>
      <c r="H205" s="3" t="s">
        <v>61</v>
      </c>
      <c r="I205" s="3" t="s">
        <v>4</v>
      </c>
      <c r="J205" s="7" t="b">
        <v>1</v>
      </c>
      <c r="K205" s="7"/>
      <c r="L205" s="7"/>
      <c r="M205" s="7"/>
      <c r="N205" s="7"/>
      <c r="O205" s="7"/>
      <c r="P205" s="7"/>
      <c r="Q205" s="7"/>
    </row>
    <row r="206" spans="1:17" ht="13.9">
      <c r="A206" s="3">
        <v>15312003</v>
      </c>
      <c r="B206" s="5">
        <v>11</v>
      </c>
      <c r="C206" s="3" t="s">
        <v>60</v>
      </c>
      <c r="D206" s="3">
        <v>7</v>
      </c>
      <c r="E206" s="3"/>
      <c r="F206" s="6">
        <v>38809</v>
      </c>
      <c r="G206" s="5">
        <v>16</v>
      </c>
      <c r="H206" s="3" t="s">
        <v>61</v>
      </c>
      <c r="I206" s="3" t="s">
        <v>7</v>
      </c>
      <c r="J206" s="7" t="b">
        <v>1</v>
      </c>
      <c r="K206" s="7"/>
      <c r="L206" s="7"/>
      <c r="M206" s="7"/>
      <c r="N206" s="7"/>
      <c r="O206" s="7"/>
      <c r="P206" s="7"/>
      <c r="Q206" s="7"/>
    </row>
    <row r="207" spans="1:17" ht="13.9">
      <c r="A207" s="5">
        <v>343517060</v>
      </c>
      <c r="B207" s="3">
        <v>3</v>
      </c>
      <c r="C207" s="3" t="s">
        <v>64</v>
      </c>
      <c r="D207" s="3">
        <v>9</v>
      </c>
      <c r="E207" s="3"/>
      <c r="F207" s="6">
        <v>41681</v>
      </c>
      <c r="G207" s="5">
        <v>8</v>
      </c>
      <c r="H207" s="3" t="s">
        <v>63</v>
      </c>
      <c r="I207" s="3" t="s">
        <v>7</v>
      </c>
      <c r="J207" s="7" t="b">
        <v>1</v>
      </c>
      <c r="K207" s="7"/>
      <c r="L207" s="7"/>
      <c r="M207" s="7"/>
      <c r="N207" s="7"/>
      <c r="O207" s="7"/>
      <c r="P207" s="7"/>
      <c r="Q207" s="7"/>
    </row>
    <row r="208" spans="1:17" ht="13.9">
      <c r="A208" s="3">
        <v>22913346</v>
      </c>
      <c r="B208" s="3">
        <v>7</v>
      </c>
      <c r="C208" s="3" t="s">
        <v>60</v>
      </c>
      <c r="D208" s="3">
        <v>7</v>
      </c>
      <c r="E208" s="3">
        <v>9</v>
      </c>
      <c r="F208" s="6">
        <v>40204</v>
      </c>
      <c r="G208" s="5">
        <v>12</v>
      </c>
      <c r="H208" s="3" t="s">
        <v>63</v>
      </c>
      <c r="I208" s="3" t="s">
        <v>6</v>
      </c>
      <c r="J208" s="7" t="b">
        <v>1</v>
      </c>
      <c r="K208" s="7"/>
      <c r="L208" s="7"/>
      <c r="M208" s="7"/>
      <c r="N208" s="7"/>
      <c r="O208" s="7"/>
      <c r="P208" s="7"/>
      <c r="Q208" s="7"/>
    </row>
    <row r="209" spans="1:17" ht="13.9">
      <c r="A209" s="3">
        <v>32321049</v>
      </c>
      <c r="B209" s="3">
        <v>2</v>
      </c>
      <c r="C209" s="3" t="s">
        <v>60</v>
      </c>
      <c r="D209" s="3">
        <v>9</v>
      </c>
      <c r="E209" s="3"/>
      <c r="F209" s="6">
        <v>42102</v>
      </c>
      <c r="G209" s="5">
        <v>7</v>
      </c>
      <c r="H209" s="3" t="s">
        <v>61</v>
      </c>
      <c r="I209" s="3" t="s">
        <v>7</v>
      </c>
      <c r="J209" s="7" t="b">
        <v>1</v>
      </c>
      <c r="K209" s="7"/>
      <c r="L209" s="7"/>
      <c r="M209" s="7"/>
      <c r="N209" s="7"/>
      <c r="O209" s="7"/>
      <c r="P209" s="7"/>
      <c r="Q209" s="7"/>
    </row>
    <row r="210" spans="1:17" ht="13.9">
      <c r="A210" s="3" t="s">
        <v>97</v>
      </c>
      <c r="B210" s="3">
        <v>4</v>
      </c>
      <c r="C210" s="3" t="s">
        <v>64</v>
      </c>
      <c r="D210" s="3">
        <v>9</v>
      </c>
      <c r="E210" s="3"/>
      <c r="F210" s="6">
        <v>41207</v>
      </c>
      <c r="G210" s="5">
        <v>10</v>
      </c>
      <c r="H210" s="3" t="s">
        <v>63</v>
      </c>
      <c r="I210" s="3" t="s">
        <v>7</v>
      </c>
      <c r="J210" s="7" t="b">
        <v>1</v>
      </c>
      <c r="K210" s="7"/>
      <c r="L210" s="7"/>
      <c r="M210" s="7"/>
      <c r="N210" s="7"/>
      <c r="O210" s="7"/>
      <c r="P210" s="7"/>
      <c r="Q210" s="7"/>
    </row>
    <row r="211" spans="1:17" ht="13.9">
      <c r="A211" s="3">
        <v>16115064</v>
      </c>
      <c r="B211" s="3">
        <v>7</v>
      </c>
      <c r="C211" s="3" t="s">
        <v>60</v>
      </c>
      <c r="D211" s="5">
        <v>17</v>
      </c>
      <c r="E211" s="3"/>
      <c r="F211" s="6">
        <v>39813</v>
      </c>
      <c r="G211" s="5">
        <v>13</v>
      </c>
      <c r="H211" s="3" t="s">
        <v>63</v>
      </c>
      <c r="I211" s="3" t="s">
        <v>7</v>
      </c>
      <c r="J211" s="7" t="b">
        <v>1</v>
      </c>
      <c r="K211" s="7"/>
      <c r="L211" s="7"/>
      <c r="M211" s="7"/>
      <c r="N211" s="7"/>
      <c r="O211" s="7"/>
      <c r="P211" s="7"/>
      <c r="Q211" s="7"/>
    </row>
    <row r="212" spans="1:17" ht="13.9">
      <c r="A212" s="3">
        <v>8914642</v>
      </c>
      <c r="B212" s="3">
        <v>8</v>
      </c>
      <c r="C212" s="3" t="s">
        <v>60</v>
      </c>
      <c r="D212" s="3">
        <v>6</v>
      </c>
      <c r="E212" s="3"/>
      <c r="F212" s="6">
        <v>39892</v>
      </c>
      <c r="G212" s="5">
        <v>13</v>
      </c>
      <c r="H212" s="3" t="s">
        <v>61</v>
      </c>
      <c r="I212" s="3" t="s">
        <v>7</v>
      </c>
      <c r="J212" s="7" t="b">
        <v>1</v>
      </c>
      <c r="K212" s="7"/>
      <c r="L212" s="7"/>
      <c r="M212" s="7"/>
      <c r="N212" s="7"/>
      <c r="O212" s="7"/>
      <c r="P212" s="7"/>
      <c r="Q212" s="7"/>
    </row>
    <row r="213" spans="1:17" ht="13.9">
      <c r="A213" s="3">
        <v>2018109</v>
      </c>
      <c r="B213" s="3">
        <v>4</v>
      </c>
      <c r="C213" s="3" t="s">
        <v>60</v>
      </c>
      <c r="D213" s="3">
        <v>9</v>
      </c>
      <c r="E213" s="3"/>
      <c r="F213" s="6">
        <v>41008</v>
      </c>
      <c r="G213" s="5">
        <v>10</v>
      </c>
      <c r="H213" s="3" t="s">
        <v>63</v>
      </c>
      <c r="I213" s="3" t="s">
        <v>7</v>
      </c>
      <c r="J213" s="7" t="b">
        <v>1</v>
      </c>
      <c r="K213" s="7"/>
      <c r="L213" s="7"/>
      <c r="M213" s="7"/>
      <c r="N213" s="7"/>
      <c r="O213" s="7"/>
      <c r="P213" s="7"/>
      <c r="Q213" s="7"/>
    </row>
    <row r="214" spans="1:17" ht="13.9">
      <c r="A214" s="3">
        <v>9214023</v>
      </c>
      <c r="B214" s="3">
        <v>8</v>
      </c>
      <c r="C214" s="3" t="s">
        <v>60</v>
      </c>
      <c r="D214" s="3">
        <v>7</v>
      </c>
      <c r="E214" s="3">
        <v>9</v>
      </c>
      <c r="F214" s="6">
        <v>39719</v>
      </c>
      <c r="G214" s="5">
        <v>14</v>
      </c>
      <c r="H214" s="3" t="s">
        <v>61</v>
      </c>
      <c r="I214" s="3" t="s">
        <v>7</v>
      </c>
      <c r="J214" s="7" t="b">
        <v>1</v>
      </c>
      <c r="K214" s="7"/>
      <c r="L214" s="7"/>
      <c r="M214" s="7"/>
      <c r="N214" s="7"/>
      <c r="O214" s="7"/>
      <c r="P214" s="7"/>
      <c r="Q214" s="7"/>
    </row>
    <row r="215" spans="1:17" ht="13.9">
      <c r="A215" s="5">
        <v>133528036</v>
      </c>
      <c r="B215" s="3">
        <v>7</v>
      </c>
      <c r="C215" s="3" t="s">
        <v>65</v>
      </c>
      <c r="D215" s="3">
        <v>7</v>
      </c>
      <c r="E215" s="3"/>
      <c r="F215" s="6">
        <v>40163</v>
      </c>
      <c r="G215" s="5">
        <v>12</v>
      </c>
      <c r="H215" s="3" t="s">
        <v>63</v>
      </c>
      <c r="I215" s="3" t="s">
        <v>7</v>
      </c>
      <c r="J215" s="7" t="b">
        <v>1</v>
      </c>
      <c r="K215" s="7"/>
      <c r="L215" s="7"/>
      <c r="M215" s="7"/>
      <c r="N215" s="7"/>
      <c r="O215" s="7"/>
      <c r="P215" s="7"/>
      <c r="Q215" s="7"/>
    </row>
    <row r="216" spans="1:17" ht="13.9">
      <c r="A216" s="3">
        <v>22913044</v>
      </c>
      <c r="B216" s="3">
        <v>8</v>
      </c>
      <c r="C216" s="3" t="s">
        <v>60</v>
      </c>
      <c r="D216" s="5">
        <v>17</v>
      </c>
      <c r="E216" s="3"/>
      <c r="F216" s="6">
        <v>39854</v>
      </c>
      <c r="G216" s="5">
        <v>13</v>
      </c>
      <c r="H216" s="3" t="s">
        <v>63</v>
      </c>
      <c r="I216" s="3" t="s">
        <v>7</v>
      </c>
      <c r="J216" s="7" t="b">
        <v>1</v>
      </c>
      <c r="K216" s="7"/>
      <c r="L216" s="7"/>
      <c r="M216" s="7"/>
      <c r="N216" s="7"/>
      <c r="O216" s="7"/>
      <c r="P216" s="7"/>
      <c r="Q216" s="7"/>
    </row>
    <row r="217" spans="1:17" ht="13.9">
      <c r="A217" s="3">
        <v>22916128</v>
      </c>
      <c r="B217" s="3">
        <v>4</v>
      </c>
      <c r="C217" s="3" t="s">
        <v>71</v>
      </c>
      <c r="D217" s="3">
        <v>7</v>
      </c>
      <c r="E217" s="3">
        <v>9</v>
      </c>
      <c r="F217" s="6">
        <v>40953</v>
      </c>
      <c r="G217" s="5">
        <v>10</v>
      </c>
      <c r="H217" s="3" t="s">
        <v>63</v>
      </c>
      <c r="I217" s="3" t="s">
        <v>6</v>
      </c>
      <c r="J217" s="7" t="b">
        <v>1</v>
      </c>
      <c r="K217" s="7"/>
      <c r="L217" s="7"/>
      <c r="M217" s="7"/>
      <c r="N217" s="7"/>
      <c r="O217" s="7"/>
      <c r="P217" s="7"/>
      <c r="Q217" s="7"/>
    </row>
    <row r="218" spans="1:17" ht="13.9">
      <c r="A218" s="3">
        <v>909080</v>
      </c>
      <c r="B218" s="5">
        <v>10</v>
      </c>
      <c r="C218" s="3" t="s">
        <v>65</v>
      </c>
      <c r="D218" s="5">
        <v>15</v>
      </c>
      <c r="E218" s="3">
        <v>9</v>
      </c>
      <c r="F218" s="6">
        <v>39108</v>
      </c>
      <c r="G218" s="5">
        <v>15</v>
      </c>
      <c r="H218" s="3" t="s">
        <v>61</v>
      </c>
      <c r="I218" s="3" t="s">
        <v>7</v>
      </c>
      <c r="J218" s="7" t="b">
        <v>1</v>
      </c>
      <c r="K218" s="7"/>
      <c r="L218" s="7"/>
      <c r="M218" s="7"/>
      <c r="N218" s="7"/>
      <c r="O218" s="7"/>
      <c r="P218" s="7"/>
      <c r="Q218" s="7"/>
    </row>
    <row r="219" spans="1:17" ht="13.9">
      <c r="A219" s="3">
        <v>21717061</v>
      </c>
      <c r="B219" s="3">
        <v>6</v>
      </c>
      <c r="C219" s="3" t="s">
        <v>60</v>
      </c>
      <c r="D219" s="5">
        <v>17</v>
      </c>
      <c r="E219" s="3"/>
      <c r="F219" s="6">
        <v>40624</v>
      </c>
      <c r="G219" s="5">
        <v>11</v>
      </c>
      <c r="H219" s="3" t="s">
        <v>63</v>
      </c>
      <c r="I219" s="3" t="s">
        <v>7</v>
      </c>
      <c r="J219" s="7" t="b">
        <v>1</v>
      </c>
      <c r="K219" s="7"/>
      <c r="L219" s="7"/>
      <c r="M219" s="7"/>
      <c r="N219" s="7"/>
      <c r="O219" s="7"/>
      <c r="P219" s="7"/>
      <c r="Q219" s="7"/>
    </row>
    <row r="220" spans="1:17" ht="13.9">
      <c r="A220" s="3">
        <v>27013040</v>
      </c>
      <c r="B220" s="5">
        <v>10</v>
      </c>
      <c r="C220" s="3" t="s">
        <v>60</v>
      </c>
      <c r="D220" s="3">
        <v>7</v>
      </c>
      <c r="E220" s="3"/>
      <c r="F220" s="6">
        <v>39070</v>
      </c>
      <c r="G220" s="5">
        <v>15</v>
      </c>
      <c r="H220" s="3" t="s">
        <v>61</v>
      </c>
      <c r="I220" s="3" t="s">
        <v>4</v>
      </c>
      <c r="J220" s="7" t="b">
        <v>1</v>
      </c>
      <c r="K220" s="7"/>
      <c r="L220" s="7"/>
      <c r="M220" s="7"/>
      <c r="N220" s="7"/>
      <c r="O220" s="7"/>
      <c r="P220" s="7"/>
      <c r="Q220" s="7"/>
    </row>
    <row r="221" spans="1:17" ht="13.9">
      <c r="A221" s="3" t="s">
        <v>98</v>
      </c>
      <c r="B221" s="3">
        <v>6</v>
      </c>
      <c r="C221" s="3" t="s">
        <v>60</v>
      </c>
      <c r="D221" s="5">
        <v>10</v>
      </c>
      <c r="E221" s="3"/>
      <c r="F221" s="6">
        <v>40115</v>
      </c>
      <c r="G221" s="5">
        <v>13</v>
      </c>
      <c r="H221" s="3" t="s">
        <v>63</v>
      </c>
      <c r="I221" s="3" t="s">
        <v>6</v>
      </c>
      <c r="J221" s="7" t="b">
        <v>1</v>
      </c>
      <c r="K221" s="7"/>
      <c r="L221" s="7"/>
      <c r="M221" s="7"/>
      <c r="N221" s="7"/>
      <c r="O221" s="7"/>
      <c r="P221" s="7"/>
      <c r="Q221" s="7"/>
    </row>
    <row r="222" spans="1:17" ht="13.9">
      <c r="A222" s="3">
        <v>7118191</v>
      </c>
      <c r="B222" s="3">
        <v>2</v>
      </c>
      <c r="C222" s="3" t="s">
        <v>60</v>
      </c>
      <c r="D222" s="3">
        <v>9</v>
      </c>
      <c r="E222" s="3"/>
      <c r="F222" s="6">
        <v>41947</v>
      </c>
      <c r="G222" s="5">
        <v>8</v>
      </c>
      <c r="H222" s="3" t="s">
        <v>63</v>
      </c>
      <c r="I222" s="3" t="s">
        <v>7</v>
      </c>
      <c r="J222" s="7" t="b">
        <v>1</v>
      </c>
      <c r="K222" s="7"/>
      <c r="L222" s="7"/>
      <c r="M222" s="7"/>
      <c r="N222" s="7"/>
      <c r="O222" s="7"/>
      <c r="P222" s="7"/>
      <c r="Q222" s="7"/>
    </row>
    <row r="223" spans="1:17" ht="13.9">
      <c r="A223" s="5">
        <v>378113044</v>
      </c>
      <c r="B223" s="5">
        <v>10</v>
      </c>
      <c r="C223" s="3" t="s">
        <v>64</v>
      </c>
      <c r="D223" s="3">
        <v>7</v>
      </c>
      <c r="E223" s="3"/>
      <c r="F223" s="6">
        <v>39018</v>
      </c>
      <c r="G223" s="5">
        <v>16</v>
      </c>
      <c r="H223" s="3" t="s">
        <v>61</v>
      </c>
      <c r="I223" s="3" t="s">
        <v>7</v>
      </c>
      <c r="J223" s="7" t="b">
        <v>1</v>
      </c>
      <c r="K223" s="7"/>
      <c r="L223" s="7"/>
      <c r="M223" s="7"/>
      <c r="N223" s="7"/>
      <c r="O223" s="7"/>
      <c r="P223" s="7"/>
      <c r="Q223" s="7"/>
    </row>
    <row r="224" spans="1:17" ht="13.9">
      <c r="A224" s="3">
        <v>9616505</v>
      </c>
      <c r="B224" s="3">
        <v>4</v>
      </c>
      <c r="C224" s="3" t="s">
        <v>60</v>
      </c>
      <c r="D224" s="5">
        <v>17</v>
      </c>
      <c r="E224" s="3"/>
      <c r="F224" s="6">
        <v>41267</v>
      </c>
      <c r="G224" s="5">
        <v>9</v>
      </c>
      <c r="H224" s="3" t="s">
        <v>63</v>
      </c>
      <c r="I224" s="3" t="s">
        <v>7</v>
      </c>
      <c r="J224" s="7" t="b">
        <v>1</v>
      </c>
      <c r="K224" s="7"/>
      <c r="L224" s="7"/>
      <c r="M224" s="7"/>
      <c r="N224" s="7"/>
      <c r="O224" s="7"/>
      <c r="P224" s="7"/>
      <c r="Q224" s="7"/>
    </row>
    <row r="225" spans="1:17" ht="13.9">
      <c r="A225" s="3">
        <v>13613513</v>
      </c>
      <c r="B225" s="3">
        <v>9</v>
      </c>
      <c r="C225" s="3" t="s">
        <v>60</v>
      </c>
      <c r="D225" s="3">
        <v>7</v>
      </c>
      <c r="E225" s="3"/>
      <c r="F225" s="6">
        <v>39628</v>
      </c>
      <c r="G225" s="5">
        <v>14</v>
      </c>
      <c r="H225" s="3" t="s">
        <v>61</v>
      </c>
      <c r="I225" s="3" t="s">
        <v>6</v>
      </c>
      <c r="J225" s="7" t="b">
        <v>1</v>
      </c>
      <c r="K225" s="7"/>
      <c r="L225" s="7"/>
      <c r="M225" s="7"/>
      <c r="N225" s="7"/>
      <c r="O225" s="7"/>
      <c r="P225" s="7"/>
      <c r="Q225" s="7"/>
    </row>
    <row r="226" spans="1:17" ht="13.9">
      <c r="A226" s="3">
        <v>16114074</v>
      </c>
      <c r="B226" s="3">
        <v>9</v>
      </c>
      <c r="C226" s="3" t="s">
        <v>60</v>
      </c>
      <c r="D226" s="3">
        <v>7</v>
      </c>
      <c r="E226" s="3"/>
      <c r="F226" s="6">
        <v>39602</v>
      </c>
      <c r="G226" s="5">
        <v>14</v>
      </c>
      <c r="H226" s="3" t="s">
        <v>63</v>
      </c>
      <c r="I226" s="3" t="s">
        <v>6</v>
      </c>
      <c r="J226" s="7" t="b">
        <v>1</v>
      </c>
      <c r="K226" s="7"/>
      <c r="L226" s="7"/>
      <c r="M226" s="7"/>
      <c r="N226" s="7"/>
      <c r="O226" s="7"/>
      <c r="P226" s="7"/>
      <c r="Q226" s="7"/>
    </row>
    <row r="227" spans="1:17" ht="13.9">
      <c r="A227" s="3">
        <v>6813080</v>
      </c>
      <c r="B227" s="3">
        <v>7</v>
      </c>
      <c r="C227" s="3" t="s">
        <v>60</v>
      </c>
      <c r="D227" s="5">
        <v>15</v>
      </c>
      <c r="E227" s="3"/>
      <c r="F227" s="9">
        <v>39955</v>
      </c>
      <c r="G227" s="5">
        <v>13</v>
      </c>
      <c r="H227" s="3" t="s">
        <v>63</v>
      </c>
      <c r="I227" s="3" t="s">
        <v>7</v>
      </c>
      <c r="J227" s="7" t="b">
        <v>1</v>
      </c>
      <c r="K227" s="7"/>
      <c r="L227" s="7"/>
      <c r="M227" s="7"/>
      <c r="N227" s="7"/>
      <c r="O227" s="7"/>
      <c r="P227" s="7"/>
      <c r="Q227" s="7"/>
    </row>
    <row r="228" spans="1:17" ht="13.9">
      <c r="A228" s="3">
        <v>19722021</v>
      </c>
      <c r="B228" s="3">
        <v>1</v>
      </c>
      <c r="C228" s="3" t="s">
        <v>60</v>
      </c>
      <c r="D228" s="3">
        <v>9</v>
      </c>
      <c r="E228" s="3"/>
      <c r="F228" s="6">
        <v>42484</v>
      </c>
      <c r="G228" s="5">
        <v>6</v>
      </c>
      <c r="H228" s="3" t="s">
        <v>61</v>
      </c>
      <c r="I228" s="3" t="s">
        <v>7</v>
      </c>
      <c r="J228" s="7" t="b">
        <v>1</v>
      </c>
      <c r="K228" s="7"/>
      <c r="L228" s="7"/>
      <c r="M228" s="7"/>
      <c r="N228" s="7"/>
      <c r="O228" s="7"/>
      <c r="P228" s="7"/>
      <c r="Q228" s="7"/>
    </row>
    <row r="229" spans="1:17" ht="13.9">
      <c r="A229" s="3">
        <v>8918654</v>
      </c>
      <c r="B229" s="3">
        <v>1</v>
      </c>
      <c r="C229" s="3" t="s">
        <v>62</v>
      </c>
      <c r="D229" s="5">
        <v>15</v>
      </c>
      <c r="E229" s="3">
        <v>9</v>
      </c>
      <c r="F229" s="6">
        <v>42577</v>
      </c>
      <c r="G229" s="5">
        <v>6</v>
      </c>
      <c r="H229" s="3" t="s">
        <v>61</v>
      </c>
      <c r="I229" s="3" t="s">
        <v>8</v>
      </c>
      <c r="J229" s="7" t="b">
        <v>1</v>
      </c>
      <c r="K229" s="7"/>
      <c r="L229" s="7"/>
      <c r="M229" s="7"/>
      <c r="N229" s="7"/>
      <c r="O229" s="7"/>
      <c r="P229" s="7"/>
      <c r="Q229" s="7"/>
    </row>
    <row r="230" spans="1:17" ht="13.9">
      <c r="A230" s="3">
        <v>19721027</v>
      </c>
      <c r="B230" s="3">
        <v>2</v>
      </c>
      <c r="C230" s="3" t="s">
        <v>65</v>
      </c>
      <c r="D230" s="5">
        <v>10</v>
      </c>
      <c r="E230" s="3">
        <v>9</v>
      </c>
      <c r="F230" s="6">
        <v>41995</v>
      </c>
      <c r="G230" s="5">
        <v>7</v>
      </c>
      <c r="H230" s="3" t="s">
        <v>63</v>
      </c>
      <c r="I230" s="3" t="s">
        <v>7</v>
      </c>
      <c r="J230" s="7" t="b">
        <v>1</v>
      </c>
      <c r="K230" s="7"/>
      <c r="L230" s="7"/>
      <c r="M230" s="7"/>
      <c r="N230" s="7"/>
      <c r="O230" s="7"/>
      <c r="P230" s="7"/>
      <c r="Q230" s="7"/>
    </row>
    <row r="231" spans="1:17" ht="13.9">
      <c r="A231" s="3">
        <v>15714040</v>
      </c>
      <c r="B231" s="3">
        <v>9</v>
      </c>
      <c r="C231" s="3" t="s">
        <v>60</v>
      </c>
      <c r="D231" s="3">
        <v>4</v>
      </c>
      <c r="E231" s="3"/>
      <c r="F231" s="6">
        <v>39482</v>
      </c>
      <c r="G231" s="5">
        <v>14</v>
      </c>
      <c r="H231" s="3" t="s">
        <v>61</v>
      </c>
      <c r="I231" s="3" t="s">
        <v>7</v>
      </c>
      <c r="J231" s="7" t="b">
        <v>1</v>
      </c>
      <c r="K231" s="7"/>
      <c r="L231" s="7"/>
      <c r="M231" s="7"/>
      <c r="N231" s="7"/>
      <c r="O231" s="7"/>
      <c r="P231" s="7"/>
      <c r="Q231" s="7"/>
    </row>
    <row r="232" spans="1:17" ht="13.9">
      <c r="A232" s="3">
        <v>52114856</v>
      </c>
      <c r="B232" s="3">
        <v>7</v>
      </c>
      <c r="C232" s="3" t="s">
        <v>60</v>
      </c>
      <c r="D232" s="5">
        <v>17</v>
      </c>
      <c r="E232" s="3">
        <v>9</v>
      </c>
      <c r="F232" s="6">
        <v>39924</v>
      </c>
      <c r="G232" s="5">
        <v>13</v>
      </c>
      <c r="H232" s="3" t="s">
        <v>63</v>
      </c>
      <c r="I232" s="3" t="s">
        <v>7</v>
      </c>
      <c r="J232" s="7" t="b">
        <v>1</v>
      </c>
      <c r="K232" s="7"/>
      <c r="L232" s="7"/>
      <c r="M232" s="7"/>
      <c r="N232" s="7"/>
      <c r="O232" s="7"/>
      <c r="P232" s="7"/>
      <c r="Q232" s="7"/>
    </row>
    <row r="233" spans="1:17" ht="13.9">
      <c r="A233" s="3">
        <v>9121041</v>
      </c>
      <c r="B233" s="5">
        <v>12</v>
      </c>
      <c r="C233" s="3" t="s">
        <v>60</v>
      </c>
      <c r="D233" s="3">
        <v>7</v>
      </c>
      <c r="E233" s="3"/>
      <c r="F233" s="6">
        <v>38594</v>
      </c>
      <c r="G233" s="5">
        <v>17</v>
      </c>
      <c r="H233" s="3" t="s">
        <v>61</v>
      </c>
      <c r="I233" s="3" t="s">
        <v>7</v>
      </c>
      <c r="J233" s="7" t="b">
        <v>1</v>
      </c>
      <c r="K233" s="7"/>
      <c r="L233" s="7"/>
      <c r="M233" s="7"/>
      <c r="N233" s="7"/>
      <c r="O233" s="7"/>
      <c r="P233" s="7"/>
      <c r="Q233" s="7"/>
    </row>
    <row r="234" spans="1:17" ht="13.9">
      <c r="A234" s="3">
        <v>20516080</v>
      </c>
      <c r="B234" s="5">
        <v>12</v>
      </c>
      <c r="C234" s="3" t="s">
        <v>60</v>
      </c>
      <c r="D234" s="5">
        <v>17</v>
      </c>
      <c r="E234" s="3"/>
      <c r="F234" s="6">
        <v>38435</v>
      </c>
      <c r="G234" s="5">
        <v>17</v>
      </c>
      <c r="H234" s="3" t="s">
        <v>61</v>
      </c>
      <c r="I234" s="3" t="s">
        <v>7</v>
      </c>
      <c r="J234" s="7" t="b">
        <v>1</v>
      </c>
      <c r="K234" s="7"/>
      <c r="L234" s="7"/>
      <c r="M234" s="7"/>
      <c r="N234" s="7"/>
      <c r="O234" s="7"/>
      <c r="P234" s="7"/>
      <c r="Q234" s="7"/>
    </row>
    <row r="235" spans="1:17" ht="13.9">
      <c r="A235" s="5">
        <v>645416010</v>
      </c>
      <c r="B235" s="3">
        <v>7</v>
      </c>
      <c r="C235" s="3" t="s">
        <v>60</v>
      </c>
      <c r="D235" s="3">
        <v>7</v>
      </c>
      <c r="E235" s="3"/>
      <c r="F235" s="6">
        <v>40256</v>
      </c>
      <c r="G235" s="5">
        <v>12</v>
      </c>
      <c r="H235" s="3" t="s">
        <v>63</v>
      </c>
      <c r="I235" s="3" t="s">
        <v>6</v>
      </c>
      <c r="J235" s="7" t="b">
        <v>1</v>
      </c>
      <c r="K235" s="7"/>
      <c r="L235" s="7"/>
      <c r="M235" s="7"/>
      <c r="N235" s="7"/>
      <c r="O235" s="7"/>
      <c r="P235" s="7"/>
      <c r="Q235" s="7"/>
    </row>
    <row r="236" spans="1:17" ht="13.9">
      <c r="A236" s="5">
        <v>661704647</v>
      </c>
      <c r="B236" s="3">
        <v>6</v>
      </c>
      <c r="C236" s="3" t="s">
        <v>60</v>
      </c>
      <c r="D236" s="3">
        <v>7</v>
      </c>
      <c r="E236" s="3"/>
      <c r="F236" s="6">
        <v>40213</v>
      </c>
      <c r="G236" s="5">
        <v>12</v>
      </c>
      <c r="H236" s="3" t="s">
        <v>61</v>
      </c>
      <c r="I236" s="3" t="s">
        <v>7</v>
      </c>
      <c r="J236" s="7" t="b">
        <v>1</v>
      </c>
      <c r="K236" s="7"/>
      <c r="L236" s="7"/>
      <c r="M236" s="7"/>
      <c r="N236" s="7"/>
      <c r="O236" s="7"/>
      <c r="P236" s="7"/>
      <c r="Q236" s="7"/>
    </row>
    <row r="237" spans="1:17" ht="13.9">
      <c r="A237" s="5">
        <v>901112115</v>
      </c>
      <c r="B237" s="3">
        <v>8</v>
      </c>
      <c r="C237" s="3" t="s">
        <v>64</v>
      </c>
      <c r="D237" s="3">
        <v>7</v>
      </c>
      <c r="E237" s="3"/>
      <c r="F237" s="6">
        <v>39767</v>
      </c>
      <c r="G237" s="5">
        <v>14</v>
      </c>
      <c r="H237" s="3" t="s">
        <v>61</v>
      </c>
      <c r="I237" s="3" t="s">
        <v>7</v>
      </c>
      <c r="J237" s="7" t="b">
        <v>1</v>
      </c>
      <c r="K237" s="7"/>
      <c r="L237" s="7"/>
      <c r="M237" s="7"/>
      <c r="N237" s="7"/>
      <c r="O237" s="7"/>
      <c r="P237" s="7"/>
      <c r="Q237" s="7"/>
    </row>
    <row r="238" spans="1:17" ht="13.9">
      <c r="A238" s="3" t="s">
        <v>99</v>
      </c>
      <c r="B238" s="3">
        <v>3</v>
      </c>
      <c r="C238" s="3" t="s">
        <v>64</v>
      </c>
      <c r="D238" s="5">
        <v>17</v>
      </c>
      <c r="E238" s="3">
        <v>9</v>
      </c>
      <c r="F238" s="6">
        <v>41473</v>
      </c>
      <c r="G238" s="5">
        <v>9</v>
      </c>
      <c r="H238" s="3" t="s">
        <v>63</v>
      </c>
      <c r="I238" s="3" t="s">
        <v>7</v>
      </c>
      <c r="J238" s="7" t="b">
        <v>1</v>
      </c>
      <c r="K238" s="7"/>
      <c r="L238" s="7"/>
      <c r="M238" s="7"/>
      <c r="N238" s="7"/>
      <c r="O238" s="7"/>
      <c r="P238" s="7"/>
      <c r="Q238" s="7"/>
    </row>
    <row r="239" spans="1:17" ht="13.9">
      <c r="A239" s="5">
        <v>378420014</v>
      </c>
      <c r="B239" s="5">
        <v>10</v>
      </c>
      <c r="C239" s="3" t="s">
        <v>64</v>
      </c>
      <c r="D239" s="3">
        <v>7</v>
      </c>
      <c r="E239" s="3"/>
      <c r="F239" s="6">
        <v>38689</v>
      </c>
      <c r="G239" s="5">
        <v>16</v>
      </c>
      <c r="H239" s="3" t="s">
        <v>63</v>
      </c>
      <c r="I239" s="3" t="s">
        <v>4</v>
      </c>
      <c r="J239" s="7" t="b">
        <v>1</v>
      </c>
      <c r="K239" s="7"/>
      <c r="L239" s="7"/>
      <c r="M239" s="7"/>
      <c r="N239" s="7"/>
      <c r="O239" s="7"/>
      <c r="P239" s="7"/>
      <c r="Q239" s="7"/>
    </row>
    <row r="240" spans="1:17" ht="13.9">
      <c r="A240" s="3">
        <v>28123065</v>
      </c>
      <c r="B240" s="3" t="s">
        <v>41</v>
      </c>
      <c r="C240" s="3" t="s">
        <v>60</v>
      </c>
      <c r="D240" s="3">
        <v>9</v>
      </c>
      <c r="E240" s="3"/>
      <c r="F240" s="6">
        <v>42597</v>
      </c>
      <c r="G240" s="5">
        <v>6</v>
      </c>
      <c r="H240" s="3" t="s">
        <v>63</v>
      </c>
      <c r="I240" s="3" t="s">
        <v>7</v>
      </c>
      <c r="J240" s="7" t="b">
        <v>1</v>
      </c>
      <c r="K240" s="7"/>
      <c r="L240" s="7"/>
      <c r="M240" s="7"/>
      <c r="N240" s="7"/>
      <c r="O240" s="7"/>
      <c r="P240" s="7"/>
      <c r="Q240" s="7"/>
    </row>
    <row r="241" spans="1:17" ht="13.9">
      <c r="A241" s="5">
        <v>836517048</v>
      </c>
      <c r="B241" s="3">
        <v>5</v>
      </c>
      <c r="C241" s="3" t="s">
        <v>64</v>
      </c>
      <c r="D241" s="5">
        <v>17</v>
      </c>
      <c r="E241" s="3"/>
      <c r="F241" s="6">
        <v>41074</v>
      </c>
      <c r="G241" s="5">
        <v>10</v>
      </c>
      <c r="H241" s="3" t="s">
        <v>63</v>
      </c>
      <c r="I241" s="3" t="s">
        <v>7</v>
      </c>
      <c r="J241" s="7" t="b">
        <v>1</v>
      </c>
      <c r="K241" s="7"/>
      <c r="L241" s="7"/>
      <c r="M241" s="7"/>
      <c r="N241" s="7"/>
      <c r="O241" s="7"/>
      <c r="P241" s="7"/>
      <c r="Q241" s="7"/>
    </row>
    <row r="242" spans="1:17" ht="13.9">
      <c r="A242" s="3">
        <v>22920150</v>
      </c>
      <c r="B242" s="3">
        <v>1</v>
      </c>
      <c r="C242" s="3" t="s">
        <v>65</v>
      </c>
      <c r="D242" s="5">
        <v>10</v>
      </c>
      <c r="E242" s="3"/>
      <c r="F242" s="6">
        <v>42101</v>
      </c>
      <c r="G242" s="5">
        <v>7</v>
      </c>
      <c r="H242" s="3" t="s">
        <v>63</v>
      </c>
      <c r="I242" s="3" t="s">
        <v>4</v>
      </c>
      <c r="J242" s="7" t="b">
        <v>1</v>
      </c>
      <c r="K242" s="7"/>
      <c r="L242" s="7"/>
      <c r="M242" s="7"/>
      <c r="N242" s="7"/>
      <c r="O242" s="7"/>
      <c r="P242" s="7"/>
      <c r="Q242" s="7"/>
    </row>
    <row r="243" spans="1:17" ht="13.9">
      <c r="A243" s="3" t="s">
        <v>100</v>
      </c>
      <c r="B243" s="3">
        <v>2</v>
      </c>
      <c r="C243" s="3" t="s">
        <v>60</v>
      </c>
      <c r="D243" s="3">
        <v>8</v>
      </c>
      <c r="E243" s="3">
        <v>9</v>
      </c>
      <c r="F243" s="6">
        <v>42056</v>
      </c>
      <c r="G243" s="5">
        <v>7</v>
      </c>
      <c r="H243" s="3" t="s">
        <v>63</v>
      </c>
      <c r="I243" s="3" t="s">
        <v>6</v>
      </c>
      <c r="J243" s="7" t="b">
        <v>1</v>
      </c>
      <c r="K243" s="7"/>
      <c r="L243" s="7"/>
      <c r="M243" s="7"/>
      <c r="N243" s="7"/>
      <c r="O243" s="7"/>
      <c r="P243" s="7"/>
      <c r="Q243" s="7"/>
    </row>
    <row r="244" spans="1:17" ht="13.9">
      <c r="A244" s="3" t="s">
        <v>101</v>
      </c>
      <c r="B244" s="3">
        <v>4</v>
      </c>
      <c r="C244" s="3" t="s">
        <v>64</v>
      </c>
      <c r="D244" s="3">
        <v>7</v>
      </c>
      <c r="E244" s="3"/>
      <c r="F244" s="6">
        <v>41271</v>
      </c>
      <c r="G244" s="5">
        <v>9</v>
      </c>
      <c r="H244" s="3" t="s">
        <v>61</v>
      </c>
      <c r="I244" s="3" t="s">
        <v>7</v>
      </c>
      <c r="J244" s="7" t="b">
        <v>1</v>
      </c>
      <c r="K244" s="7"/>
      <c r="L244" s="7"/>
      <c r="M244" s="7"/>
      <c r="N244" s="7"/>
      <c r="O244" s="7"/>
      <c r="P244" s="7"/>
      <c r="Q244" s="7"/>
    </row>
    <row r="245" spans="1:17" ht="13.9">
      <c r="A245" s="3">
        <v>27518008</v>
      </c>
      <c r="B245" s="3">
        <v>5</v>
      </c>
      <c r="C245" s="3" t="s">
        <v>60</v>
      </c>
      <c r="D245" s="5">
        <v>17</v>
      </c>
      <c r="E245" s="3"/>
      <c r="F245" s="6">
        <v>41015</v>
      </c>
      <c r="G245" s="5">
        <v>10</v>
      </c>
      <c r="H245" s="3" t="s">
        <v>61</v>
      </c>
      <c r="I245" s="3" t="s">
        <v>7</v>
      </c>
      <c r="J245" s="7" t="b">
        <v>1</v>
      </c>
      <c r="K245" s="7"/>
      <c r="L245" s="7"/>
      <c r="M245" s="7"/>
      <c r="N245" s="7"/>
      <c r="O245" s="7"/>
      <c r="P245" s="7"/>
      <c r="Q245" s="7"/>
    </row>
    <row r="246" spans="1:17" ht="13.9">
      <c r="A246" s="3">
        <v>31811743</v>
      </c>
      <c r="B246" s="3">
        <v>9</v>
      </c>
      <c r="C246" s="3" t="s">
        <v>60</v>
      </c>
      <c r="D246" s="3">
        <v>7</v>
      </c>
      <c r="E246" s="3"/>
      <c r="F246" s="6">
        <v>39019</v>
      </c>
      <c r="G246" s="5">
        <v>16</v>
      </c>
      <c r="H246" s="3" t="s">
        <v>63</v>
      </c>
      <c r="I246" s="3" t="s">
        <v>4</v>
      </c>
      <c r="J246" s="7" t="b">
        <v>1</v>
      </c>
      <c r="K246" s="7"/>
      <c r="L246" s="7"/>
      <c r="M246" s="7"/>
      <c r="N246" s="7"/>
      <c r="O246" s="7"/>
      <c r="P246" s="7"/>
      <c r="Q246" s="7"/>
    </row>
    <row r="247" spans="1:17" ht="13.9">
      <c r="A247" s="3">
        <v>13615014</v>
      </c>
      <c r="B247" s="3">
        <v>8</v>
      </c>
      <c r="C247" s="3" t="s">
        <v>60</v>
      </c>
      <c r="D247" s="5">
        <v>17</v>
      </c>
      <c r="E247" s="3"/>
      <c r="F247" s="6">
        <v>39980</v>
      </c>
      <c r="G247" s="5">
        <v>13</v>
      </c>
      <c r="H247" s="3" t="s">
        <v>63</v>
      </c>
      <c r="I247" s="3" t="s">
        <v>4</v>
      </c>
      <c r="J247" s="7" t="b">
        <v>1</v>
      </c>
      <c r="K247" s="7"/>
      <c r="L247" s="7"/>
      <c r="M247" s="7"/>
      <c r="N247" s="7"/>
      <c r="O247" s="7"/>
      <c r="P247" s="7"/>
      <c r="Q247" s="7"/>
    </row>
    <row r="248" spans="1:17" ht="13.9">
      <c r="A248" s="3">
        <v>6415080</v>
      </c>
      <c r="B248" s="3">
        <v>8</v>
      </c>
      <c r="C248" s="3" t="s">
        <v>60</v>
      </c>
      <c r="D248" s="5">
        <v>17</v>
      </c>
      <c r="E248" s="3"/>
      <c r="F248" s="9">
        <v>39948</v>
      </c>
      <c r="G248" s="5">
        <v>13</v>
      </c>
      <c r="H248" s="3" t="s">
        <v>61</v>
      </c>
      <c r="I248" s="3" t="s">
        <v>7</v>
      </c>
      <c r="J248" s="7" t="b">
        <v>1</v>
      </c>
      <c r="K248" s="7"/>
      <c r="L248" s="7"/>
      <c r="M248" s="7"/>
      <c r="N248" s="7"/>
      <c r="O248" s="7"/>
      <c r="P248" s="7"/>
      <c r="Q248" s="7"/>
    </row>
    <row r="249" spans="1:17" ht="13.9">
      <c r="A249" s="3">
        <v>22912246</v>
      </c>
      <c r="B249" s="5">
        <v>10</v>
      </c>
      <c r="C249" s="3" t="s">
        <v>60</v>
      </c>
      <c r="D249" s="5">
        <v>15</v>
      </c>
      <c r="E249" s="3"/>
      <c r="F249" s="6">
        <v>39245</v>
      </c>
      <c r="G249" s="5">
        <v>15</v>
      </c>
      <c r="H249" s="3" t="s">
        <v>63</v>
      </c>
      <c r="I249" s="3" t="s">
        <v>4</v>
      </c>
      <c r="J249" s="7" t="b">
        <v>1</v>
      </c>
      <c r="K249" s="7"/>
      <c r="L249" s="7"/>
      <c r="M249" s="7"/>
      <c r="N249" s="7"/>
      <c r="O249" s="7"/>
      <c r="P249" s="7"/>
      <c r="Q249" s="7"/>
    </row>
    <row r="250" spans="1:17" ht="13.9">
      <c r="A250" s="3">
        <v>15717082</v>
      </c>
      <c r="B250" s="3">
        <v>6</v>
      </c>
      <c r="C250" s="3" t="s">
        <v>60</v>
      </c>
      <c r="D250" s="3">
        <v>7</v>
      </c>
      <c r="E250" s="3"/>
      <c r="F250" s="6">
        <v>40485</v>
      </c>
      <c r="G250" s="5">
        <v>12</v>
      </c>
      <c r="H250" s="3" t="s">
        <v>63</v>
      </c>
      <c r="I250" s="3" t="s">
        <v>8</v>
      </c>
      <c r="J250" s="7" t="b">
        <v>1</v>
      </c>
      <c r="K250" s="7"/>
      <c r="L250" s="7"/>
      <c r="M250" s="7"/>
      <c r="N250" s="7"/>
      <c r="O250" s="7"/>
      <c r="P250" s="7"/>
      <c r="Q250" s="7"/>
    </row>
    <row r="251" spans="1:17" ht="13.9">
      <c r="A251" s="3">
        <v>28114020</v>
      </c>
      <c r="B251" s="3">
        <v>9</v>
      </c>
      <c r="C251" s="3" t="s">
        <v>60</v>
      </c>
      <c r="D251" s="3">
        <v>7</v>
      </c>
      <c r="E251" s="3"/>
      <c r="F251" s="6">
        <v>39312</v>
      </c>
      <c r="G251" s="5">
        <v>15</v>
      </c>
      <c r="H251" s="3" t="s">
        <v>61</v>
      </c>
      <c r="I251" s="3" t="s">
        <v>7</v>
      </c>
      <c r="J251" s="7" t="b">
        <v>1</v>
      </c>
      <c r="K251" s="7"/>
      <c r="L251" s="7"/>
      <c r="M251" s="7"/>
      <c r="N251" s="7"/>
      <c r="O251" s="7"/>
      <c r="P251" s="7"/>
      <c r="Q251" s="7"/>
    </row>
    <row r="252" spans="1:17" ht="13.9">
      <c r="A252" s="3">
        <v>13716041</v>
      </c>
      <c r="B252" s="3">
        <v>7</v>
      </c>
      <c r="C252" s="3" t="s">
        <v>60</v>
      </c>
      <c r="D252" s="5">
        <v>10</v>
      </c>
      <c r="E252" s="3"/>
      <c r="F252" s="6">
        <v>40130</v>
      </c>
      <c r="G252" s="5">
        <v>13</v>
      </c>
      <c r="H252" s="3" t="s">
        <v>61</v>
      </c>
      <c r="I252" s="3" t="s">
        <v>6</v>
      </c>
      <c r="J252" s="7" t="b">
        <v>1</v>
      </c>
      <c r="K252" s="7"/>
      <c r="L252" s="7"/>
      <c r="M252" s="7"/>
      <c r="N252" s="7"/>
      <c r="O252" s="7"/>
      <c r="P252" s="7"/>
      <c r="Q252" s="7"/>
    </row>
    <row r="253" spans="1:17" ht="13.9">
      <c r="A253" s="3">
        <v>2514108</v>
      </c>
      <c r="B253" s="3">
        <v>5</v>
      </c>
      <c r="C253" s="3" t="s">
        <v>65</v>
      </c>
      <c r="D253" s="5">
        <v>17</v>
      </c>
      <c r="E253" s="3">
        <v>9</v>
      </c>
      <c r="F253" s="6">
        <v>40707</v>
      </c>
      <c r="G253" s="5">
        <v>11</v>
      </c>
      <c r="H253" s="3" t="s">
        <v>63</v>
      </c>
      <c r="I253" s="3" t="s">
        <v>7</v>
      </c>
      <c r="J253" s="7" t="b">
        <v>1</v>
      </c>
      <c r="K253" s="7"/>
      <c r="L253" s="7"/>
      <c r="M253" s="7"/>
      <c r="N253" s="7"/>
      <c r="O253" s="7"/>
      <c r="P253" s="7"/>
      <c r="Q253" s="7"/>
    </row>
    <row r="254" spans="1:17" ht="13.9">
      <c r="A254" s="5">
        <v>527514186</v>
      </c>
      <c r="B254" s="3">
        <v>5</v>
      </c>
      <c r="C254" s="3" t="s">
        <v>64</v>
      </c>
      <c r="D254" s="5">
        <v>15</v>
      </c>
      <c r="E254" s="3"/>
      <c r="F254" s="6">
        <v>40743</v>
      </c>
      <c r="G254" s="5">
        <v>11</v>
      </c>
      <c r="H254" s="3" t="s">
        <v>63</v>
      </c>
      <c r="I254" s="3" t="s">
        <v>7</v>
      </c>
      <c r="J254" s="7" t="b">
        <v>1</v>
      </c>
      <c r="K254" s="7"/>
      <c r="L254" s="7"/>
      <c r="M254" s="7"/>
      <c r="N254" s="7"/>
      <c r="O254" s="7"/>
      <c r="P254" s="7"/>
      <c r="Q254" s="7"/>
    </row>
    <row r="255" spans="1:17" ht="13.9">
      <c r="A255" s="3">
        <v>7122117</v>
      </c>
      <c r="B255" s="3">
        <v>1</v>
      </c>
      <c r="C255" s="3" t="s">
        <v>60</v>
      </c>
      <c r="D255" s="5">
        <v>17</v>
      </c>
      <c r="E255" s="3"/>
      <c r="F255" s="6">
        <v>42390</v>
      </c>
      <c r="G255" s="5">
        <v>6</v>
      </c>
      <c r="H255" s="3" t="s">
        <v>63</v>
      </c>
      <c r="I255" s="3" t="s">
        <v>7</v>
      </c>
      <c r="J255" s="7" t="b">
        <v>1</v>
      </c>
      <c r="K255" s="7"/>
      <c r="L255" s="7"/>
      <c r="M255" s="7"/>
      <c r="N255" s="7"/>
      <c r="O255" s="7"/>
      <c r="P255" s="7"/>
      <c r="Q255" s="7"/>
    </row>
    <row r="256" spans="1:17" ht="13.9">
      <c r="A256" s="3">
        <v>6920022</v>
      </c>
      <c r="B256" s="3">
        <v>2</v>
      </c>
      <c r="C256" s="3" t="s">
        <v>60</v>
      </c>
      <c r="D256" s="3">
        <v>7</v>
      </c>
      <c r="E256" s="3"/>
      <c r="F256" s="6">
        <v>41618</v>
      </c>
      <c r="G256" s="5">
        <v>8</v>
      </c>
      <c r="H256" s="3" t="s">
        <v>61</v>
      </c>
      <c r="I256" s="3" t="s">
        <v>7</v>
      </c>
      <c r="J256" s="7" t="b">
        <v>1</v>
      </c>
      <c r="K256" s="7"/>
      <c r="L256" s="7"/>
      <c r="M256" s="7"/>
      <c r="N256" s="7"/>
      <c r="O256" s="7"/>
      <c r="P256" s="7"/>
      <c r="Q256" s="7"/>
    </row>
    <row r="257" spans="1:17" ht="13.9">
      <c r="A257" s="3">
        <v>20917035</v>
      </c>
      <c r="B257" s="3">
        <v>6</v>
      </c>
      <c r="C257" s="3" t="s">
        <v>65</v>
      </c>
      <c r="D257" s="3">
        <v>5</v>
      </c>
      <c r="E257" s="3">
        <v>9</v>
      </c>
      <c r="F257" s="6">
        <v>40531</v>
      </c>
      <c r="G257" s="5">
        <v>11</v>
      </c>
      <c r="H257" s="3" t="s">
        <v>63</v>
      </c>
      <c r="I257" s="3" t="s">
        <v>7</v>
      </c>
      <c r="J257" s="7" t="b">
        <v>1</v>
      </c>
      <c r="K257" s="7"/>
      <c r="L257" s="7"/>
      <c r="M257" s="7"/>
      <c r="N257" s="7"/>
      <c r="O257" s="7"/>
      <c r="P257" s="7"/>
      <c r="Q257" s="7"/>
    </row>
    <row r="258" spans="1:17" ht="13.9">
      <c r="A258" s="3">
        <v>2019050</v>
      </c>
      <c r="B258" s="3">
        <v>4</v>
      </c>
      <c r="C258" s="3" t="s">
        <v>60</v>
      </c>
      <c r="D258" s="3">
        <v>9</v>
      </c>
      <c r="E258" s="3"/>
      <c r="F258" s="6">
        <v>41222</v>
      </c>
      <c r="G258" s="5">
        <v>10</v>
      </c>
      <c r="H258" s="3" t="s">
        <v>63</v>
      </c>
      <c r="I258" s="3" t="s">
        <v>7</v>
      </c>
      <c r="J258" s="7" t="b">
        <v>1</v>
      </c>
      <c r="K258" s="7"/>
      <c r="L258" s="7"/>
      <c r="M258" s="7"/>
      <c r="N258" s="7"/>
      <c r="O258" s="7"/>
      <c r="P258" s="7"/>
      <c r="Q258" s="7"/>
    </row>
    <row r="259" spans="1:17" ht="13.9">
      <c r="A259" s="3">
        <v>22913152</v>
      </c>
      <c r="B259" s="3">
        <v>6</v>
      </c>
      <c r="C259" s="3" t="s">
        <v>65</v>
      </c>
      <c r="D259" s="5">
        <v>10</v>
      </c>
      <c r="E259" s="3">
        <v>9</v>
      </c>
      <c r="F259" s="6">
        <v>40213</v>
      </c>
      <c r="G259" s="5">
        <v>12</v>
      </c>
      <c r="H259" s="3" t="s">
        <v>61</v>
      </c>
      <c r="I259" s="3" t="s">
        <v>7</v>
      </c>
      <c r="J259" s="7" t="b">
        <v>1</v>
      </c>
      <c r="K259" s="7"/>
      <c r="L259" s="7"/>
      <c r="M259" s="7"/>
      <c r="N259" s="7"/>
      <c r="O259" s="7"/>
      <c r="P259" s="7"/>
      <c r="Q259" s="7"/>
    </row>
    <row r="260" spans="1:17" ht="13.9">
      <c r="A260" s="5">
        <v>559312037</v>
      </c>
      <c r="B260" s="5">
        <v>10</v>
      </c>
      <c r="C260" s="3" t="s">
        <v>64</v>
      </c>
      <c r="D260" s="3">
        <v>7</v>
      </c>
      <c r="E260" s="3"/>
      <c r="F260" s="9">
        <v>38855</v>
      </c>
      <c r="G260" s="5">
        <v>16</v>
      </c>
      <c r="H260" s="3" t="s">
        <v>63</v>
      </c>
      <c r="I260" s="3" t="s">
        <v>4</v>
      </c>
      <c r="J260" s="7" t="b">
        <v>1</v>
      </c>
      <c r="K260" s="7"/>
      <c r="L260" s="7"/>
      <c r="M260" s="7"/>
      <c r="N260" s="7"/>
      <c r="O260" s="7"/>
      <c r="P260" s="7"/>
      <c r="Q260" s="7"/>
    </row>
    <row r="261" spans="1:17" ht="13.9">
      <c r="A261" s="3">
        <v>20921034</v>
      </c>
      <c r="B261" s="3">
        <v>2</v>
      </c>
      <c r="C261" s="3" t="s">
        <v>60</v>
      </c>
      <c r="D261" s="5">
        <v>17</v>
      </c>
      <c r="E261" s="3">
        <v>7</v>
      </c>
      <c r="F261" s="6">
        <v>42017</v>
      </c>
      <c r="G261" s="5">
        <v>7</v>
      </c>
      <c r="H261" s="3" t="s">
        <v>61</v>
      </c>
      <c r="I261" s="3" t="s">
        <v>7</v>
      </c>
      <c r="J261" s="7" t="b">
        <v>1</v>
      </c>
      <c r="K261" s="7"/>
      <c r="L261" s="7"/>
      <c r="M261" s="7"/>
      <c r="N261" s="7"/>
      <c r="O261" s="7"/>
      <c r="P261" s="7"/>
      <c r="Q261" s="7"/>
    </row>
    <row r="262" spans="1:17" ht="13.9">
      <c r="A262" s="3">
        <v>6818048</v>
      </c>
      <c r="B262" s="3">
        <v>5</v>
      </c>
      <c r="C262" s="3" t="s">
        <v>60</v>
      </c>
      <c r="D262" s="3">
        <v>7</v>
      </c>
      <c r="E262" s="3"/>
      <c r="F262" s="6">
        <v>41134</v>
      </c>
      <c r="G262" s="5">
        <v>10</v>
      </c>
      <c r="H262" s="3" t="s">
        <v>61</v>
      </c>
      <c r="I262" s="3" t="s">
        <v>7</v>
      </c>
      <c r="J262" s="7" t="b">
        <v>1</v>
      </c>
      <c r="K262" s="7"/>
      <c r="L262" s="7"/>
      <c r="M262" s="7"/>
      <c r="N262" s="7"/>
      <c r="O262" s="7"/>
      <c r="P262" s="7"/>
      <c r="Q262" s="7"/>
    </row>
    <row r="263" spans="1:17" ht="13.9">
      <c r="A263" s="5">
        <v>388516066</v>
      </c>
      <c r="B263" s="5">
        <v>10</v>
      </c>
      <c r="C263" s="3" t="s">
        <v>60</v>
      </c>
      <c r="D263" s="3">
        <v>7</v>
      </c>
      <c r="E263" s="3"/>
      <c r="F263" s="6">
        <v>38613</v>
      </c>
      <c r="G263" s="5">
        <v>17</v>
      </c>
      <c r="H263" s="3" t="s">
        <v>61</v>
      </c>
      <c r="I263" s="3" t="s">
        <v>7</v>
      </c>
      <c r="J263" s="7" t="b">
        <v>1</v>
      </c>
      <c r="K263" s="7"/>
      <c r="L263" s="7"/>
      <c r="M263" s="7"/>
      <c r="N263" s="7"/>
      <c r="O263" s="7"/>
      <c r="P263" s="7"/>
      <c r="Q263" s="7"/>
    </row>
    <row r="264" spans="1:17" ht="13.9">
      <c r="A264" s="3">
        <v>20515028</v>
      </c>
      <c r="B264" s="3">
        <v>7</v>
      </c>
      <c r="C264" s="3" t="s">
        <v>60</v>
      </c>
      <c r="D264" s="3">
        <v>7</v>
      </c>
      <c r="E264" s="3"/>
      <c r="F264" s="6">
        <v>40267</v>
      </c>
      <c r="G264" s="5">
        <v>12</v>
      </c>
      <c r="H264" s="3" t="s">
        <v>63</v>
      </c>
      <c r="I264" s="3" t="s">
        <v>7</v>
      </c>
      <c r="J264" s="7" t="b">
        <v>1</v>
      </c>
      <c r="K264" s="7"/>
      <c r="L264" s="7"/>
      <c r="M264" s="7"/>
      <c r="N264" s="7"/>
      <c r="O264" s="7"/>
      <c r="P264" s="7"/>
      <c r="Q264" s="7"/>
    </row>
    <row r="265" spans="1:17" ht="13.9">
      <c r="A265" s="3">
        <v>7122164</v>
      </c>
      <c r="B265" s="3">
        <v>4</v>
      </c>
      <c r="C265" s="3" t="s">
        <v>60</v>
      </c>
      <c r="D265" s="3">
        <v>7</v>
      </c>
      <c r="E265" s="3"/>
      <c r="F265" s="6">
        <v>41233</v>
      </c>
      <c r="G265" s="5">
        <v>10</v>
      </c>
      <c r="H265" s="3" t="s">
        <v>61</v>
      </c>
      <c r="I265" s="3" t="s">
        <v>7</v>
      </c>
      <c r="J265" s="7" t="b">
        <v>1</v>
      </c>
      <c r="K265" s="7"/>
      <c r="L265" s="7"/>
      <c r="M265" s="7"/>
      <c r="N265" s="7"/>
      <c r="O265" s="7"/>
      <c r="P265" s="7"/>
      <c r="Q265" s="7"/>
    </row>
    <row r="266" spans="1:17" ht="13.9">
      <c r="A266" s="3">
        <v>4109378</v>
      </c>
      <c r="B266" s="3">
        <v>8</v>
      </c>
      <c r="C266" s="3" t="s">
        <v>60</v>
      </c>
      <c r="D266" s="5">
        <v>15</v>
      </c>
      <c r="E266" s="3">
        <v>9</v>
      </c>
      <c r="F266" s="6">
        <v>39720</v>
      </c>
      <c r="G266" s="5">
        <v>14</v>
      </c>
      <c r="H266" s="3" t="s">
        <v>63</v>
      </c>
      <c r="I266" s="3" t="s">
        <v>7</v>
      </c>
      <c r="J266" s="7" t="b">
        <v>1</v>
      </c>
      <c r="K266" s="7"/>
      <c r="L266" s="7"/>
      <c r="M266" s="7"/>
      <c r="N266" s="7"/>
      <c r="O266" s="7"/>
      <c r="P266" s="7"/>
      <c r="Q266" s="7"/>
    </row>
    <row r="267" spans="1:17" ht="13.9">
      <c r="A267" s="3">
        <v>22918484</v>
      </c>
      <c r="B267" s="3" t="s">
        <v>41</v>
      </c>
      <c r="C267" s="3" t="s">
        <v>62</v>
      </c>
      <c r="D267" s="5">
        <v>14</v>
      </c>
      <c r="E267" s="3">
        <v>9</v>
      </c>
      <c r="F267" s="6">
        <v>42312</v>
      </c>
      <c r="G267" s="5">
        <v>7</v>
      </c>
      <c r="H267" s="3" t="s">
        <v>63</v>
      </c>
      <c r="I267" s="3" t="s">
        <v>8</v>
      </c>
      <c r="J267" s="7" t="b">
        <v>1</v>
      </c>
      <c r="K267" s="7"/>
      <c r="L267" s="7"/>
      <c r="M267" s="7"/>
      <c r="N267" s="7"/>
      <c r="O267" s="7"/>
      <c r="P267" s="7"/>
      <c r="Q267" s="7"/>
    </row>
    <row r="268" spans="1:17" ht="13.9">
      <c r="A268" s="3">
        <v>27015090</v>
      </c>
      <c r="B268" s="3">
        <v>9</v>
      </c>
      <c r="C268" s="3" t="s">
        <v>60</v>
      </c>
      <c r="D268" s="5">
        <v>17</v>
      </c>
      <c r="E268" s="3">
        <v>5</v>
      </c>
      <c r="F268" s="6">
        <v>39656</v>
      </c>
      <c r="G268" s="5">
        <v>14</v>
      </c>
      <c r="H268" s="3" t="s">
        <v>63</v>
      </c>
      <c r="I268" s="3" t="s">
        <v>7</v>
      </c>
      <c r="J268" s="7" t="b">
        <v>1</v>
      </c>
      <c r="K268" s="7"/>
      <c r="L268" s="7"/>
      <c r="M268" s="7"/>
      <c r="N268" s="7"/>
      <c r="O268" s="7"/>
      <c r="P268" s="7"/>
      <c r="Q268" s="7"/>
    </row>
    <row r="269" spans="1:17" ht="13.9">
      <c r="A269" s="3">
        <v>7211105</v>
      </c>
      <c r="B269" s="5">
        <v>12</v>
      </c>
      <c r="C269" s="3" t="s">
        <v>60</v>
      </c>
      <c r="D269" s="3">
        <v>7</v>
      </c>
      <c r="E269" s="3"/>
      <c r="F269" s="6">
        <v>38245</v>
      </c>
      <c r="G269" s="5">
        <v>18</v>
      </c>
      <c r="H269" s="3" t="s">
        <v>63</v>
      </c>
      <c r="I269" s="3" t="s">
        <v>4</v>
      </c>
      <c r="J269" s="7" t="b">
        <v>1</v>
      </c>
      <c r="K269" s="7"/>
      <c r="L269" s="7"/>
      <c r="M269" s="7"/>
      <c r="N269" s="7"/>
      <c r="O269" s="7"/>
      <c r="P269" s="7"/>
      <c r="Q269" s="7"/>
    </row>
    <row r="270" spans="1:17" ht="13.9">
      <c r="A270" s="3">
        <v>26917091</v>
      </c>
      <c r="B270" s="3">
        <v>6</v>
      </c>
      <c r="C270" s="3" t="s">
        <v>60</v>
      </c>
      <c r="D270" s="3">
        <v>7</v>
      </c>
      <c r="E270" s="3"/>
      <c r="F270" s="6">
        <v>40730</v>
      </c>
      <c r="G270" s="5">
        <v>11</v>
      </c>
      <c r="H270" s="3" t="s">
        <v>63</v>
      </c>
      <c r="I270" s="3" t="s">
        <v>7</v>
      </c>
      <c r="J270" s="7" t="b">
        <v>1</v>
      </c>
      <c r="K270" s="7"/>
      <c r="L270" s="7"/>
      <c r="M270" s="7"/>
      <c r="N270" s="7"/>
      <c r="O270" s="7"/>
      <c r="P270" s="7"/>
      <c r="Q270" s="7"/>
    </row>
    <row r="271" spans="1:17" ht="13.9">
      <c r="A271" s="3">
        <v>7710007</v>
      </c>
      <c r="B271" s="5">
        <v>12</v>
      </c>
      <c r="C271" s="3" t="s">
        <v>60</v>
      </c>
      <c r="D271" s="5">
        <v>17</v>
      </c>
      <c r="E271" s="3"/>
      <c r="F271" s="6">
        <v>38303</v>
      </c>
      <c r="G271" s="5">
        <v>18</v>
      </c>
      <c r="H271" s="3" t="s">
        <v>63</v>
      </c>
      <c r="I271" s="3" t="s">
        <v>4</v>
      </c>
      <c r="J271" s="7" t="b">
        <v>1</v>
      </c>
      <c r="K271" s="7"/>
      <c r="L271" s="7"/>
      <c r="M271" s="7"/>
      <c r="N271" s="7"/>
      <c r="O271" s="7"/>
      <c r="P271" s="7"/>
      <c r="Q271" s="7"/>
    </row>
    <row r="272" spans="1:17" ht="13.9">
      <c r="A272" s="3" t="s">
        <v>102</v>
      </c>
      <c r="B272" s="3">
        <v>2</v>
      </c>
      <c r="C272" s="3" t="s">
        <v>60</v>
      </c>
      <c r="D272" s="3">
        <v>9</v>
      </c>
      <c r="E272" s="3"/>
      <c r="F272" s="6">
        <v>42156</v>
      </c>
      <c r="G272" s="5">
        <v>7</v>
      </c>
      <c r="H272" s="3" t="s">
        <v>61</v>
      </c>
      <c r="I272" s="3" t="s">
        <v>7</v>
      </c>
      <c r="J272" s="7" t="b">
        <v>1</v>
      </c>
      <c r="K272" s="7"/>
      <c r="L272" s="7"/>
      <c r="M272" s="7"/>
      <c r="N272" s="7"/>
      <c r="O272" s="7"/>
      <c r="P272" s="7"/>
      <c r="Q272" s="7"/>
    </row>
    <row r="273" spans="1:17" ht="13.9">
      <c r="A273" s="5">
        <v>225508202</v>
      </c>
      <c r="B273" s="5">
        <v>11</v>
      </c>
      <c r="C273" s="3" t="s">
        <v>60</v>
      </c>
      <c r="D273" s="5">
        <v>17</v>
      </c>
      <c r="E273" s="3"/>
      <c r="F273" s="9">
        <v>38499</v>
      </c>
      <c r="G273" s="5">
        <v>17</v>
      </c>
      <c r="H273" s="3" t="s">
        <v>61</v>
      </c>
      <c r="I273" s="3" t="s">
        <v>7</v>
      </c>
      <c r="J273" s="7" t="b">
        <v>1</v>
      </c>
      <c r="K273" s="7"/>
      <c r="L273" s="7"/>
      <c r="M273" s="7"/>
      <c r="N273" s="7"/>
      <c r="O273" s="7"/>
      <c r="P273" s="7"/>
      <c r="Q273" s="7"/>
    </row>
    <row r="274" spans="1:17" ht="13.9">
      <c r="A274" s="3">
        <v>27512039</v>
      </c>
      <c r="B274" s="3">
        <v>9</v>
      </c>
      <c r="C274" s="3" t="s">
        <v>60</v>
      </c>
      <c r="D274" s="5">
        <v>17</v>
      </c>
      <c r="E274" s="3"/>
      <c r="F274" s="6">
        <v>39364</v>
      </c>
      <c r="G274" s="5">
        <v>15</v>
      </c>
      <c r="H274" s="3" t="s">
        <v>63</v>
      </c>
      <c r="I274" s="3" t="s">
        <v>4</v>
      </c>
      <c r="J274" s="7" t="b">
        <v>1</v>
      </c>
      <c r="K274" s="7"/>
      <c r="L274" s="7"/>
      <c r="M274" s="7"/>
      <c r="N274" s="7"/>
      <c r="O274" s="7"/>
      <c r="P274" s="7"/>
      <c r="Q274" s="7"/>
    </row>
    <row r="275" spans="1:17" ht="13.9">
      <c r="A275" s="3">
        <v>51307307</v>
      </c>
      <c r="B275" s="5">
        <v>12</v>
      </c>
      <c r="C275" s="3" t="s">
        <v>60</v>
      </c>
      <c r="D275" s="3">
        <v>7</v>
      </c>
      <c r="E275" s="3"/>
      <c r="F275" s="9">
        <v>37763</v>
      </c>
      <c r="G275" s="5">
        <v>19</v>
      </c>
      <c r="H275" s="3" t="s">
        <v>63</v>
      </c>
      <c r="I275" s="3" t="s">
        <v>7</v>
      </c>
      <c r="J275" s="7" t="b">
        <v>1</v>
      </c>
      <c r="K275" s="7"/>
      <c r="L275" s="7"/>
      <c r="M275" s="7"/>
      <c r="N275" s="7"/>
      <c r="O275" s="7"/>
      <c r="P275" s="7"/>
      <c r="Q275" s="7"/>
    </row>
    <row r="276" spans="1:17" ht="13.9">
      <c r="A276" s="5">
        <v>324121144</v>
      </c>
      <c r="B276" s="3">
        <v>1</v>
      </c>
      <c r="C276" s="3" t="s">
        <v>64</v>
      </c>
      <c r="D276" s="3">
        <v>7</v>
      </c>
      <c r="E276" s="3"/>
      <c r="F276" s="6">
        <v>42422</v>
      </c>
      <c r="G276" s="5">
        <v>6</v>
      </c>
      <c r="H276" s="3" t="s">
        <v>63</v>
      </c>
      <c r="I276" s="3" t="s">
        <v>7</v>
      </c>
      <c r="J276" s="7" t="b">
        <v>1</v>
      </c>
      <c r="K276" s="7"/>
      <c r="L276" s="7"/>
      <c r="M276" s="7"/>
      <c r="N276" s="7"/>
      <c r="O276" s="7"/>
      <c r="P276" s="7"/>
      <c r="Q276" s="7"/>
    </row>
    <row r="277" spans="1:17" ht="13.9">
      <c r="A277" s="3">
        <v>7115036</v>
      </c>
      <c r="B277" s="3">
        <v>8</v>
      </c>
      <c r="C277" s="3" t="s">
        <v>60</v>
      </c>
      <c r="D277" s="3">
        <v>7</v>
      </c>
      <c r="E277" s="3"/>
      <c r="F277" s="6">
        <v>39861</v>
      </c>
      <c r="G277" s="5">
        <v>13</v>
      </c>
      <c r="H277" s="3" t="s">
        <v>63</v>
      </c>
      <c r="I277" s="3" t="s">
        <v>7</v>
      </c>
      <c r="J277" s="7" t="b">
        <v>1</v>
      </c>
      <c r="K277" s="7"/>
      <c r="L277" s="7"/>
      <c r="M277" s="7"/>
      <c r="N277" s="7"/>
      <c r="O277" s="7"/>
      <c r="P277" s="7"/>
      <c r="Q277" s="7"/>
    </row>
    <row r="278" spans="1:17" ht="13.9">
      <c r="A278" s="3">
        <v>4109626</v>
      </c>
      <c r="B278" s="3">
        <v>8</v>
      </c>
      <c r="C278" s="3" t="s">
        <v>60</v>
      </c>
      <c r="D278" s="3">
        <v>7</v>
      </c>
      <c r="E278" s="3"/>
      <c r="F278" s="6">
        <v>39886</v>
      </c>
      <c r="G278" s="5">
        <v>13</v>
      </c>
      <c r="H278" s="3" t="s">
        <v>61</v>
      </c>
      <c r="I278" s="3" t="s">
        <v>7</v>
      </c>
      <c r="J278" s="7" t="b">
        <v>1</v>
      </c>
      <c r="K278" s="7"/>
      <c r="L278" s="7"/>
      <c r="M278" s="7"/>
      <c r="N278" s="7"/>
      <c r="O278" s="7"/>
      <c r="P278" s="7"/>
      <c r="Q278" s="7"/>
    </row>
    <row r="279" spans="1:17" ht="13.9">
      <c r="A279" s="3">
        <v>32321046</v>
      </c>
      <c r="B279" s="3">
        <v>1</v>
      </c>
      <c r="C279" s="3" t="s">
        <v>60</v>
      </c>
      <c r="D279" s="3">
        <v>7</v>
      </c>
      <c r="E279" s="3">
        <v>9</v>
      </c>
      <c r="F279" s="6">
        <v>42083</v>
      </c>
      <c r="G279" s="5">
        <v>7</v>
      </c>
      <c r="H279" s="3" t="s">
        <v>63</v>
      </c>
      <c r="I279" s="3" t="s">
        <v>7</v>
      </c>
      <c r="J279" s="7" t="b">
        <v>1</v>
      </c>
      <c r="K279" s="7"/>
      <c r="L279" s="7"/>
      <c r="M279" s="7"/>
      <c r="N279" s="7"/>
      <c r="O279" s="7"/>
      <c r="P279" s="7"/>
      <c r="Q279" s="7"/>
    </row>
    <row r="280" spans="1:17" ht="13.9">
      <c r="A280" s="3">
        <v>22120032</v>
      </c>
      <c r="B280" s="3">
        <v>3</v>
      </c>
      <c r="C280" s="3" t="s">
        <v>60</v>
      </c>
      <c r="D280" s="3">
        <v>9</v>
      </c>
      <c r="E280" s="3"/>
      <c r="F280" s="6">
        <v>41668</v>
      </c>
      <c r="G280" s="5">
        <v>8</v>
      </c>
      <c r="H280" s="3" t="s">
        <v>63</v>
      </c>
      <c r="I280" s="3" t="s">
        <v>7</v>
      </c>
      <c r="J280" s="7" t="b">
        <v>1</v>
      </c>
      <c r="K280" s="7"/>
      <c r="L280" s="7"/>
      <c r="M280" s="7"/>
      <c r="N280" s="7"/>
      <c r="O280" s="7"/>
      <c r="P280" s="7"/>
      <c r="Q280" s="7"/>
    </row>
    <row r="281" spans="1:17" ht="13.9">
      <c r="A281" s="3">
        <v>22917145</v>
      </c>
      <c r="B281" s="3">
        <v>2</v>
      </c>
      <c r="C281" s="3" t="s">
        <v>60</v>
      </c>
      <c r="D281" s="5">
        <v>10</v>
      </c>
      <c r="E281" s="3">
        <v>9</v>
      </c>
      <c r="F281" s="9">
        <v>41785</v>
      </c>
      <c r="G281" s="5">
        <v>8</v>
      </c>
      <c r="H281" s="3" t="s">
        <v>63</v>
      </c>
      <c r="I281" s="3" t="s">
        <v>7</v>
      </c>
      <c r="J281" s="7" t="b">
        <v>1</v>
      </c>
      <c r="K281" s="7"/>
      <c r="L281" s="7"/>
      <c r="M281" s="7"/>
      <c r="N281" s="7"/>
      <c r="O281" s="7"/>
      <c r="P281" s="7"/>
      <c r="Q281" s="7"/>
    </row>
    <row r="282" spans="1:17" ht="13.9">
      <c r="A282" s="5">
        <v>636713021</v>
      </c>
      <c r="B282" s="3">
        <v>9</v>
      </c>
      <c r="C282" s="3" t="s">
        <v>64</v>
      </c>
      <c r="D282" s="3">
        <v>7</v>
      </c>
      <c r="E282" s="3"/>
      <c r="F282" s="6">
        <v>39029</v>
      </c>
      <c r="G282" s="5">
        <v>16</v>
      </c>
      <c r="H282" s="3" t="s">
        <v>63</v>
      </c>
      <c r="I282" s="3" t="s">
        <v>7</v>
      </c>
      <c r="J282" s="7" t="b">
        <v>1</v>
      </c>
      <c r="K282" s="7"/>
      <c r="L282" s="7"/>
      <c r="M282" s="7"/>
      <c r="N282" s="7"/>
      <c r="O282" s="7"/>
      <c r="P282" s="7"/>
      <c r="Q282" s="7"/>
    </row>
    <row r="283" spans="1:17" ht="13.9">
      <c r="A283" s="3">
        <v>6818031</v>
      </c>
      <c r="B283" s="3">
        <v>5</v>
      </c>
      <c r="C283" s="3" t="s">
        <v>60</v>
      </c>
      <c r="D283" s="3">
        <v>7</v>
      </c>
      <c r="E283" s="5">
        <v>17</v>
      </c>
      <c r="F283" s="6">
        <v>40947</v>
      </c>
      <c r="G283" s="5">
        <v>10</v>
      </c>
      <c r="H283" s="3" t="s">
        <v>61</v>
      </c>
      <c r="I283" s="3" t="s">
        <v>8</v>
      </c>
      <c r="J283" s="7" t="b">
        <v>1</v>
      </c>
      <c r="K283" s="7"/>
      <c r="L283" s="7"/>
      <c r="M283" s="7"/>
      <c r="N283" s="7"/>
      <c r="O283" s="7"/>
      <c r="P283" s="7"/>
      <c r="Q283" s="7"/>
    </row>
    <row r="284" spans="1:17" ht="13.9">
      <c r="A284" s="3">
        <v>22912307</v>
      </c>
      <c r="B284" s="3">
        <v>8</v>
      </c>
      <c r="C284" s="3" t="s">
        <v>60</v>
      </c>
      <c r="D284" s="3">
        <v>9</v>
      </c>
      <c r="E284" s="3"/>
      <c r="F284" s="6">
        <v>39980</v>
      </c>
      <c r="G284" s="5">
        <v>13</v>
      </c>
      <c r="H284" s="3" t="s">
        <v>63</v>
      </c>
      <c r="I284" s="3" t="s">
        <v>7</v>
      </c>
      <c r="J284" s="7" t="b">
        <v>1</v>
      </c>
      <c r="K284" s="7"/>
      <c r="L284" s="7"/>
      <c r="M284" s="7"/>
      <c r="N284" s="7"/>
      <c r="O284" s="7"/>
      <c r="P284" s="7"/>
      <c r="Q284" s="7"/>
    </row>
    <row r="285" spans="1:17" ht="13.9">
      <c r="A285" s="3">
        <v>9414501</v>
      </c>
      <c r="B285" s="3">
        <v>7</v>
      </c>
      <c r="C285" s="3" t="s">
        <v>60</v>
      </c>
      <c r="D285" s="5">
        <v>17</v>
      </c>
      <c r="E285" s="3"/>
      <c r="F285" s="6">
        <v>40004</v>
      </c>
      <c r="G285" s="5">
        <v>13</v>
      </c>
      <c r="H285" s="3" t="s">
        <v>63</v>
      </c>
      <c r="I285" s="3" t="s">
        <v>8</v>
      </c>
      <c r="J285" s="7" t="b">
        <v>1</v>
      </c>
      <c r="K285" s="7"/>
      <c r="L285" s="7"/>
      <c r="M285" s="7"/>
      <c r="N285" s="7"/>
      <c r="O285" s="7"/>
      <c r="P285" s="7"/>
      <c r="Q285" s="7"/>
    </row>
    <row r="286" spans="1:17" ht="13.9">
      <c r="A286" s="3">
        <v>21315034</v>
      </c>
      <c r="B286" s="3">
        <v>7</v>
      </c>
      <c r="C286" s="3" t="s">
        <v>60</v>
      </c>
      <c r="D286" s="3">
        <v>7</v>
      </c>
      <c r="E286" s="3"/>
      <c r="F286" s="6">
        <v>40193</v>
      </c>
      <c r="G286" s="5">
        <v>12</v>
      </c>
      <c r="H286" s="3" t="s">
        <v>61</v>
      </c>
      <c r="I286" s="3" t="s">
        <v>7</v>
      </c>
      <c r="J286" s="7" t="b">
        <v>1</v>
      </c>
      <c r="K286" s="7"/>
      <c r="L286" s="7"/>
      <c r="M286" s="7"/>
      <c r="N286" s="7"/>
      <c r="O286" s="7"/>
      <c r="P286" s="7"/>
      <c r="Q286" s="7"/>
    </row>
    <row r="287" spans="1:17" ht="13.9">
      <c r="A287" s="3" t="s">
        <v>103</v>
      </c>
      <c r="B287" s="3">
        <v>6</v>
      </c>
      <c r="C287" s="3" t="s">
        <v>60</v>
      </c>
      <c r="D287" s="5">
        <v>17</v>
      </c>
      <c r="E287" s="3">
        <v>7</v>
      </c>
      <c r="F287" s="6">
        <v>40617</v>
      </c>
      <c r="G287" s="5">
        <v>11</v>
      </c>
      <c r="H287" s="3" t="s">
        <v>63</v>
      </c>
      <c r="I287" s="3" t="s">
        <v>7</v>
      </c>
      <c r="J287" s="7" t="b">
        <v>1</v>
      </c>
      <c r="K287" s="7"/>
      <c r="L287" s="7"/>
      <c r="M287" s="7"/>
      <c r="N287" s="7"/>
      <c r="O287" s="7"/>
      <c r="P287" s="7"/>
      <c r="Q287" s="7"/>
    </row>
    <row r="288" spans="1:17" ht="13.9">
      <c r="A288" s="3">
        <v>22912016</v>
      </c>
      <c r="B288" s="3">
        <v>8</v>
      </c>
      <c r="C288" s="3" t="s">
        <v>60</v>
      </c>
      <c r="D288" s="3">
        <v>7</v>
      </c>
      <c r="E288" s="3"/>
      <c r="F288" s="6">
        <v>39730</v>
      </c>
      <c r="G288" s="5">
        <v>14</v>
      </c>
      <c r="H288" s="3" t="s">
        <v>63</v>
      </c>
      <c r="I288" s="3" t="s">
        <v>7</v>
      </c>
      <c r="J288" s="7" t="b">
        <v>1</v>
      </c>
      <c r="K288" s="7"/>
      <c r="L288" s="7"/>
      <c r="M288" s="7"/>
      <c r="N288" s="7"/>
      <c r="O288" s="7"/>
      <c r="P288" s="7"/>
      <c r="Q288" s="7"/>
    </row>
    <row r="289" spans="1:17" ht="13.9">
      <c r="A289" s="3" t="s">
        <v>104</v>
      </c>
      <c r="B289" s="3">
        <v>6</v>
      </c>
      <c r="C289" s="3" t="s">
        <v>60</v>
      </c>
      <c r="D289" s="3">
        <v>7</v>
      </c>
      <c r="E289" s="3"/>
      <c r="F289" s="6">
        <v>40399</v>
      </c>
      <c r="G289" s="5">
        <v>12</v>
      </c>
      <c r="H289" s="3" t="s">
        <v>61</v>
      </c>
      <c r="I289" s="3" t="s">
        <v>7</v>
      </c>
      <c r="J289" s="7" t="b">
        <v>1</v>
      </c>
      <c r="K289" s="7"/>
      <c r="L289" s="7"/>
      <c r="M289" s="7"/>
      <c r="N289" s="7"/>
      <c r="O289" s="7"/>
      <c r="P289" s="7"/>
      <c r="Q289" s="7"/>
    </row>
    <row r="290" spans="1:17" ht="13.9">
      <c r="A290" s="3">
        <v>13719076</v>
      </c>
      <c r="B290" s="3">
        <v>4</v>
      </c>
      <c r="C290" s="3" t="s">
        <v>62</v>
      </c>
      <c r="D290" s="3">
        <v>7</v>
      </c>
      <c r="E290" s="3"/>
      <c r="F290" s="6">
        <v>41298</v>
      </c>
      <c r="G290" s="5">
        <v>9</v>
      </c>
      <c r="H290" s="3" t="s">
        <v>63</v>
      </c>
      <c r="I290" s="3" t="s">
        <v>4</v>
      </c>
      <c r="J290" s="7" t="b">
        <v>1</v>
      </c>
      <c r="K290" s="7"/>
      <c r="L290" s="7"/>
      <c r="M290" s="7"/>
      <c r="N290" s="7"/>
      <c r="O290" s="7"/>
      <c r="P290" s="7"/>
      <c r="Q290" s="7"/>
    </row>
    <row r="291" spans="1:17" ht="13.9">
      <c r="A291" s="3">
        <v>62909113</v>
      </c>
      <c r="B291" s="5">
        <v>11</v>
      </c>
      <c r="C291" s="3" t="s">
        <v>60</v>
      </c>
      <c r="D291" s="3">
        <v>5</v>
      </c>
      <c r="E291" s="3"/>
      <c r="F291" s="6">
        <v>38471</v>
      </c>
      <c r="G291" s="5">
        <v>17</v>
      </c>
      <c r="H291" s="3" t="s">
        <v>63</v>
      </c>
      <c r="I291" s="3" t="s">
        <v>7</v>
      </c>
      <c r="J291" s="7" t="b">
        <v>1</v>
      </c>
      <c r="K291" s="7"/>
      <c r="L291" s="7"/>
      <c r="M291" s="7"/>
      <c r="N291" s="7"/>
      <c r="O291" s="7"/>
      <c r="P291" s="7"/>
      <c r="Q291" s="7"/>
    </row>
    <row r="292" spans="1:17" ht="13.9">
      <c r="A292" s="5">
        <v>908140248</v>
      </c>
      <c r="B292" s="3">
        <v>8</v>
      </c>
      <c r="C292" s="3" t="s">
        <v>60</v>
      </c>
      <c r="D292" s="3">
        <v>7</v>
      </c>
      <c r="E292" s="3"/>
      <c r="F292" s="6">
        <v>39841</v>
      </c>
      <c r="G292" s="5">
        <v>13</v>
      </c>
      <c r="H292" s="3" t="s">
        <v>61</v>
      </c>
      <c r="I292" s="3" t="s">
        <v>7</v>
      </c>
      <c r="J292" s="7" t="b">
        <v>1</v>
      </c>
      <c r="K292" s="7"/>
      <c r="L292" s="7"/>
      <c r="M292" s="7"/>
      <c r="N292" s="7"/>
      <c r="O292" s="7"/>
      <c r="P292" s="7"/>
      <c r="Q292" s="7"/>
    </row>
    <row r="293" spans="1:17" ht="13.9">
      <c r="A293" s="3">
        <v>22912352</v>
      </c>
      <c r="B293" s="3">
        <v>8</v>
      </c>
      <c r="C293" s="3" t="s">
        <v>60</v>
      </c>
      <c r="D293" s="3">
        <v>7</v>
      </c>
      <c r="E293" s="3"/>
      <c r="F293" s="6">
        <v>39855</v>
      </c>
      <c r="G293" s="5">
        <v>13</v>
      </c>
      <c r="H293" s="3" t="s">
        <v>63</v>
      </c>
      <c r="I293" s="3" t="s">
        <v>6</v>
      </c>
      <c r="J293" s="7" t="b">
        <v>1</v>
      </c>
      <c r="K293" s="7"/>
      <c r="L293" s="7"/>
      <c r="M293" s="7"/>
      <c r="N293" s="7"/>
      <c r="O293" s="7"/>
      <c r="P293" s="7"/>
      <c r="Q293" s="7"/>
    </row>
    <row r="294" spans="1:17" ht="13.9">
      <c r="A294" s="3">
        <v>9519137</v>
      </c>
      <c r="B294" s="3">
        <v>1</v>
      </c>
      <c r="C294" s="3" t="s">
        <v>60</v>
      </c>
      <c r="D294" s="3">
        <v>9</v>
      </c>
      <c r="E294" s="3"/>
      <c r="F294" s="6">
        <v>42256</v>
      </c>
      <c r="G294" s="5">
        <v>7</v>
      </c>
      <c r="H294" s="3" t="s">
        <v>63</v>
      </c>
      <c r="I294" s="3" t="s">
        <v>7</v>
      </c>
      <c r="J294" s="7" t="b">
        <v>1</v>
      </c>
      <c r="K294" s="7"/>
      <c r="L294" s="7"/>
      <c r="M294" s="7"/>
      <c r="N294" s="7"/>
      <c r="O294" s="7"/>
      <c r="P294" s="7"/>
      <c r="Q294" s="7"/>
    </row>
    <row r="295" spans="1:17" ht="13.9">
      <c r="A295" s="5">
        <v>295710266</v>
      </c>
      <c r="B295" s="5">
        <v>11</v>
      </c>
      <c r="C295" s="3" t="s">
        <v>60</v>
      </c>
      <c r="D295" s="3">
        <v>7</v>
      </c>
      <c r="E295" s="3"/>
      <c r="F295" s="6">
        <v>38740</v>
      </c>
      <c r="G295" s="5">
        <v>16</v>
      </c>
      <c r="H295" s="3" t="s">
        <v>61</v>
      </c>
      <c r="I295" s="3" t="s">
        <v>4</v>
      </c>
      <c r="J295" s="7" t="b">
        <v>1</v>
      </c>
      <c r="K295" s="7"/>
      <c r="L295" s="7"/>
      <c r="M295" s="7"/>
      <c r="N295" s="7"/>
      <c r="O295" s="7"/>
      <c r="P295" s="7"/>
      <c r="Q295" s="7"/>
    </row>
    <row r="296" spans="1:17" ht="13.9">
      <c r="A296" s="3">
        <v>22914409</v>
      </c>
      <c r="B296" s="3">
        <v>7</v>
      </c>
      <c r="C296" s="3" t="s">
        <v>60</v>
      </c>
      <c r="D296" s="3">
        <v>7</v>
      </c>
      <c r="E296" s="3">
        <v>9</v>
      </c>
      <c r="F296" s="6">
        <v>40168</v>
      </c>
      <c r="G296" s="5">
        <v>12</v>
      </c>
      <c r="H296" s="3" t="s">
        <v>63</v>
      </c>
      <c r="I296" s="3" t="s">
        <v>6</v>
      </c>
      <c r="J296" s="7" t="b">
        <v>1</v>
      </c>
      <c r="K296" s="7"/>
      <c r="L296" s="7"/>
      <c r="M296" s="7"/>
      <c r="N296" s="7"/>
      <c r="O296" s="7"/>
      <c r="P296" s="7"/>
      <c r="Q296" s="7"/>
    </row>
    <row r="297" spans="1:17" ht="13.9">
      <c r="A297" s="5">
        <v>159201126</v>
      </c>
      <c r="B297" s="5">
        <v>11</v>
      </c>
      <c r="C297" s="3" t="s">
        <v>65</v>
      </c>
      <c r="D297" s="3">
        <v>5</v>
      </c>
      <c r="E297" s="3"/>
      <c r="F297" s="6">
        <v>38629</v>
      </c>
      <c r="G297" s="5">
        <v>17</v>
      </c>
      <c r="H297" s="3" t="s">
        <v>63</v>
      </c>
      <c r="I297" s="3" t="s">
        <v>8</v>
      </c>
      <c r="J297" s="7" t="b">
        <v>1</v>
      </c>
      <c r="K297" s="7"/>
      <c r="L297" s="7"/>
      <c r="M297" s="7"/>
      <c r="N297" s="7"/>
      <c r="O297" s="7"/>
      <c r="P297" s="7"/>
      <c r="Q297" s="7"/>
    </row>
    <row r="298" spans="1:17" ht="13.9">
      <c r="A298" s="3">
        <v>22119005</v>
      </c>
      <c r="B298" s="3">
        <v>4</v>
      </c>
      <c r="C298" s="3" t="s">
        <v>60</v>
      </c>
      <c r="D298" s="3">
        <v>7</v>
      </c>
      <c r="E298" s="3"/>
      <c r="F298" s="6">
        <v>41464</v>
      </c>
      <c r="G298" s="5">
        <v>9</v>
      </c>
      <c r="H298" s="3" t="s">
        <v>61</v>
      </c>
      <c r="I298" s="3" t="s">
        <v>7</v>
      </c>
      <c r="J298" s="7" t="b">
        <v>1</v>
      </c>
      <c r="K298" s="7"/>
      <c r="L298" s="7"/>
      <c r="M298" s="7"/>
      <c r="N298" s="7"/>
      <c r="O298" s="7"/>
      <c r="P298" s="7"/>
      <c r="Q298" s="7"/>
    </row>
    <row r="299" spans="1:17" ht="13.9">
      <c r="A299" s="5">
        <v>472110012</v>
      </c>
      <c r="B299" s="5">
        <v>12</v>
      </c>
      <c r="C299" s="3" t="s">
        <v>64</v>
      </c>
      <c r="D299" s="5">
        <v>17</v>
      </c>
      <c r="E299" s="3"/>
      <c r="F299" s="6">
        <v>38358</v>
      </c>
      <c r="G299" s="5">
        <v>17</v>
      </c>
      <c r="H299" s="3" t="s">
        <v>63</v>
      </c>
      <c r="I299" s="3" t="s">
        <v>7</v>
      </c>
      <c r="J299" s="7" t="b">
        <v>1</v>
      </c>
      <c r="K299" s="7"/>
      <c r="L299" s="7"/>
      <c r="M299" s="7"/>
      <c r="N299" s="7"/>
      <c r="O299" s="7"/>
      <c r="P299" s="7"/>
      <c r="Q299" s="7"/>
    </row>
    <row r="300" spans="1:17" ht="13.9">
      <c r="A300" s="3">
        <v>20917022</v>
      </c>
      <c r="B300" s="3">
        <v>6</v>
      </c>
      <c r="C300" s="3" t="s">
        <v>60</v>
      </c>
      <c r="D300" s="3">
        <v>7</v>
      </c>
      <c r="E300" s="3"/>
      <c r="F300" s="6">
        <v>40360</v>
      </c>
      <c r="G300" s="5">
        <v>12</v>
      </c>
      <c r="H300" s="3" t="s">
        <v>63</v>
      </c>
      <c r="I300" s="3" t="s">
        <v>7</v>
      </c>
      <c r="J300" s="7" t="b">
        <v>1</v>
      </c>
      <c r="K300" s="7"/>
      <c r="L300" s="7"/>
      <c r="M300" s="7"/>
      <c r="N300" s="7"/>
      <c r="O300" s="7"/>
      <c r="P300" s="7"/>
      <c r="Q300" s="7"/>
    </row>
    <row r="301" spans="1:17" ht="13.9">
      <c r="A301" s="3">
        <v>18610550</v>
      </c>
      <c r="B301" s="5">
        <v>10</v>
      </c>
      <c r="C301" s="3" t="s">
        <v>62</v>
      </c>
      <c r="D301" s="5">
        <v>12</v>
      </c>
      <c r="E301" s="3"/>
      <c r="F301" s="6">
        <v>39235</v>
      </c>
      <c r="G301" s="5">
        <v>15</v>
      </c>
      <c r="H301" s="3" t="s">
        <v>61</v>
      </c>
      <c r="I301" s="3" t="s">
        <v>7</v>
      </c>
      <c r="J301" s="7" t="b">
        <v>1</v>
      </c>
      <c r="K301" s="7"/>
      <c r="L301" s="7"/>
      <c r="M301" s="7"/>
      <c r="N301" s="7"/>
      <c r="O301" s="7"/>
      <c r="P301" s="7"/>
      <c r="Q301" s="7"/>
    </row>
    <row r="302" spans="1:17" ht="13.9">
      <c r="A302" s="3">
        <v>62910009</v>
      </c>
      <c r="B302" s="5">
        <v>11</v>
      </c>
      <c r="C302" s="3" t="s">
        <v>60</v>
      </c>
      <c r="D302" s="3">
        <v>7</v>
      </c>
      <c r="E302" s="3"/>
      <c r="F302" s="6">
        <v>38920</v>
      </c>
      <c r="G302" s="5">
        <v>16</v>
      </c>
      <c r="H302" s="3" t="s">
        <v>63</v>
      </c>
      <c r="I302" s="3" t="s">
        <v>4</v>
      </c>
      <c r="J302" s="7" t="b">
        <v>1</v>
      </c>
      <c r="K302" s="7"/>
      <c r="L302" s="7"/>
      <c r="M302" s="7"/>
      <c r="N302" s="7"/>
      <c r="O302" s="7"/>
      <c r="P302" s="7"/>
      <c r="Q302" s="7"/>
    </row>
    <row r="303" spans="1:17" ht="13.9">
      <c r="A303" s="3">
        <v>4110239</v>
      </c>
      <c r="B303" s="3">
        <v>1</v>
      </c>
      <c r="C303" s="3" t="s">
        <v>60</v>
      </c>
      <c r="D303" s="5">
        <v>15</v>
      </c>
      <c r="E303" s="3">
        <v>9</v>
      </c>
      <c r="F303" s="6">
        <v>42174</v>
      </c>
      <c r="G303" s="5">
        <v>7</v>
      </c>
      <c r="H303" s="3" t="s">
        <v>61</v>
      </c>
      <c r="I303" s="3" t="s">
        <v>7</v>
      </c>
      <c r="J303" s="7" t="b">
        <v>1</v>
      </c>
      <c r="K303" s="7"/>
      <c r="L303" s="7"/>
      <c r="M303" s="7"/>
      <c r="N303" s="7"/>
      <c r="O303" s="7"/>
      <c r="P303" s="7"/>
      <c r="Q303" s="7"/>
    </row>
    <row r="304" spans="1:17" ht="13.9">
      <c r="A304" s="5">
        <v>528411441</v>
      </c>
      <c r="B304" s="5">
        <v>12</v>
      </c>
      <c r="C304" s="3" t="s">
        <v>64</v>
      </c>
      <c r="D304" s="5">
        <v>17</v>
      </c>
      <c r="E304" s="3"/>
      <c r="F304" s="6">
        <v>38429</v>
      </c>
      <c r="G304" s="5">
        <v>17</v>
      </c>
      <c r="H304" s="3" t="s">
        <v>63</v>
      </c>
      <c r="I304" s="3" t="s">
        <v>6</v>
      </c>
      <c r="J304" s="7" t="b">
        <v>1</v>
      </c>
      <c r="K304" s="7"/>
      <c r="L304" s="7"/>
      <c r="M304" s="7"/>
      <c r="N304" s="7"/>
      <c r="O304" s="7"/>
      <c r="P304" s="7"/>
      <c r="Q304" s="7"/>
    </row>
    <row r="305" spans="1:17" ht="13.9">
      <c r="A305" s="3">
        <v>6817089</v>
      </c>
      <c r="B305" s="3">
        <v>3</v>
      </c>
      <c r="C305" s="3" t="s">
        <v>65</v>
      </c>
      <c r="D305" s="5">
        <v>17</v>
      </c>
      <c r="E305" s="3"/>
      <c r="F305" s="6">
        <v>41815</v>
      </c>
      <c r="G305" s="5">
        <v>8</v>
      </c>
      <c r="H305" s="3" t="s">
        <v>63</v>
      </c>
      <c r="I305" s="3" t="s">
        <v>7</v>
      </c>
      <c r="J305" s="7" t="b">
        <v>1</v>
      </c>
      <c r="K305" s="7"/>
      <c r="L305" s="7"/>
      <c r="M305" s="7"/>
      <c r="N305" s="7"/>
      <c r="O305" s="7"/>
      <c r="P305" s="7"/>
      <c r="Q305" s="7"/>
    </row>
    <row r="306" spans="1:17" ht="13.9">
      <c r="A306" s="3">
        <v>8316108</v>
      </c>
      <c r="B306" s="3">
        <v>6</v>
      </c>
      <c r="C306" s="3" t="s">
        <v>60</v>
      </c>
      <c r="D306" s="5">
        <v>17</v>
      </c>
      <c r="E306" s="3"/>
      <c r="F306" s="6">
        <v>40720</v>
      </c>
      <c r="G306" s="5">
        <v>11</v>
      </c>
      <c r="H306" s="3" t="s">
        <v>63</v>
      </c>
      <c r="I306" s="3" t="s">
        <v>8</v>
      </c>
      <c r="J306" s="7" t="b">
        <v>1</v>
      </c>
      <c r="K306" s="7"/>
      <c r="L306" s="7"/>
      <c r="M306" s="7"/>
      <c r="N306" s="7"/>
      <c r="O306" s="7"/>
      <c r="P306" s="7"/>
      <c r="Q306" s="7"/>
    </row>
    <row r="307" spans="1:17" ht="13.9">
      <c r="A307" s="3">
        <v>35420121</v>
      </c>
      <c r="B307" s="3">
        <v>1</v>
      </c>
      <c r="C307" s="3" t="s">
        <v>60</v>
      </c>
      <c r="D307" s="3">
        <v>9</v>
      </c>
      <c r="E307" s="3"/>
      <c r="F307" s="6">
        <v>42551</v>
      </c>
      <c r="G307" s="5">
        <v>6</v>
      </c>
      <c r="H307" s="3" t="s">
        <v>63</v>
      </c>
      <c r="I307" s="3" t="s">
        <v>7</v>
      </c>
      <c r="J307" s="7" t="b">
        <v>1</v>
      </c>
      <c r="K307" s="7"/>
      <c r="L307" s="7"/>
      <c r="M307" s="7"/>
      <c r="N307" s="7"/>
      <c r="O307" s="7"/>
      <c r="P307" s="7"/>
      <c r="Q307" s="7"/>
    </row>
    <row r="308" spans="1:17" ht="13.9">
      <c r="A308" s="3">
        <v>22917219</v>
      </c>
      <c r="B308" s="3">
        <v>2</v>
      </c>
      <c r="C308" s="3" t="s">
        <v>65</v>
      </c>
      <c r="D308" s="5">
        <v>11</v>
      </c>
      <c r="E308" s="3">
        <v>9</v>
      </c>
      <c r="F308" s="6">
        <v>41844</v>
      </c>
      <c r="G308" s="5">
        <v>8</v>
      </c>
      <c r="H308" s="3" t="s">
        <v>63</v>
      </c>
      <c r="I308" s="3" t="s">
        <v>7</v>
      </c>
      <c r="J308" s="7" t="b">
        <v>1</v>
      </c>
      <c r="K308" s="7"/>
      <c r="L308" s="7"/>
      <c r="M308" s="7"/>
      <c r="N308" s="7"/>
      <c r="O308" s="7"/>
      <c r="P308" s="7"/>
      <c r="Q308" s="7"/>
    </row>
    <row r="309" spans="1:17" ht="13.9">
      <c r="A309" s="3">
        <v>18910011</v>
      </c>
      <c r="B309" s="5">
        <v>12</v>
      </c>
      <c r="C309" s="3" t="s">
        <v>60</v>
      </c>
      <c r="D309" s="3">
        <v>7</v>
      </c>
      <c r="E309" s="3"/>
      <c r="F309" s="6">
        <v>38217</v>
      </c>
      <c r="G309" s="5">
        <v>18</v>
      </c>
      <c r="H309" s="3" t="s">
        <v>61</v>
      </c>
      <c r="I309" s="3" t="s">
        <v>7</v>
      </c>
      <c r="J309" s="7" t="b">
        <v>1</v>
      </c>
      <c r="K309" s="7"/>
      <c r="L309" s="7"/>
      <c r="M309" s="7"/>
      <c r="N309" s="7"/>
      <c r="O309" s="7"/>
      <c r="P309" s="7"/>
      <c r="Q309" s="7"/>
    </row>
    <row r="310" spans="1:17" ht="13.9">
      <c r="A310" s="3">
        <v>28112025</v>
      </c>
      <c r="B310" s="5">
        <v>11</v>
      </c>
      <c r="C310" s="3" t="s">
        <v>60</v>
      </c>
      <c r="D310" s="5">
        <v>15</v>
      </c>
      <c r="E310" s="3"/>
      <c r="F310" s="9">
        <v>38862</v>
      </c>
      <c r="G310" s="5">
        <v>16</v>
      </c>
      <c r="H310" s="3" t="s">
        <v>63</v>
      </c>
      <c r="I310" s="3" t="s">
        <v>7</v>
      </c>
      <c r="J310" s="7" t="b">
        <v>1</v>
      </c>
      <c r="K310" s="7"/>
      <c r="L310" s="7"/>
      <c r="M310" s="7"/>
      <c r="N310" s="7"/>
      <c r="O310" s="7"/>
      <c r="P310" s="7"/>
      <c r="Q310" s="7"/>
    </row>
    <row r="311" spans="1:17" ht="13.9">
      <c r="A311" s="3">
        <v>13716088</v>
      </c>
      <c r="B311" s="3">
        <v>6</v>
      </c>
      <c r="C311" s="3" t="s">
        <v>60</v>
      </c>
      <c r="D311" s="3">
        <v>7</v>
      </c>
      <c r="E311" s="3">
        <v>9</v>
      </c>
      <c r="F311" s="6">
        <v>40521</v>
      </c>
      <c r="G311" s="5">
        <v>11</v>
      </c>
      <c r="H311" s="3" t="s">
        <v>61</v>
      </c>
      <c r="I311" s="3" t="s">
        <v>6</v>
      </c>
      <c r="J311" s="7" t="b">
        <v>1</v>
      </c>
      <c r="K311" s="7"/>
      <c r="L311" s="7"/>
      <c r="M311" s="7"/>
      <c r="N311" s="7"/>
      <c r="O311" s="7"/>
      <c r="P311" s="7"/>
      <c r="Q311" s="7"/>
    </row>
    <row r="312" spans="1:17" ht="13.9">
      <c r="A312" s="5">
        <v>315314114</v>
      </c>
      <c r="B312" s="3">
        <v>9</v>
      </c>
      <c r="C312" s="3" t="s">
        <v>64</v>
      </c>
      <c r="D312" s="3">
        <v>7</v>
      </c>
      <c r="E312" s="3"/>
      <c r="F312" s="6">
        <v>39654</v>
      </c>
      <c r="G312" s="5">
        <v>14</v>
      </c>
      <c r="H312" s="3" t="s">
        <v>63</v>
      </c>
      <c r="I312" s="3" t="s">
        <v>7</v>
      </c>
      <c r="J312" s="7" t="b">
        <v>1</v>
      </c>
      <c r="K312" s="7"/>
      <c r="L312" s="7"/>
      <c r="M312" s="7"/>
      <c r="N312" s="7"/>
      <c r="O312" s="7"/>
      <c r="P312" s="7"/>
      <c r="Q312" s="7"/>
    </row>
    <row r="313" spans="1:17" ht="13.9">
      <c r="A313" s="3">
        <v>7221069</v>
      </c>
      <c r="B313" s="3">
        <v>2</v>
      </c>
      <c r="C313" s="3" t="s">
        <v>60</v>
      </c>
      <c r="D313" s="3">
        <v>9</v>
      </c>
      <c r="E313" s="3"/>
      <c r="F313" s="6">
        <v>41924</v>
      </c>
      <c r="G313" s="5">
        <v>8</v>
      </c>
      <c r="H313" s="3" t="s">
        <v>63</v>
      </c>
      <c r="I313" s="3" t="s">
        <v>7</v>
      </c>
      <c r="J313" s="7" t="b">
        <v>1</v>
      </c>
      <c r="K313" s="7"/>
      <c r="L313" s="7"/>
      <c r="M313" s="7"/>
      <c r="N313" s="7"/>
      <c r="O313" s="7"/>
      <c r="P313" s="7"/>
      <c r="Q313" s="7"/>
    </row>
    <row r="314" spans="1:17" ht="13.9">
      <c r="A314" s="3">
        <v>27517063</v>
      </c>
      <c r="B314" s="3">
        <v>6</v>
      </c>
      <c r="C314" s="3" t="s">
        <v>65</v>
      </c>
      <c r="D314" s="3">
        <v>7</v>
      </c>
      <c r="E314" s="3"/>
      <c r="F314" s="6">
        <v>40654</v>
      </c>
      <c r="G314" s="5">
        <v>11</v>
      </c>
      <c r="H314" s="3" t="s">
        <v>63</v>
      </c>
      <c r="I314" s="3" t="s">
        <v>6</v>
      </c>
      <c r="J314" s="7" t="b">
        <v>1</v>
      </c>
      <c r="K314" s="7"/>
      <c r="L314" s="7"/>
      <c r="M314" s="7"/>
      <c r="N314" s="7"/>
      <c r="O314" s="7"/>
      <c r="P314" s="7"/>
      <c r="Q314" s="7"/>
    </row>
    <row r="315" spans="1:17" ht="13.9">
      <c r="A315" s="3">
        <v>7121175</v>
      </c>
      <c r="B315" s="3">
        <v>2</v>
      </c>
      <c r="C315" s="3" t="s">
        <v>60</v>
      </c>
      <c r="D315" s="3">
        <v>8</v>
      </c>
      <c r="E315" s="3"/>
      <c r="F315" s="6">
        <v>41985</v>
      </c>
      <c r="G315" s="5">
        <v>7</v>
      </c>
      <c r="H315" s="3" t="s">
        <v>63</v>
      </c>
      <c r="I315" s="3" t="s">
        <v>7</v>
      </c>
      <c r="J315" s="7" t="b">
        <v>1</v>
      </c>
      <c r="K315" s="7"/>
      <c r="L315" s="7"/>
      <c r="M315" s="7"/>
      <c r="N315" s="7"/>
      <c r="O315" s="7"/>
      <c r="P315" s="7"/>
      <c r="Q315" s="7"/>
    </row>
    <row r="316" spans="1:17" ht="13.9">
      <c r="A316" s="3">
        <v>7219094</v>
      </c>
      <c r="B316" s="3">
        <v>8</v>
      </c>
      <c r="C316" s="3" t="s">
        <v>60</v>
      </c>
      <c r="D316" s="5">
        <v>17</v>
      </c>
      <c r="E316" s="3"/>
      <c r="F316" s="6">
        <v>39716</v>
      </c>
      <c r="G316" s="5">
        <v>14</v>
      </c>
      <c r="H316" s="3" t="s">
        <v>63</v>
      </c>
      <c r="I316" s="3" t="s">
        <v>7</v>
      </c>
      <c r="J316" s="7" t="b">
        <v>1</v>
      </c>
      <c r="K316" s="7"/>
      <c r="L316" s="7"/>
      <c r="M316" s="7"/>
      <c r="N316" s="7"/>
      <c r="O316" s="7"/>
      <c r="P316" s="7"/>
      <c r="Q316" s="7"/>
    </row>
    <row r="317" spans="1:17" ht="13.9">
      <c r="A317" s="3">
        <v>31817073</v>
      </c>
      <c r="B317" s="3">
        <v>2</v>
      </c>
      <c r="C317" s="3" t="s">
        <v>60</v>
      </c>
      <c r="D317" s="3">
        <v>8</v>
      </c>
      <c r="E317" s="3"/>
      <c r="F317" s="6">
        <v>42049</v>
      </c>
      <c r="G317" s="5">
        <v>7</v>
      </c>
      <c r="H317" s="3" t="s">
        <v>63</v>
      </c>
      <c r="I317" s="3" t="s">
        <v>7</v>
      </c>
      <c r="J317" s="7" t="b">
        <v>1</v>
      </c>
      <c r="K317" s="7"/>
      <c r="L317" s="7"/>
      <c r="M317" s="7"/>
      <c r="N317" s="7"/>
      <c r="O317" s="7"/>
      <c r="P317" s="7"/>
      <c r="Q317" s="7"/>
    </row>
    <row r="318" spans="1:17" ht="13.9">
      <c r="A318" s="5">
        <v>648515039</v>
      </c>
      <c r="B318" s="3">
        <v>8</v>
      </c>
      <c r="C318" s="3" t="s">
        <v>60</v>
      </c>
      <c r="D318" s="5">
        <v>10</v>
      </c>
      <c r="E318" s="3"/>
      <c r="F318" s="9">
        <v>39944</v>
      </c>
      <c r="G318" s="5">
        <v>13</v>
      </c>
      <c r="H318" s="3" t="s">
        <v>63</v>
      </c>
      <c r="I318" s="3" t="s">
        <v>7</v>
      </c>
      <c r="J318" s="7" t="b">
        <v>1</v>
      </c>
      <c r="K318" s="7"/>
      <c r="L318" s="7"/>
      <c r="M318" s="7"/>
      <c r="N318" s="7"/>
      <c r="O318" s="7"/>
      <c r="P318" s="7"/>
      <c r="Q318" s="7"/>
    </row>
    <row r="319" spans="1:17" ht="13.9">
      <c r="A319" s="3">
        <v>8915552</v>
      </c>
      <c r="B319" s="3">
        <v>6</v>
      </c>
      <c r="C319" s="3" t="s">
        <v>60</v>
      </c>
      <c r="D319" s="3">
        <v>7</v>
      </c>
      <c r="E319" s="3"/>
      <c r="F319" s="9">
        <v>40320</v>
      </c>
      <c r="G319" s="5">
        <v>12</v>
      </c>
      <c r="H319" s="3" t="s">
        <v>61</v>
      </c>
      <c r="I319" s="3" t="s">
        <v>7</v>
      </c>
      <c r="J319" s="7" t="b">
        <v>1</v>
      </c>
      <c r="K319" s="7"/>
      <c r="L319" s="7"/>
      <c r="M319" s="7"/>
      <c r="N319" s="7"/>
      <c r="O319" s="7"/>
      <c r="P319" s="7"/>
      <c r="Q319" s="7"/>
    </row>
    <row r="320" spans="1:17" ht="13.9">
      <c r="A320" s="3">
        <v>22919070</v>
      </c>
      <c r="B320" s="3" t="s">
        <v>41</v>
      </c>
      <c r="C320" s="3" t="s">
        <v>60</v>
      </c>
      <c r="D320" s="3">
        <v>8</v>
      </c>
      <c r="E320" s="3">
        <v>9</v>
      </c>
      <c r="F320" s="6">
        <v>42434</v>
      </c>
      <c r="G320" s="5">
        <v>6</v>
      </c>
      <c r="H320" s="3" t="s">
        <v>63</v>
      </c>
      <c r="I320" s="3" t="s">
        <v>7</v>
      </c>
      <c r="J320" s="7" t="b">
        <v>1</v>
      </c>
      <c r="K320" s="7"/>
      <c r="L320" s="7"/>
      <c r="M320" s="7"/>
      <c r="N320" s="7"/>
      <c r="O320" s="7"/>
      <c r="P320" s="7"/>
      <c r="Q320" s="7"/>
    </row>
    <row r="321" spans="1:17" ht="13.9">
      <c r="A321" s="5">
        <v>324719507</v>
      </c>
      <c r="B321" s="3">
        <v>3</v>
      </c>
      <c r="C321" s="3" t="s">
        <v>64</v>
      </c>
      <c r="D321" s="3">
        <v>7</v>
      </c>
      <c r="E321" s="3">
        <v>9</v>
      </c>
      <c r="F321" s="6">
        <v>41475</v>
      </c>
      <c r="G321" s="5">
        <v>9</v>
      </c>
      <c r="H321" s="3" t="s">
        <v>63</v>
      </c>
      <c r="I321" s="3" t="s">
        <v>7</v>
      </c>
      <c r="J321" s="7" t="b">
        <v>1</v>
      </c>
      <c r="K321" s="7"/>
      <c r="L321" s="7"/>
      <c r="M321" s="7"/>
      <c r="N321" s="7"/>
      <c r="O321" s="7"/>
      <c r="P321" s="7"/>
      <c r="Q321" s="7"/>
    </row>
    <row r="322" spans="1:17" ht="13.9">
      <c r="A322" s="3">
        <v>22919313</v>
      </c>
      <c r="B322" s="3">
        <v>2</v>
      </c>
      <c r="C322" s="3" t="s">
        <v>60</v>
      </c>
      <c r="D322" s="3">
        <v>8</v>
      </c>
      <c r="E322" s="3">
        <v>9</v>
      </c>
      <c r="F322" s="6">
        <v>42165</v>
      </c>
      <c r="G322" s="5">
        <v>7</v>
      </c>
      <c r="H322" s="3" t="s">
        <v>61</v>
      </c>
      <c r="I322" s="3" t="s">
        <v>6</v>
      </c>
      <c r="J322" s="7" t="b">
        <v>1</v>
      </c>
      <c r="K322" s="7"/>
      <c r="L322" s="7"/>
      <c r="M322" s="7"/>
      <c r="N322" s="7"/>
      <c r="O322" s="7"/>
      <c r="P322" s="7"/>
      <c r="Q322" s="7"/>
    </row>
    <row r="323" spans="1:17" ht="13.9">
      <c r="A323" s="3">
        <v>27517039</v>
      </c>
      <c r="B323" s="3">
        <v>6</v>
      </c>
      <c r="C323" s="3" t="s">
        <v>60</v>
      </c>
      <c r="D323" s="3">
        <v>7</v>
      </c>
      <c r="E323" s="3">
        <v>9</v>
      </c>
      <c r="F323" s="6">
        <v>40644</v>
      </c>
      <c r="G323" s="5">
        <v>11</v>
      </c>
      <c r="H323" s="3" t="s">
        <v>61</v>
      </c>
      <c r="I323" s="3" t="s">
        <v>7</v>
      </c>
      <c r="J323" s="7" t="b">
        <v>1</v>
      </c>
      <c r="K323" s="7"/>
      <c r="L323" s="7"/>
      <c r="M323" s="7"/>
      <c r="N323" s="7"/>
      <c r="O323" s="7"/>
      <c r="P323" s="7"/>
      <c r="Q323" s="7"/>
    </row>
    <row r="324" spans="1:17" ht="13.9">
      <c r="A324" s="3">
        <v>26518051</v>
      </c>
      <c r="B324" s="3">
        <v>3</v>
      </c>
      <c r="C324" s="3" t="s">
        <v>60</v>
      </c>
      <c r="D324" s="5">
        <v>17</v>
      </c>
      <c r="E324" s="3">
        <v>3</v>
      </c>
      <c r="F324" s="6">
        <v>41459</v>
      </c>
      <c r="G324" s="5">
        <v>9</v>
      </c>
      <c r="H324" s="3" t="s">
        <v>63</v>
      </c>
      <c r="I324" s="3" t="s">
        <v>7</v>
      </c>
      <c r="J324" s="7" t="b">
        <v>1</v>
      </c>
      <c r="K324" s="7"/>
      <c r="L324" s="7"/>
      <c r="M324" s="7"/>
      <c r="N324" s="7"/>
      <c r="O324" s="7"/>
      <c r="P324" s="7"/>
      <c r="Q324" s="7"/>
    </row>
    <row r="325" spans="1:17" ht="13.9">
      <c r="A325" s="3">
        <v>15716019</v>
      </c>
      <c r="B325" s="3">
        <v>7</v>
      </c>
      <c r="C325" s="3" t="s">
        <v>60</v>
      </c>
      <c r="D325" s="3">
        <v>7</v>
      </c>
      <c r="E325" s="3"/>
      <c r="F325" s="6">
        <v>40194</v>
      </c>
      <c r="G325" s="5">
        <v>12</v>
      </c>
      <c r="H325" s="3" t="s">
        <v>63</v>
      </c>
      <c r="I325" s="3" t="s">
        <v>6</v>
      </c>
      <c r="J325" s="7" t="b">
        <v>1</v>
      </c>
      <c r="K325" s="7"/>
      <c r="L325" s="7"/>
      <c r="M325" s="7"/>
      <c r="N325" s="7"/>
      <c r="O325" s="7"/>
      <c r="P325" s="7"/>
      <c r="Q325" s="7"/>
    </row>
    <row r="326" spans="1:17" ht="13.9">
      <c r="A326" s="3">
        <v>31815024</v>
      </c>
      <c r="B326" s="3">
        <v>6</v>
      </c>
      <c r="C326" s="3" t="s">
        <v>60</v>
      </c>
      <c r="D326" s="5">
        <v>17</v>
      </c>
      <c r="E326" s="3"/>
      <c r="F326" s="6">
        <v>40508</v>
      </c>
      <c r="G326" s="5">
        <v>12</v>
      </c>
      <c r="H326" s="3" t="s">
        <v>63</v>
      </c>
      <c r="I326" s="3" t="s">
        <v>7</v>
      </c>
      <c r="J326" s="7" t="b">
        <v>1</v>
      </c>
      <c r="K326" s="7"/>
      <c r="L326" s="7"/>
      <c r="M326" s="7"/>
      <c r="N326" s="7"/>
      <c r="O326" s="7"/>
      <c r="P326" s="7"/>
      <c r="Q326" s="7"/>
    </row>
    <row r="327" spans="1:17" ht="13.9">
      <c r="A327" s="3">
        <v>31816023</v>
      </c>
      <c r="B327" s="3">
        <v>4</v>
      </c>
      <c r="C327" s="3" t="s">
        <v>60</v>
      </c>
      <c r="D327" s="5">
        <v>15</v>
      </c>
      <c r="E327" s="3">
        <v>9</v>
      </c>
      <c r="F327" s="9">
        <v>41416</v>
      </c>
      <c r="G327" s="5">
        <v>9</v>
      </c>
      <c r="H327" s="3" t="s">
        <v>63</v>
      </c>
      <c r="I327" s="3" t="s">
        <v>7</v>
      </c>
      <c r="J327" s="7" t="b">
        <v>1</v>
      </c>
      <c r="K327" s="7"/>
      <c r="L327" s="7"/>
      <c r="M327" s="7"/>
      <c r="N327" s="7"/>
      <c r="O327" s="7"/>
      <c r="P327" s="7"/>
      <c r="Q327" s="7"/>
    </row>
    <row r="328" spans="1:17" ht="13.9">
      <c r="A328" s="3" t="s">
        <v>105</v>
      </c>
      <c r="B328" s="3" t="s">
        <v>41</v>
      </c>
      <c r="C328" s="3" t="s">
        <v>60</v>
      </c>
      <c r="D328" s="3">
        <v>9</v>
      </c>
      <c r="E328" s="3"/>
      <c r="F328" s="6">
        <v>42916</v>
      </c>
      <c r="G328" s="5">
        <v>5</v>
      </c>
      <c r="H328" s="3" t="s">
        <v>63</v>
      </c>
      <c r="I328" s="3" t="s">
        <v>8</v>
      </c>
      <c r="J328" s="7" t="b">
        <v>1</v>
      </c>
      <c r="K328" s="7"/>
      <c r="L328" s="7"/>
      <c r="M328" s="7"/>
      <c r="N328" s="7"/>
      <c r="O328" s="7"/>
      <c r="P328" s="7"/>
      <c r="Q328" s="7"/>
    </row>
    <row r="329" spans="1:17" ht="13.9">
      <c r="A329" s="3" t="s">
        <v>106</v>
      </c>
      <c r="B329" s="3">
        <v>6</v>
      </c>
      <c r="C329" s="3" t="s">
        <v>64</v>
      </c>
      <c r="D329" s="3">
        <v>9</v>
      </c>
      <c r="E329" s="3"/>
      <c r="F329" s="6">
        <v>40610</v>
      </c>
      <c r="G329" s="5">
        <v>11</v>
      </c>
      <c r="H329" s="3" t="s">
        <v>63</v>
      </c>
      <c r="I329" s="3" t="s">
        <v>7</v>
      </c>
      <c r="J329" s="7" t="b">
        <v>1</v>
      </c>
      <c r="K329" s="7"/>
      <c r="L329" s="7"/>
      <c r="M329" s="7"/>
      <c r="N329" s="7"/>
      <c r="O329" s="7"/>
      <c r="P329" s="7"/>
      <c r="Q329" s="7"/>
    </row>
    <row r="330" spans="1:17" ht="13.9">
      <c r="A330" s="5">
        <v>801716084</v>
      </c>
      <c r="B330" s="3">
        <v>9</v>
      </c>
      <c r="C330" s="3" t="s">
        <v>64</v>
      </c>
      <c r="D330" s="3">
        <v>6</v>
      </c>
      <c r="E330" s="5">
        <v>17</v>
      </c>
      <c r="F330" s="6">
        <v>39679</v>
      </c>
      <c r="G330" s="5">
        <v>14</v>
      </c>
      <c r="H330" s="3" t="s">
        <v>63</v>
      </c>
      <c r="I330" s="3" t="s">
        <v>7</v>
      </c>
      <c r="J330" s="7" t="b">
        <v>1</v>
      </c>
      <c r="K330" s="7"/>
      <c r="L330" s="7"/>
      <c r="M330" s="7"/>
      <c r="N330" s="7"/>
      <c r="O330" s="7"/>
      <c r="P330" s="7"/>
      <c r="Q330" s="7"/>
    </row>
    <row r="331" spans="1:17" ht="13.9">
      <c r="A331" s="3">
        <v>20515024</v>
      </c>
      <c r="B331" s="3">
        <v>7</v>
      </c>
      <c r="C331" s="3" t="s">
        <v>60</v>
      </c>
      <c r="D331" s="3">
        <v>7</v>
      </c>
      <c r="E331" s="3"/>
      <c r="F331" s="6">
        <v>40295</v>
      </c>
      <c r="G331" s="5">
        <v>12</v>
      </c>
      <c r="H331" s="3" t="s">
        <v>61</v>
      </c>
      <c r="I331" s="3" t="s">
        <v>7</v>
      </c>
      <c r="J331" s="7" t="b">
        <v>1</v>
      </c>
      <c r="K331" s="7"/>
      <c r="L331" s="7"/>
      <c r="M331" s="7"/>
      <c r="N331" s="7"/>
      <c r="O331" s="7"/>
      <c r="P331" s="7"/>
      <c r="Q331" s="7"/>
    </row>
    <row r="332" spans="1:17" ht="13.9">
      <c r="A332" s="3">
        <v>27521057</v>
      </c>
      <c r="B332" s="3">
        <v>2</v>
      </c>
      <c r="C332" s="3" t="s">
        <v>60</v>
      </c>
      <c r="D332" s="5">
        <v>17</v>
      </c>
      <c r="E332" s="3"/>
      <c r="F332" s="9">
        <v>42145</v>
      </c>
      <c r="G332" s="5">
        <v>7</v>
      </c>
      <c r="H332" s="3" t="s">
        <v>61</v>
      </c>
      <c r="I332" s="3" t="s">
        <v>7</v>
      </c>
      <c r="J332" s="7" t="b">
        <v>1</v>
      </c>
      <c r="K332" s="7"/>
      <c r="L332" s="7"/>
      <c r="M332" s="7"/>
      <c r="N332" s="7"/>
      <c r="O332" s="7"/>
      <c r="P332" s="7"/>
      <c r="Q332" s="7"/>
    </row>
    <row r="333" spans="1:17" ht="13.9">
      <c r="A333" s="3">
        <v>25314084</v>
      </c>
      <c r="B333" s="3">
        <v>9</v>
      </c>
      <c r="C333" s="3" t="s">
        <v>60</v>
      </c>
      <c r="D333" s="3">
        <v>7</v>
      </c>
      <c r="E333" s="3"/>
      <c r="F333" s="9">
        <v>39580</v>
      </c>
      <c r="G333" s="5">
        <v>14</v>
      </c>
      <c r="H333" s="3" t="s">
        <v>61</v>
      </c>
      <c r="I333" s="3" t="s">
        <v>7</v>
      </c>
      <c r="J333" s="7" t="b">
        <v>1</v>
      </c>
      <c r="K333" s="7"/>
      <c r="L333" s="7"/>
      <c r="M333" s="7"/>
      <c r="N333" s="7"/>
      <c r="O333" s="7"/>
      <c r="P333" s="7"/>
      <c r="Q333" s="7"/>
    </row>
    <row r="334" spans="1:17" ht="13.9">
      <c r="A334" s="3">
        <v>22919276</v>
      </c>
      <c r="B334" s="3">
        <v>3</v>
      </c>
      <c r="C334" s="3" t="s">
        <v>60</v>
      </c>
      <c r="D334" s="3">
        <v>9</v>
      </c>
      <c r="E334" s="3"/>
      <c r="F334" s="6">
        <v>41804</v>
      </c>
      <c r="G334" s="5">
        <v>8</v>
      </c>
      <c r="H334" s="3" t="s">
        <v>61</v>
      </c>
      <c r="I334" s="3" t="s">
        <v>7</v>
      </c>
      <c r="J334" s="7" t="b">
        <v>1</v>
      </c>
      <c r="K334" s="7"/>
      <c r="L334" s="7"/>
      <c r="M334" s="7"/>
      <c r="N334" s="7"/>
      <c r="O334" s="7"/>
      <c r="P334" s="7"/>
      <c r="Q334" s="7"/>
    </row>
    <row r="335" spans="1:17" ht="13.9">
      <c r="A335" s="5">
        <v>328722066</v>
      </c>
      <c r="B335" s="3">
        <v>1</v>
      </c>
      <c r="C335" s="3" t="s">
        <v>64</v>
      </c>
      <c r="D335" s="3">
        <v>7</v>
      </c>
      <c r="E335" s="3"/>
      <c r="F335" s="6">
        <v>42317</v>
      </c>
      <c r="G335" s="5">
        <v>7</v>
      </c>
      <c r="H335" s="3" t="s">
        <v>63</v>
      </c>
      <c r="I335" s="3" t="s">
        <v>7</v>
      </c>
      <c r="J335" s="7" t="b">
        <v>1</v>
      </c>
      <c r="K335" s="7"/>
      <c r="L335" s="7"/>
      <c r="M335" s="7"/>
      <c r="N335" s="7"/>
      <c r="O335" s="7"/>
      <c r="P335" s="7"/>
      <c r="Q335" s="7"/>
    </row>
    <row r="336" spans="1:17" ht="13.9">
      <c r="A336" s="3">
        <v>24122065</v>
      </c>
      <c r="B336" s="3">
        <v>1</v>
      </c>
      <c r="C336" s="3" t="s">
        <v>60</v>
      </c>
      <c r="D336" s="3">
        <v>8</v>
      </c>
      <c r="E336" s="3">
        <v>9</v>
      </c>
      <c r="F336" s="6">
        <v>42350</v>
      </c>
      <c r="G336" s="5">
        <v>6</v>
      </c>
      <c r="H336" s="3" t="s">
        <v>63</v>
      </c>
      <c r="I336" s="3" t="s">
        <v>7</v>
      </c>
      <c r="J336" s="7" t="b">
        <v>1</v>
      </c>
      <c r="K336" s="7"/>
      <c r="L336" s="7"/>
      <c r="M336" s="7"/>
      <c r="N336" s="7"/>
      <c r="O336" s="7"/>
      <c r="P336" s="7"/>
      <c r="Q336" s="7"/>
    </row>
    <row r="337" spans="1:17" ht="13.9">
      <c r="A337" s="3">
        <v>6718087</v>
      </c>
      <c r="B337" s="3">
        <v>8</v>
      </c>
      <c r="C337" s="3" t="s">
        <v>60</v>
      </c>
      <c r="D337" s="3">
        <v>7</v>
      </c>
      <c r="E337" s="3"/>
      <c r="F337" s="6">
        <v>39392</v>
      </c>
      <c r="G337" s="5">
        <v>15</v>
      </c>
      <c r="H337" s="3" t="s">
        <v>61</v>
      </c>
      <c r="I337" s="3" t="s">
        <v>7</v>
      </c>
      <c r="J337" s="7" t="b">
        <v>1</v>
      </c>
      <c r="K337" s="7"/>
      <c r="L337" s="7"/>
      <c r="M337" s="7"/>
      <c r="N337" s="7"/>
      <c r="O337" s="7"/>
      <c r="P337" s="7"/>
      <c r="Q337" s="7"/>
    </row>
    <row r="338" spans="1:17" ht="13.9">
      <c r="A338" s="3">
        <v>23316056</v>
      </c>
      <c r="B338" s="3">
        <v>6</v>
      </c>
      <c r="C338" s="3" t="s">
        <v>60</v>
      </c>
      <c r="D338" s="5">
        <v>10</v>
      </c>
      <c r="E338" s="3">
        <v>9</v>
      </c>
      <c r="F338" s="6">
        <v>40365</v>
      </c>
      <c r="G338" s="5">
        <v>12</v>
      </c>
      <c r="H338" s="3" t="s">
        <v>63</v>
      </c>
      <c r="I338" s="3" t="s">
        <v>4</v>
      </c>
      <c r="J338" s="7" t="b">
        <v>1</v>
      </c>
      <c r="K338" s="7"/>
      <c r="L338" s="7"/>
      <c r="M338" s="7"/>
      <c r="N338" s="7"/>
      <c r="O338" s="7"/>
      <c r="P338" s="7"/>
      <c r="Q338" s="7"/>
    </row>
    <row r="339" spans="1:17" ht="13.9">
      <c r="A339" s="3">
        <v>21313507</v>
      </c>
      <c r="B339" s="3">
        <v>9</v>
      </c>
      <c r="C339" s="3" t="s">
        <v>60</v>
      </c>
      <c r="D339" s="3">
        <v>7</v>
      </c>
      <c r="E339" s="3"/>
      <c r="F339" s="6">
        <v>39618</v>
      </c>
      <c r="G339" s="5">
        <v>14</v>
      </c>
      <c r="H339" s="3" t="s">
        <v>61</v>
      </c>
      <c r="I339" s="3" t="s">
        <v>6</v>
      </c>
      <c r="J339" s="7" t="b">
        <v>1</v>
      </c>
      <c r="K339" s="7"/>
      <c r="L339" s="7"/>
      <c r="M339" s="7"/>
      <c r="N339" s="7"/>
      <c r="O339" s="7"/>
      <c r="P339" s="7"/>
      <c r="Q339" s="7"/>
    </row>
    <row r="340" spans="1:17" ht="13.9">
      <c r="A340" s="3">
        <v>31016123</v>
      </c>
      <c r="B340" s="3">
        <v>7</v>
      </c>
      <c r="C340" s="3" t="s">
        <v>60</v>
      </c>
      <c r="D340" s="5">
        <v>17</v>
      </c>
      <c r="E340" s="3"/>
      <c r="F340" s="9">
        <v>40315</v>
      </c>
      <c r="G340" s="5">
        <v>12</v>
      </c>
      <c r="H340" s="3" t="s">
        <v>63</v>
      </c>
      <c r="I340" s="3" t="s">
        <v>8</v>
      </c>
      <c r="J340" s="7" t="b">
        <v>1</v>
      </c>
      <c r="K340" s="7"/>
      <c r="L340" s="7"/>
      <c r="M340" s="7"/>
      <c r="N340" s="7"/>
      <c r="O340" s="7"/>
      <c r="P340" s="7"/>
      <c r="Q340" s="7"/>
    </row>
    <row r="341" spans="1:17" ht="13.9">
      <c r="A341" s="3">
        <v>56922040</v>
      </c>
      <c r="B341" s="3">
        <v>6</v>
      </c>
      <c r="C341" s="3" t="s">
        <v>62</v>
      </c>
      <c r="D341" s="5">
        <v>17</v>
      </c>
      <c r="E341" s="3">
        <v>2</v>
      </c>
      <c r="F341" s="9">
        <v>40678</v>
      </c>
      <c r="G341" s="5">
        <v>11</v>
      </c>
      <c r="H341" s="3" t="s">
        <v>63</v>
      </c>
      <c r="I341" s="3" t="s">
        <v>7</v>
      </c>
      <c r="J341" s="7" t="b">
        <v>1</v>
      </c>
      <c r="K341" s="7"/>
      <c r="L341" s="7"/>
      <c r="M341" s="7"/>
      <c r="N341" s="7"/>
      <c r="O341" s="7"/>
      <c r="P341" s="7"/>
      <c r="Q341" s="7"/>
    </row>
    <row r="342" spans="1:17" ht="13.9">
      <c r="A342" s="3">
        <v>8919637</v>
      </c>
      <c r="B342" s="3">
        <v>1</v>
      </c>
      <c r="C342" s="3" t="s">
        <v>60</v>
      </c>
      <c r="D342" s="3">
        <v>9</v>
      </c>
      <c r="E342" s="3"/>
      <c r="F342" s="6">
        <v>42444</v>
      </c>
      <c r="G342" s="5">
        <v>6</v>
      </c>
      <c r="H342" s="3" t="s">
        <v>63</v>
      </c>
      <c r="I342" s="3" t="s">
        <v>7</v>
      </c>
      <c r="J342" s="7" t="b">
        <v>1</v>
      </c>
      <c r="K342" s="7"/>
      <c r="L342" s="7"/>
      <c r="M342" s="7"/>
      <c r="N342" s="7"/>
      <c r="O342" s="7"/>
      <c r="P342" s="7"/>
      <c r="Q342" s="7"/>
    </row>
    <row r="343" spans="1:17" ht="13.9">
      <c r="A343" s="3">
        <v>22917481</v>
      </c>
      <c r="B343" s="3">
        <v>2</v>
      </c>
      <c r="C343" s="3" t="s">
        <v>60</v>
      </c>
      <c r="D343" s="5">
        <v>15</v>
      </c>
      <c r="E343" s="3">
        <v>9</v>
      </c>
      <c r="F343" s="6">
        <v>41988</v>
      </c>
      <c r="G343" s="5">
        <v>7</v>
      </c>
      <c r="H343" s="3" t="s">
        <v>63</v>
      </c>
      <c r="I343" s="3" t="s">
        <v>6</v>
      </c>
      <c r="J343" s="7" t="b">
        <v>1</v>
      </c>
      <c r="K343" s="7"/>
      <c r="L343" s="7"/>
      <c r="M343" s="7"/>
      <c r="N343" s="7"/>
      <c r="O343" s="7"/>
      <c r="P343" s="7"/>
      <c r="Q343" s="7"/>
    </row>
    <row r="344" spans="1:17" ht="13.9">
      <c r="A344" s="3" t="s">
        <v>107</v>
      </c>
      <c r="B344" s="3">
        <v>6</v>
      </c>
      <c r="C344" s="3" t="s">
        <v>60</v>
      </c>
      <c r="D344" s="3">
        <v>7</v>
      </c>
      <c r="E344" s="3"/>
      <c r="F344" s="6">
        <v>40613</v>
      </c>
      <c r="G344" s="5">
        <v>11</v>
      </c>
      <c r="H344" s="3" t="s">
        <v>63</v>
      </c>
      <c r="I344" s="3" t="s">
        <v>7</v>
      </c>
      <c r="J344" s="7" t="b">
        <v>1</v>
      </c>
      <c r="K344" s="7"/>
      <c r="L344" s="7"/>
      <c r="M344" s="7"/>
      <c r="N344" s="7"/>
      <c r="O344" s="7"/>
      <c r="P344" s="7"/>
      <c r="Q344" s="7"/>
    </row>
    <row r="345" spans="1:17" ht="13.9">
      <c r="A345" s="3">
        <v>6818097</v>
      </c>
      <c r="B345" s="3">
        <v>8</v>
      </c>
      <c r="C345" s="3" t="s">
        <v>60</v>
      </c>
      <c r="D345" s="5">
        <v>10</v>
      </c>
      <c r="E345" s="3"/>
      <c r="F345" s="9">
        <v>39214</v>
      </c>
      <c r="G345" s="5">
        <v>15</v>
      </c>
      <c r="H345" s="3" t="s">
        <v>63</v>
      </c>
      <c r="I345" s="3" t="s">
        <v>7</v>
      </c>
      <c r="J345" s="7" t="b">
        <v>1</v>
      </c>
      <c r="K345" s="7"/>
      <c r="L345" s="7"/>
      <c r="M345" s="7"/>
      <c r="N345" s="7"/>
      <c r="O345" s="7"/>
      <c r="P345" s="7"/>
      <c r="Q345" s="7"/>
    </row>
    <row r="346" spans="1:17" ht="13.9">
      <c r="A346" s="3">
        <v>13815017</v>
      </c>
      <c r="B346" s="3">
        <v>7</v>
      </c>
      <c r="C346" s="3" t="s">
        <v>60</v>
      </c>
      <c r="D346" s="3">
        <v>7</v>
      </c>
      <c r="E346" s="3"/>
      <c r="F346" s="6">
        <v>40286</v>
      </c>
      <c r="G346" s="5">
        <v>12</v>
      </c>
      <c r="H346" s="3" t="s">
        <v>61</v>
      </c>
      <c r="I346" s="3" t="s">
        <v>4</v>
      </c>
      <c r="J346" s="7" t="b">
        <v>1</v>
      </c>
      <c r="K346" s="7"/>
      <c r="L346" s="7"/>
      <c r="M346" s="7"/>
      <c r="N346" s="7"/>
      <c r="O346" s="7"/>
      <c r="P346" s="7"/>
      <c r="Q346" s="7"/>
    </row>
    <row r="347" spans="1:17" ht="13.9">
      <c r="A347" s="3">
        <v>31012006</v>
      </c>
      <c r="B347" s="5">
        <v>10</v>
      </c>
      <c r="C347" s="3" t="s">
        <v>60</v>
      </c>
      <c r="D347" s="3">
        <v>7</v>
      </c>
      <c r="E347" s="3"/>
      <c r="F347" s="6">
        <v>39178</v>
      </c>
      <c r="G347" s="5">
        <v>15</v>
      </c>
      <c r="H347" s="3" t="s">
        <v>63</v>
      </c>
      <c r="I347" s="3" t="s">
        <v>7</v>
      </c>
      <c r="J347" s="7" t="b">
        <v>1</v>
      </c>
      <c r="K347" s="7"/>
      <c r="L347" s="7"/>
      <c r="M347" s="7"/>
      <c r="N347" s="7"/>
      <c r="O347" s="7"/>
      <c r="P347" s="7"/>
      <c r="Q347" s="7"/>
    </row>
    <row r="348" spans="1:17" ht="13.9">
      <c r="A348" s="3">
        <v>23918040</v>
      </c>
      <c r="B348" s="3">
        <v>5</v>
      </c>
      <c r="C348" s="3" t="s">
        <v>60</v>
      </c>
      <c r="D348" s="3">
        <v>9</v>
      </c>
      <c r="E348" s="3"/>
      <c r="F348" s="6">
        <v>40743</v>
      </c>
      <c r="G348" s="5">
        <v>11</v>
      </c>
      <c r="H348" s="3" t="s">
        <v>63</v>
      </c>
      <c r="I348" s="3" t="s">
        <v>7</v>
      </c>
      <c r="J348" s="7" t="b">
        <v>1</v>
      </c>
      <c r="K348" s="7"/>
      <c r="L348" s="7"/>
      <c r="M348" s="7"/>
      <c r="N348" s="7"/>
      <c r="O348" s="7"/>
      <c r="P348" s="7"/>
      <c r="Q348" s="7"/>
    </row>
    <row r="349" spans="1:17" ht="13.9">
      <c r="A349" s="3">
        <v>27016056</v>
      </c>
      <c r="B349" s="3">
        <v>7</v>
      </c>
      <c r="C349" s="3" t="s">
        <v>60</v>
      </c>
      <c r="D349" s="3">
        <v>7</v>
      </c>
      <c r="E349" s="3"/>
      <c r="F349" s="6">
        <v>40165</v>
      </c>
      <c r="G349" s="5">
        <v>12</v>
      </c>
      <c r="H349" s="3" t="s">
        <v>63</v>
      </c>
      <c r="I349" s="3" t="s">
        <v>6</v>
      </c>
      <c r="J349" s="7" t="b">
        <v>1</v>
      </c>
      <c r="K349" s="7"/>
      <c r="L349" s="7"/>
      <c r="M349" s="7"/>
      <c r="N349" s="7"/>
      <c r="O349" s="7"/>
      <c r="P349" s="7"/>
      <c r="Q349" s="7"/>
    </row>
    <row r="350" spans="1:17" ht="13.9">
      <c r="A350" s="3" t="s">
        <v>108</v>
      </c>
      <c r="B350" s="3">
        <v>6</v>
      </c>
      <c r="C350" s="3" t="s">
        <v>60</v>
      </c>
      <c r="D350" s="3">
        <v>7</v>
      </c>
      <c r="E350" s="5">
        <v>17</v>
      </c>
      <c r="F350" s="6">
        <v>40540</v>
      </c>
      <c r="G350" s="5">
        <v>11</v>
      </c>
      <c r="H350" s="3" t="s">
        <v>61</v>
      </c>
      <c r="I350" s="3" t="s">
        <v>7</v>
      </c>
      <c r="J350" s="7" t="b">
        <v>1</v>
      </c>
      <c r="K350" s="7"/>
      <c r="L350" s="7"/>
      <c r="M350" s="7"/>
      <c r="N350" s="7"/>
      <c r="O350" s="7"/>
      <c r="P350" s="7"/>
      <c r="Q350" s="7"/>
    </row>
    <row r="351" spans="1:17" ht="13.9">
      <c r="A351" s="3">
        <v>13814021</v>
      </c>
      <c r="B351" s="3">
        <v>8</v>
      </c>
      <c r="C351" s="3" t="s">
        <v>60</v>
      </c>
      <c r="D351" s="3">
        <v>7</v>
      </c>
      <c r="E351" s="3"/>
      <c r="F351" s="6">
        <v>39699</v>
      </c>
      <c r="G351" s="5">
        <v>14</v>
      </c>
      <c r="H351" s="3" t="s">
        <v>63</v>
      </c>
      <c r="I351" s="3" t="s">
        <v>6</v>
      </c>
      <c r="J351" s="7" t="b">
        <v>1</v>
      </c>
      <c r="K351" s="7"/>
      <c r="L351" s="7"/>
      <c r="M351" s="7"/>
      <c r="N351" s="7"/>
      <c r="O351" s="7"/>
      <c r="P351" s="7"/>
      <c r="Q351" s="7"/>
    </row>
    <row r="352" spans="1:17" ht="13.9">
      <c r="A352" s="3">
        <v>6816079</v>
      </c>
      <c r="B352" s="3">
        <v>4</v>
      </c>
      <c r="C352" s="3" t="s">
        <v>60</v>
      </c>
      <c r="D352" s="3">
        <v>9</v>
      </c>
      <c r="E352" s="3"/>
      <c r="F352" s="6">
        <v>40954</v>
      </c>
      <c r="G352" s="5">
        <v>10</v>
      </c>
      <c r="H352" s="3" t="s">
        <v>61</v>
      </c>
      <c r="I352" s="3" t="s">
        <v>7</v>
      </c>
      <c r="J352" s="7" t="b">
        <v>1</v>
      </c>
      <c r="K352" s="7"/>
      <c r="L352" s="7"/>
      <c r="M352" s="7"/>
      <c r="N352" s="7"/>
      <c r="O352" s="7"/>
      <c r="P352" s="7"/>
      <c r="Q352" s="7"/>
    </row>
    <row r="353" spans="1:17" ht="13.9">
      <c r="A353" s="5">
        <v>794414082</v>
      </c>
      <c r="B353" s="3">
        <v>9</v>
      </c>
      <c r="C353" s="3" t="s">
        <v>64</v>
      </c>
      <c r="D353" s="3">
        <v>5</v>
      </c>
      <c r="E353" s="3"/>
      <c r="F353" s="6">
        <v>39466</v>
      </c>
      <c r="G353" s="5">
        <v>14</v>
      </c>
      <c r="H353" s="3" t="s">
        <v>61</v>
      </c>
      <c r="I353" s="3" t="s">
        <v>7</v>
      </c>
      <c r="J353" s="7" t="b">
        <v>1</v>
      </c>
      <c r="K353" s="7"/>
      <c r="L353" s="7"/>
      <c r="M353" s="7"/>
      <c r="N353" s="7"/>
      <c r="O353" s="7"/>
      <c r="P353" s="7"/>
      <c r="Q353" s="7"/>
    </row>
    <row r="354" spans="1:17" ht="13.9">
      <c r="A354" s="3">
        <v>9416092</v>
      </c>
      <c r="B354" s="3">
        <v>6</v>
      </c>
      <c r="C354" s="3" t="s">
        <v>60</v>
      </c>
      <c r="D354" s="3">
        <v>5</v>
      </c>
      <c r="E354" s="3"/>
      <c r="F354" s="6">
        <v>40554</v>
      </c>
      <c r="G354" s="5">
        <v>11</v>
      </c>
      <c r="H354" s="3" t="s">
        <v>61</v>
      </c>
      <c r="I354" s="3" t="s">
        <v>7</v>
      </c>
      <c r="J354" s="7" t="b">
        <v>1</v>
      </c>
      <c r="K354" s="7"/>
      <c r="L354" s="7"/>
      <c r="M354" s="7"/>
      <c r="N354" s="7"/>
      <c r="O354" s="7"/>
      <c r="P354" s="7"/>
      <c r="Q354" s="7"/>
    </row>
    <row r="355" spans="1:17" ht="13.9">
      <c r="A355" s="3">
        <v>27022121</v>
      </c>
      <c r="B355" s="3">
        <v>5</v>
      </c>
      <c r="C355" s="3" t="s">
        <v>60</v>
      </c>
      <c r="D355" s="3">
        <v>9</v>
      </c>
      <c r="E355" s="3"/>
      <c r="F355" s="6">
        <v>40955</v>
      </c>
      <c r="G355" s="5">
        <v>10</v>
      </c>
      <c r="H355" s="3" t="s">
        <v>63</v>
      </c>
      <c r="I355" s="3" t="s">
        <v>6</v>
      </c>
      <c r="J355" s="7" t="b">
        <v>1</v>
      </c>
      <c r="K355" s="7"/>
      <c r="L355" s="7"/>
      <c r="M355" s="7"/>
      <c r="N355" s="7"/>
      <c r="O355" s="7"/>
      <c r="P355" s="7"/>
      <c r="Q355" s="7"/>
    </row>
    <row r="356" spans="1:17" ht="13.9">
      <c r="A356" s="3" t="s">
        <v>109</v>
      </c>
      <c r="B356" s="3">
        <v>9</v>
      </c>
      <c r="C356" s="3" t="s">
        <v>64</v>
      </c>
      <c r="D356" s="3">
        <v>9</v>
      </c>
      <c r="E356" s="3"/>
      <c r="F356" s="6">
        <v>39500</v>
      </c>
      <c r="G356" s="5">
        <v>14</v>
      </c>
      <c r="H356" s="3" t="s">
        <v>63</v>
      </c>
      <c r="I356" s="3" t="s">
        <v>7</v>
      </c>
      <c r="J356" s="7" t="b">
        <v>1</v>
      </c>
      <c r="K356" s="7"/>
      <c r="L356" s="7"/>
      <c r="M356" s="7"/>
      <c r="N356" s="7"/>
      <c r="O356" s="7"/>
      <c r="P356" s="7"/>
      <c r="Q356" s="7"/>
    </row>
    <row r="357" spans="1:17" ht="13.9">
      <c r="A357" s="5">
        <v>307312699</v>
      </c>
      <c r="B357" s="3">
        <v>7</v>
      </c>
      <c r="C357" s="3" t="s">
        <v>60</v>
      </c>
      <c r="D357" s="3">
        <v>5</v>
      </c>
      <c r="E357" s="3"/>
      <c r="F357" s="6">
        <v>40065</v>
      </c>
      <c r="G357" s="5">
        <v>13</v>
      </c>
      <c r="H357" s="3" t="s">
        <v>63</v>
      </c>
      <c r="I357" s="3" t="s">
        <v>7</v>
      </c>
      <c r="J357" s="7" t="b">
        <v>1</v>
      </c>
      <c r="K357" s="7"/>
      <c r="L357" s="7"/>
      <c r="M357" s="7"/>
      <c r="N357" s="7"/>
      <c r="O357" s="7"/>
      <c r="P357" s="7"/>
      <c r="Q357" s="7"/>
    </row>
    <row r="358" spans="1:17" ht="13.9">
      <c r="A358" s="5">
        <v>237009014</v>
      </c>
      <c r="B358" s="5">
        <v>12</v>
      </c>
      <c r="C358" s="3" t="s">
        <v>60</v>
      </c>
      <c r="D358" s="3">
        <v>7</v>
      </c>
      <c r="E358" s="3"/>
      <c r="F358" s="9">
        <v>38493</v>
      </c>
      <c r="G358" s="5">
        <v>17</v>
      </c>
      <c r="H358" s="3" t="s">
        <v>61</v>
      </c>
      <c r="I358" s="3" t="s">
        <v>4</v>
      </c>
      <c r="J358" s="7" t="b">
        <v>1</v>
      </c>
      <c r="K358" s="7"/>
      <c r="L358" s="7"/>
      <c r="M358" s="7"/>
      <c r="N358" s="7"/>
      <c r="O358" s="7"/>
      <c r="P358" s="7"/>
      <c r="Q358" s="7"/>
    </row>
    <row r="359" spans="1:17" ht="13.9">
      <c r="A359" s="3">
        <v>8317025</v>
      </c>
      <c r="B359" s="3">
        <v>6</v>
      </c>
      <c r="C359" s="3" t="s">
        <v>60</v>
      </c>
      <c r="D359" s="5">
        <v>17</v>
      </c>
      <c r="E359" s="3"/>
      <c r="F359" s="6">
        <v>40556</v>
      </c>
      <c r="G359" s="5">
        <v>11</v>
      </c>
      <c r="H359" s="3" t="s">
        <v>61</v>
      </c>
      <c r="I359" s="3" t="s">
        <v>7</v>
      </c>
      <c r="J359" s="7" t="b">
        <v>1</v>
      </c>
      <c r="K359" s="7"/>
      <c r="L359" s="7"/>
      <c r="M359" s="7"/>
      <c r="N359" s="7"/>
      <c r="O359" s="7"/>
      <c r="P359" s="7"/>
      <c r="Q359" s="7"/>
    </row>
    <row r="360" spans="1:17" ht="13.9">
      <c r="A360" s="3">
        <v>22918145</v>
      </c>
      <c r="B360" s="3">
        <v>3</v>
      </c>
      <c r="C360" s="3" t="s">
        <v>60</v>
      </c>
      <c r="D360" s="3">
        <v>8</v>
      </c>
      <c r="E360" s="3">
        <v>9</v>
      </c>
      <c r="F360" s="9">
        <v>41762</v>
      </c>
      <c r="G360" s="5">
        <v>8</v>
      </c>
      <c r="H360" s="3" t="s">
        <v>63</v>
      </c>
      <c r="I360" s="3" t="s">
        <v>7</v>
      </c>
      <c r="J360" s="7" t="b">
        <v>1</v>
      </c>
      <c r="K360" s="7"/>
      <c r="L360" s="7"/>
      <c r="M360" s="7"/>
      <c r="N360" s="7"/>
      <c r="O360" s="7"/>
      <c r="P360" s="7"/>
      <c r="Q360" s="7"/>
    </row>
    <row r="361" spans="1:17" ht="13.9">
      <c r="A361" s="3">
        <v>7119183</v>
      </c>
      <c r="B361" s="3">
        <v>1</v>
      </c>
      <c r="C361" s="3" t="s">
        <v>62</v>
      </c>
      <c r="D361" s="3">
        <v>8</v>
      </c>
      <c r="E361" s="3">
        <v>9</v>
      </c>
      <c r="F361" s="6">
        <v>42286</v>
      </c>
      <c r="G361" s="5">
        <v>7</v>
      </c>
      <c r="H361" s="3" t="s">
        <v>63</v>
      </c>
      <c r="I361" s="3" t="s">
        <v>7</v>
      </c>
      <c r="J361" s="7" t="b">
        <v>1</v>
      </c>
      <c r="K361" s="7"/>
      <c r="L361" s="7"/>
      <c r="M361" s="7"/>
      <c r="N361" s="7"/>
      <c r="O361" s="7"/>
      <c r="P361" s="7"/>
      <c r="Q361" s="7"/>
    </row>
    <row r="362" spans="1:17" ht="13.9">
      <c r="A362" s="3">
        <v>7114063</v>
      </c>
      <c r="B362" s="3">
        <v>6</v>
      </c>
      <c r="C362" s="3" t="s">
        <v>62</v>
      </c>
      <c r="D362" s="5">
        <v>11</v>
      </c>
      <c r="E362" s="3">
        <v>9</v>
      </c>
      <c r="F362" s="6">
        <v>40052</v>
      </c>
      <c r="G362" s="5">
        <v>13</v>
      </c>
      <c r="H362" s="3" t="s">
        <v>63</v>
      </c>
      <c r="I362" s="3" t="s">
        <v>7</v>
      </c>
      <c r="J362" s="7" t="b">
        <v>1</v>
      </c>
      <c r="K362" s="7"/>
      <c r="L362" s="7"/>
      <c r="M362" s="7"/>
      <c r="N362" s="7"/>
      <c r="O362" s="7"/>
      <c r="P362" s="7"/>
      <c r="Q362" s="7"/>
    </row>
    <row r="363" spans="1:17" ht="13.9">
      <c r="A363" s="3">
        <v>2015063</v>
      </c>
      <c r="B363" s="3">
        <v>8</v>
      </c>
      <c r="C363" s="3" t="s">
        <v>60</v>
      </c>
      <c r="D363" s="3">
        <v>7</v>
      </c>
      <c r="E363" s="3"/>
      <c r="F363" s="6">
        <v>39624</v>
      </c>
      <c r="G363" s="5">
        <v>14</v>
      </c>
      <c r="H363" s="3" t="s">
        <v>63</v>
      </c>
      <c r="I363" s="3" t="s">
        <v>7</v>
      </c>
      <c r="J363" s="7" t="b">
        <v>1</v>
      </c>
      <c r="K363" s="7"/>
      <c r="L363" s="7"/>
      <c r="M363" s="7"/>
      <c r="N363" s="7"/>
      <c r="O363" s="7"/>
      <c r="P363" s="7"/>
      <c r="Q363" s="7"/>
    </row>
    <row r="364" spans="1:17" ht="13.9">
      <c r="A364" s="3">
        <v>8915622</v>
      </c>
      <c r="B364" s="3">
        <v>2</v>
      </c>
      <c r="C364" s="3" t="s">
        <v>62</v>
      </c>
      <c r="D364" s="5">
        <v>15</v>
      </c>
      <c r="E364" s="3">
        <v>9</v>
      </c>
      <c r="F364" s="6">
        <v>41243</v>
      </c>
      <c r="G364" s="5">
        <v>10</v>
      </c>
      <c r="H364" s="3" t="s">
        <v>63</v>
      </c>
      <c r="I364" s="3" t="s">
        <v>6</v>
      </c>
      <c r="J364" s="7" t="b">
        <v>1</v>
      </c>
      <c r="K364" s="7"/>
      <c r="L364" s="7"/>
      <c r="M364" s="7"/>
      <c r="N364" s="7"/>
      <c r="O364" s="7"/>
      <c r="P364" s="7"/>
      <c r="Q364" s="7"/>
    </row>
    <row r="365" spans="1:17" ht="13.9">
      <c r="A365" s="3">
        <v>9618510</v>
      </c>
      <c r="B365" s="3">
        <v>1</v>
      </c>
      <c r="C365" s="3" t="s">
        <v>60</v>
      </c>
      <c r="D365" s="3">
        <v>9</v>
      </c>
      <c r="E365" s="3"/>
      <c r="F365" s="6">
        <v>42426</v>
      </c>
      <c r="G365" s="5">
        <v>6</v>
      </c>
      <c r="H365" s="3" t="s">
        <v>63</v>
      </c>
      <c r="I365" s="3" t="s">
        <v>7</v>
      </c>
      <c r="J365" s="7" t="b">
        <v>1</v>
      </c>
      <c r="K365" s="7"/>
      <c r="L365" s="7"/>
      <c r="M365" s="7"/>
      <c r="N365" s="7"/>
      <c r="O365" s="7"/>
      <c r="P365" s="7"/>
      <c r="Q365" s="7"/>
    </row>
    <row r="366" spans="1:17" ht="13.9">
      <c r="A366" s="3">
        <v>8917560</v>
      </c>
      <c r="B366" s="3">
        <v>5</v>
      </c>
      <c r="C366" s="3" t="s">
        <v>60</v>
      </c>
      <c r="D366" s="3">
        <v>7</v>
      </c>
      <c r="E366" s="3">
        <v>9</v>
      </c>
      <c r="F366" s="6">
        <v>40842</v>
      </c>
      <c r="G366" s="5">
        <v>11</v>
      </c>
      <c r="H366" s="3" t="s">
        <v>63</v>
      </c>
      <c r="I366" s="3" t="s">
        <v>7</v>
      </c>
      <c r="J366" s="7" t="b">
        <v>1</v>
      </c>
      <c r="K366" s="7"/>
      <c r="L366" s="7"/>
      <c r="M366" s="7"/>
      <c r="N366" s="7"/>
      <c r="O366" s="7"/>
      <c r="P366" s="7"/>
      <c r="Q366" s="7"/>
    </row>
    <row r="367" spans="1:17" ht="13.9">
      <c r="A367" s="3">
        <v>9520141</v>
      </c>
      <c r="B367" s="3">
        <v>2</v>
      </c>
      <c r="C367" s="3" t="s">
        <v>60</v>
      </c>
      <c r="D367" s="3">
        <v>3</v>
      </c>
      <c r="E367" s="3">
        <v>9</v>
      </c>
      <c r="F367" s="6">
        <v>41804</v>
      </c>
      <c r="G367" s="5">
        <v>8</v>
      </c>
      <c r="H367" s="3" t="s">
        <v>63</v>
      </c>
      <c r="I367" s="3" t="s">
        <v>6</v>
      </c>
      <c r="J367" s="7" t="b">
        <v>1</v>
      </c>
      <c r="K367" s="7"/>
      <c r="L367" s="7"/>
      <c r="M367" s="7"/>
      <c r="N367" s="7"/>
      <c r="O367" s="7"/>
      <c r="P367" s="7"/>
      <c r="Q367" s="7"/>
    </row>
    <row r="368" spans="1:17" ht="13.9">
      <c r="A368" s="3">
        <v>23922055</v>
      </c>
      <c r="B368" s="3">
        <v>3</v>
      </c>
      <c r="C368" s="3" t="s">
        <v>60</v>
      </c>
      <c r="D368" s="3">
        <v>9</v>
      </c>
      <c r="E368" s="3"/>
      <c r="F368" s="6">
        <v>41869</v>
      </c>
      <c r="G368" s="5">
        <v>8</v>
      </c>
      <c r="H368" s="3" t="s">
        <v>61</v>
      </c>
      <c r="I368" s="3" t="s">
        <v>4</v>
      </c>
      <c r="J368" s="7" t="b">
        <v>1</v>
      </c>
      <c r="K368" s="7"/>
      <c r="L368" s="7"/>
      <c r="M368" s="7"/>
      <c r="N368" s="7"/>
      <c r="O368" s="7"/>
      <c r="P368" s="7"/>
      <c r="Q368" s="7"/>
    </row>
    <row r="369" spans="1:17" ht="13.9">
      <c r="A369" s="3">
        <v>2514091</v>
      </c>
      <c r="B369" s="3">
        <v>6</v>
      </c>
      <c r="C369" s="3" t="s">
        <v>60</v>
      </c>
      <c r="D369" s="5">
        <v>15</v>
      </c>
      <c r="E369" s="3">
        <v>9</v>
      </c>
      <c r="F369" s="6">
        <v>40482</v>
      </c>
      <c r="G369" s="5">
        <v>12</v>
      </c>
      <c r="H369" s="3" t="s">
        <v>63</v>
      </c>
      <c r="I369" s="3" t="s">
        <v>8</v>
      </c>
      <c r="J369" s="7" t="b">
        <v>1</v>
      </c>
      <c r="K369" s="7"/>
      <c r="L369" s="7"/>
      <c r="M369" s="7"/>
      <c r="N369" s="7"/>
      <c r="O369" s="7"/>
      <c r="P369" s="7"/>
      <c r="Q369" s="7"/>
    </row>
    <row r="370" spans="1:17" ht="13.9">
      <c r="A370" s="5">
        <v>252200447</v>
      </c>
      <c r="B370" s="3">
        <v>8</v>
      </c>
      <c r="C370" s="3" t="s">
        <v>64</v>
      </c>
      <c r="D370" s="5">
        <v>15</v>
      </c>
      <c r="E370" s="3">
        <v>9</v>
      </c>
      <c r="F370" s="6">
        <v>39644</v>
      </c>
      <c r="G370" s="5">
        <v>14</v>
      </c>
      <c r="H370" s="3" t="s">
        <v>63</v>
      </c>
      <c r="I370" s="3" t="s">
        <v>4</v>
      </c>
      <c r="J370" s="7" t="b">
        <v>1</v>
      </c>
      <c r="K370" s="7"/>
      <c r="L370" s="7"/>
      <c r="M370" s="7"/>
      <c r="N370" s="7"/>
      <c r="O370" s="7"/>
      <c r="P370" s="7"/>
      <c r="Q370" s="7"/>
    </row>
    <row r="371" spans="1:17" ht="13.9">
      <c r="A371" s="3">
        <v>28116011</v>
      </c>
      <c r="B371" s="3">
        <v>7</v>
      </c>
      <c r="C371" s="3" t="s">
        <v>60</v>
      </c>
      <c r="D371" s="5">
        <v>17</v>
      </c>
      <c r="E371" s="3"/>
      <c r="F371" s="6">
        <v>40159</v>
      </c>
      <c r="G371" s="5">
        <v>12</v>
      </c>
      <c r="H371" s="3" t="s">
        <v>61</v>
      </c>
      <c r="I371" s="3" t="s">
        <v>8</v>
      </c>
      <c r="J371" s="7" t="b">
        <v>1</v>
      </c>
      <c r="K371" s="7"/>
      <c r="L371" s="7"/>
      <c r="M371" s="7"/>
      <c r="N371" s="7"/>
      <c r="O371" s="7"/>
      <c r="P371" s="7"/>
      <c r="Q371" s="7"/>
    </row>
    <row r="372" spans="1:17" ht="13.9">
      <c r="A372" s="3">
        <v>2020011</v>
      </c>
      <c r="B372" s="3" t="s">
        <v>41</v>
      </c>
      <c r="C372" s="3" t="s">
        <v>60</v>
      </c>
      <c r="D372" s="3">
        <v>8</v>
      </c>
      <c r="E372" s="3">
        <v>9</v>
      </c>
      <c r="F372" s="6">
        <v>42642</v>
      </c>
      <c r="G372" s="5">
        <v>6</v>
      </c>
      <c r="H372" s="3" t="s">
        <v>63</v>
      </c>
      <c r="I372" s="3" t="s">
        <v>7</v>
      </c>
      <c r="J372" s="7" t="b">
        <v>1</v>
      </c>
      <c r="K372" s="7"/>
      <c r="L372" s="7"/>
      <c r="M372" s="7"/>
      <c r="N372" s="7"/>
      <c r="O372" s="7"/>
      <c r="P372" s="7"/>
      <c r="Q372" s="7"/>
    </row>
    <row r="373" spans="1:17" ht="13.9">
      <c r="A373" s="3">
        <v>28117015</v>
      </c>
      <c r="B373" s="3">
        <v>6</v>
      </c>
      <c r="C373" s="3" t="s">
        <v>60</v>
      </c>
      <c r="D373" s="5">
        <v>17</v>
      </c>
      <c r="E373" s="3"/>
      <c r="F373" s="6">
        <v>40738</v>
      </c>
      <c r="G373" s="5">
        <v>11</v>
      </c>
      <c r="H373" s="3" t="s">
        <v>63</v>
      </c>
      <c r="I373" s="3" t="s">
        <v>7</v>
      </c>
      <c r="J373" s="7" t="b">
        <v>1</v>
      </c>
      <c r="K373" s="7"/>
      <c r="L373" s="7"/>
      <c r="M373" s="7"/>
      <c r="N373" s="7"/>
      <c r="O373" s="7"/>
      <c r="P373" s="7"/>
      <c r="Q373" s="7"/>
    </row>
    <row r="374" spans="1:17" ht="13.9">
      <c r="A374" s="3">
        <v>9614513</v>
      </c>
      <c r="B374" s="3">
        <v>3</v>
      </c>
      <c r="C374" s="3" t="s">
        <v>62</v>
      </c>
      <c r="D374" s="5">
        <v>15</v>
      </c>
      <c r="E374" s="3">
        <v>9</v>
      </c>
      <c r="F374" s="6">
        <v>41102</v>
      </c>
      <c r="G374" s="5">
        <v>10</v>
      </c>
      <c r="H374" s="3" t="s">
        <v>63</v>
      </c>
      <c r="I374" s="3" t="s">
        <v>7</v>
      </c>
      <c r="J374" s="7" t="b">
        <v>1</v>
      </c>
      <c r="K374" s="7"/>
      <c r="L374" s="7"/>
      <c r="M374" s="7"/>
      <c r="N374" s="7"/>
      <c r="O374" s="7"/>
      <c r="P374" s="7"/>
      <c r="Q374" s="7"/>
    </row>
    <row r="375" spans="1:17" ht="13.9">
      <c r="A375" s="3">
        <v>31814034</v>
      </c>
      <c r="B375" s="3">
        <v>5</v>
      </c>
      <c r="C375" s="3" t="s">
        <v>62</v>
      </c>
      <c r="D375" s="5">
        <v>17</v>
      </c>
      <c r="E375" s="3">
        <v>9</v>
      </c>
      <c r="F375" s="6">
        <v>40790</v>
      </c>
      <c r="G375" s="5">
        <v>11</v>
      </c>
      <c r="H375" s="3" t="s">
        <v>63</v>
      </c>
      <c r="I375" s="3" t="s">
        <v>7</v>
      </c>
      <c r="J375" s="7" t="b">
        <v>1</v>
      </c>
      <c r="K375" s="7"/>
      <c r="L375" s="7"/>
      <c r="M375" s="7"/>
      <c r="N375" s="7"/>
      <c r="O375" s="7"/>
      <c r="P375" s="7"/>
      <c r="Q375" s="7"/>
    </row>
    <row r="376" spans="1:17" ht="13.9">
      <c r="A376" s="3">
        <v>4109875</v>
      </c>
      <c r="B376" s="3">
        <v>7</v>
      </c>
      <c r="C376" s="3" t="s">
        <v>60</v>
      </c>
      <c r="D376" s="5">
        <v>17</v>
      </c>
      <c r="E376" s="3"/>
      <c r="F376" s="6">
        <v>40338</v>
      </c>
      <c r="G376" s="5">
        <v>12</v>
      </c>
      <c r="H376" s="3" t="s">
        <v>61</v>
      </c>
      <c r="I376" s="3" t="s">
        <v>8</v>
      </c>
      <c r="J376" s="7" t="b">
        <v>1</v>
      </c>
      <c r="K376" s="7"/>
      <c r="L376" s="7"/>
      <c r="M376" s="7"/>
      <c r="N376" s="7"/>
      <c r="O376" s="7"/>
      <c r="P376" s="7"/>
      <c r="Q376" s="7"/>
    </row>
    <row r="377" spans="1:17" ht="13.9">
      <c r="A377" s="3">
        <v>22919134</v>
      </c>
      <c r="B377" s="3">
        <v>4</v>
      </c>
      <c r="C377" s="3" t="s">
        <v>60</v>
      </c>
      <c r="D377" s="3">
        <v>7</v>
      </c>
      <c r="E377" s="3">
        <v>9</v>
      </c>
      <c r="F377" s="6">
        <v>41493</v>
      </c>
      <c r="G377" s="5">
        <v>9</v>
      </c>
      <c r="H377" s="3" t="s">
        <v>61</v>
      </c>
      <c r="I377" s="3" t="s">
        <v>7</v>
      </c>
      <c r="J377" s="7" t="b">
        <v>1</v>
      </c>
      <c r="K377" s="7"/>
      <c r="L377" s="7"/>
      <c r="M377" s="7"/>
      <c r="N377" s="7"/>
      <c r="O377" s="7"/>
      <c r="P377" s="7"/>
      <c r="Q377" s="7"/>
    </row>
    <row r="378" spans="1:17" ht="13.9">
      <c r="A378" s="5">
        <v>181717601</v>
      </c>
      <c r="B378" s="3">
        <v>3</v>
      </c>
      <c r="C378" s="3" t="s">
        <v>60</v>
      </c>
      <c r="D378" s="3">
        <v>8</v>
      </c>
      <c r="E378" s="3">
        <v>9</v>
      </c>
      <c r="F378" s="6">
        <v>41746</v>
      </c>
      <c r="G378" s="5">
        <v>8</v>
      </c>
      <c r="H378" s="3" t="s">
        <v>63</v>
      </c>
      <c r="I378" s="3" t="s">
        <v>6</v>
      </c>
      <c r="J378" s="7" t="b">
        <v>1</v>
      </c>
      <c r="K378" s="7"/>
      <c r="L378" s="7"/>
      <c r="M378" s="7"/>
      <c r="N378" s="7"/>
      <c r="O378" s="7"/>
      <c r="P378" s="7"/>
      <c r="Q378" s="7"/>
    </row>
    <row r="379" spans="1:17" ht="13.9">
      <c r="A379" s="3">
        <v>25312009</v>
      </c>
      <c r="B379" s="5">
        <v>11</v>
      </c>
      <c r="C379" s="3" t="s">
        <v>60</v>
      </c>
      <c r="D379" s="3">
        <v>7</v>
      </c>
      <c r="E379" s="3"/>
      <c r="F379" s="6">
        <v>38891</v>
      </c>
      <c r="G379" s="5">
        <v>16</v>
      </c>
      <c r="H379" s="3" t="s">
        <v>63</v>
      </c>
      <c r="I379" s="3" t="s">
        <v>7</v>
      </c>
      <c r="J379" s="7" t="b">
        <v>1</v>
      </c>
      <c r="K379" s="7"/>
      <c r="L379" s="7"/>
      <c r="M379" s="7"/>
      <c r="N379" s="7"/>
      <c r="O379" s="7"/>
      <c r="P379" s="7"/>
      <c r="Q379" s="7"/>
    </row>
    <row r="380" spans="1:17" ht="13.9">
      <c r="A380" s="5">
        <v>256116069</v>
      </c>
      <c r="B380" s="3">
        <v>3</v>
      </c>
      <c r="C380" s="3" t="s">
        <v>62</v>
      </c>
      <c r="D380" s="5">
        <v>11</v>
      </c>
      <c r="E380" s="3">
        <v>9</v>
      </c>
      <c r="F380" s="6">
        <v>41146</v>
      </c>
      <c r="G380" s="5">
        <v>10</v>
      </c>
      <c r="H380" s="3" t="s">
        <v>61</v>
      </c>
      <c r="I380" s="3" t="s">
        <v>8</v>
      </c>
      <c r="J380" s="7" t="b">
        <v>1</v>
      </c>
      <c r="K380" s="7"/>
      <c r="L380" s="7"/>
      <c r="M380" s="7"/>
      <c r="N380" s="7"/>
      <c r="O380" s="7"/>
      <c r="P380" s="7"/>
      <c r="Q380" s="7"/>
    </row>
    <row r="381" spans="1:17" ht="13.9">
      <c r="A381" s="3">
        <v>28120027</v>
      </c>
      <c r="B381" s="3">
        <v>3</v>
      </c>
      <c r="C381" s="3" t="s">
        <v>60</v>
      </c>
      <c r="D381" s="3">
        <v>7</v>
      </c>
      <c r="E381" s="3"/>
      <c r="F381" s="6">
        <v>41586</v>
      </c>
      <c r="G381" s="5">
        <v>9</v>
      </c>
      <c r="H381" s="3" t="s">
        <v>63</v>
      </c>
      <c r="I381" s="3" t="s">
        <v>6</v>
      </c>
      <c r="J381" s="7" t="b">
        <v>1</v>
      </c>
      <c r="K381" s="7"/>
      <c r="L381" s="7"/>
      <c r="M381" s="7"/>
      <c r="N381" s="7"/>
      <c r="O381" s="7"/>
      <c r="P381" s="7"/>
      <c r="Q381" s="7"/>
    </row>
    <row r="382" spans="1:17" ht="13.9">
      <c r="A382" s="3">
        <v>15715075</v>
      </c>
      <c r="B382" s="3">
        <v>8</v>
      </c>
      <c r="C382" s="3" t="s">
        <v>60</v>
      </c>
      <c r="D382" s="3">
        <v>7</v>
      </c>
      <c r="E382" s="3"/>
      <c r="F382" s="6">
        <v>39819</v>
      </c>
      <c r="G382" s="5">
        <v>13</v>
      </c>
      <c r="H382" s="3" t="s">
        <v>63</v>
      </c>
      <c r="I382" s="3" t="s">
        <v>4</v>
      </c>
      <c r="J382" s="7" t="b">
        <v>1</v>
      </c>
      <c r="K382" s="7"/>
      <c r="L382" s="7"/>
      <c r="M382" s="7"/>
      <c r="N382" s="7"/>
      <c r="O382" s="7"/>
      <c r="P382" s="7"/>
      <c r="Q382" s="7"/>
    </row>
    <row r="383" spans="1:17" ht="13.9">
      <c r="A383" s="5">
        <v>255120610</v>
      </c>
      <c r="B383" s="5">
        <v>12</v>
      </c>
      <c r="C383" s="3" t="s">
        <v>60</v>
      </c>
      <c r="D383" s="5">
        <v>17</v>
      </c>
      <c r="E383" s="3"/>
      <c r="F383" s="6">
        <v>38276</v>
      </c>
      <c r="G383" s="5">
        <v>18</v>
      </c>
      <c r="H383" s="3" t="s">
        <v>63</v>
      </c>
      <c r="I383" s="3" t="s">
        <v>7</v>
      </c>
      <c r="J383" s="7" t="b">
        <v>1</v>
      </c>
      <c r="K383" s="7"/>
      <c r="L383" s="7"/>
      <c r="M383" s="7"/>
      <c r="N383" s="7"/>
      <c r="O383" s="7"/>
      <c r="P383" s="7"/>
      <c r="Q383" s="7"/>
    </row>
    <row r="384" spans="1:17" ht="13.9">
      <c r="A384" s="3">
        <v>9519076</v>
      </c>
      <c r="B384" s="3">
        <v>3</v>
      </c>
      <c r="C384" s="3" t="s">
        <v>60</v>
      </c>
      <c r="D384" s="3">
        <v>7</v>
      </c>
      <c r="E384" s="3"/>
      <c r="F384" s="6">
        <v>41676</v>
      </c>
      <c r="G384" s="5">
        <v>8</v>
      </c>
      <c r="H384" s="3" t="s">
        <v>63</v>
      </c>
      <c r="I384" s="3" t="s">
        <v>7</v>
      </c>
      <c r="J384" s="7" t="b">
        <v>1</v>
      </c>
      <c r="K384" s="7"/>
      <c r="L384" s="7"/>
      <c r="M384" s="7"/>
      <c r="N384" s="7"/>
      <c r="O384" s="7"/>
      <c r="P384" s="7"/>
      <c r="Q384" s="7"/>
    </row>
    <row r="385" spans="1:17" ht="13.9">
      <c r="A385" s="5">
        <v>434620327</v>
      </c>
      <c r="B385" s="3" t="s">
        <v>41</v>
      </c>
      <c r="C385" s="3" t="s">
        <v>64</v>
      </c>
      <c r="D385" s="3">
        <v>9</v>
      </c>
      <c r="E385" s="3"/>
      <c r="F385" s="6">
        <v>42666</v>
      </c>
      <c r="G385" s="5">
        <v>6</v>
      </c>
      <c r="H385" s="3" t="s">
        <v>61</v>
      </c>
      <c r="I385" s="3" t="s">
        <v>7</v>
      </c>
      <c r="J385" s="7" t="b">
        <v>1</v>
      </c>
      <c r="K385" s="7"/>
      <c r="L385" s="7"/>
      <c r="M385" s="7"/>
      <c r="N385" s="7"/>
      <c r="O385" s="7"/>
      <c r="P385" s="7"/>
      <c r="Q385" s="7"/>
    </row>
    <row r="386" spans="1:17" ht="13.9">
      <c r="A386" s="3">
        <v>31817020</v>
      </c>
      <c r="B386" s="3">
        <v>3</v>
      </c>
      <c r="C386" s="3" t="s">
        <v>60</v>
      </c>
      <c r="D386" s="5">
        <v>17</v>
      </c>
      <c r="E386" s="3"/>
      <c r="F386" s="6">
        <v>41693</v>
      </c>
      <c r="G386" s="5">
        <v>8</v>
      </c>
      <c r="H386" s="3" t="s">
        <v>63</v>
      </c>
      <c r="I386" s="3" t="s">
        <v>7</v>
      </c>
      <c r="J386" s="7" t="b">
        <v>1</v>
      </c>
      <c r="K386" s="7"/>
      <c r="L386" s="7"/>
      <c r="M386" s="7"/>
      <c r="N386" s="7"/>
      <c r="O386" s="7"/>
      <c r="P386" s="7"/>
      <c r="Q386" s="7"/>
    </row>
    <row r="387" spans="1:17" ht="13.9">
      <c r="A387" s="3">
        <v>22916225</v>
      </c>
      <c r="B387" s="3">
        <v>4</v>
      </c>
      <c r="C387" s="3" t="s">
        <v>60</v>
      </c>
      <c r="D387" s="5">
        <v>17</v>
      </c>
      <c r="E387" s="3">
        <v>9</v>
      </c>
      <c r="F387" s="6">
        <v>41455</v>
      </c>
      <c r="G387" s="5">
        <v>9</v>
      </c>
      <c r="H387" s="3" t="s">
        <v>63</v>
      </c>
      <c r="I387" s="3" t="s">
        <v>7</v>
      </c>
      <c r="J387" s="7" t="b">
        <v>1</v>
      </c>
      <c r="K387" s="7"/>
      <c r="L387" s="7"/>
      <c r="M387" s="7"/>
      <c r="N387" s="7"/>
      <c r="O387" s="7"/>
      <c r="P387" s="7"/>
      <c r="Q387" s="7"/>
    </row>
    <row r="388" spans="1:17" ht="13.9">
      <c r="A388" s="3">
        <v>7121162</v>
      </c>
      <c r="B388" s="3">
        <v>4</v>
      </c>
      <c r="C388" s="3" t="s">
        <v>60</v>
      </c>
      <c r="D388" s="3">
        <v>9</v>
      </c>
      <c r="E388" s="3"/>
      <c r="F388" s="6">
        <v>41180</v>
      </c>
      <c r="G388" s="5">
        <v>10</v>
      </c>
      <c r="H388" s="3" t="s">
        <v>61</v>
      </c>
      <c r="I388" s="3" t="s">
        <v>7</v>
      </c>
      <c r="J388" s="7" t="b">
        <v>1</v>
      </c>
      <c r="K388" s="7"/>
      <c r="L388" s="7"/>
      <c r="M388" s="7"/>
      <c r="N388" s="7"/>
      <c r="O388" s="7"/>
      <c r="P388" s="7"/>
      <c r="Q388" s="7"/>
    </row>
    <row r="389" spans="1:17" ht="13.9">
      <c r="A389" s="3">
        <v>22918296</v>
      </c>
      <c r="B389" s="3" t="s">
        <v>41</v>
      </c>
      <c r="C389" s="3" t="s">
        <v>60</v>
      </c>
      <c r="D389" s="5">
        <v>17</v>
      </c>
      <c r="E389" s="3">
        <v>8</v>
      </c>
      <c r="F389" s="6">
        <v>42194</v>
      </c>
      <c r="G389" s="5">
        <v>7</v>
      </c>
      <c r="H389" s="3" t="s">
        <v>63</v>
      </c>
      <c r="I389" s="3" t="s">
        <v>7</v>
      </c>
      <c r="J389" s="7" t="b">
        <v>1</v>
      </c>
      <c r="K389" s="7"/>
      <c r="L389" s="7"/>
      <c r="M389" s="7"/>
      <c r="N389" s="7"/>
      <c r="O389" s="7"/>
      <c r="P389" s="7"/>
      <c r="Q389" s="7"/>
    </row>
    <row r="390" spans="1:17" ht="13.9">
      <c r="A390" s="3">
        <v>6918010</v>
      </c>
      <c r="B390" s="3">
        <v>4</v>
      </c>
      <c r="C390" s="3" t="s">
        <v>60</v>
      </c>
      <c r="D390" s="3">
        <v>7</v>
      </c>
      <c r="E390" s="3"/>
      <c r="F390" s="6">
        <v>41296</v>
      </c>
      <c r="G390" s="5">
        <v>9</v>
      </c>
      <c r="H390" s="3" t="s">
        <v>61</v>
      </c>
      <c r="I390" s="3" t="s">
        <v>7</v>
      </c>
      <c r="J390" s="7" t="b">
        <v>1</v>
      </c>
      <c r="K390" s="7"/>
      <c r="L390" s="7"/>
      <c r="M390" s="7"/>
      <c r="N390" s="7"/>
      <c r="O390" s="7"/>
      <c r="P390" s="7"/>
      <c r="Q390" s="7"/>
    </row>
    <row r="391" spans="1:17" ht="13.9">
      <c r="A391" s="3">
        <v>24909500</v>
      </c>
      <c r="B391" s="5">
        <v>13</v>
      </c>
      <c r="C391" s="3" t="s">
        <v>65</v>
      </c>
      <c r="D391" s="5">
        <v>17</v>
      </c>
      <c r="E391" s="3"/>
      <c r="F391" s="9">
        <v>38127</v>
      </c>
      <c r="G391" s="5">
        <v>18</v>
      </c>
      <c r="H391" s="3" t="s">
        <v>63</v>
      </c>
      <c r="I391" s="3" t="s">
        <v>7</v>
      </c>
      <c r="J391" s="7" t="b">
        <v>1</v>
      </c>
      <c r="K391" s="7"/>
      <c r="L391" s="7"/>
      <c r="M391" s="7"/>
      <c r="N391" s="7"/>
      <c r="O391" s="7"/>
      <c r="P391" s="7"/>
      <c r="Q391" s="7"/>
    </row>
    <row r="392" spans="1:17" ht="13.9">
      <c r="A392" s="3">
        <v>20920028</v>
      </c>
      <c r="B392" s="3">
        <v>3</v>
      </c>
      <c r="C392" s="3" t="s">
        <v>60</v>
      </c>
      <c r="D392" s="3">
        <v>7</v>
      </c>
      <c r="E392" s="3"/>
      <c r="F392" s="6">
        <v>41556</v>
      </c>
      <c r="G392" s="5">
        <v>9</v>
      </c>
      <c r="H392" s="3" t="s">
        <v>61</v>
      </c>
      <c r="I392" s="3" t="s">
        <v>7</v>
      </c>
      <c r="J392" s="7" t="b">
        <v>1</v>
      </c>
      <c r="K392" s="7"/>
      <c r="L392" s="7"/>
      <c r="M392" s="7"/>
      <c r="N392" s="7"/>
      <c r="O392" s="7"/>
      <c r="P392" s="7"/>
      <c r="Q392" s="7"/>
    </row>
    <row r="393" spans="1:17" ht="13.9">
      <c r="A393" s="3">
        <v>18620008</v>
      </c>
      <c r="B393" s="3">
        <v>2</v>
      </c>
      <c r="C393" s="3" t="s">
        <v>62</v>
      </c>
      <c r="D393" s="5">
        <v>15</v>
      </c>
      <c r="E393" s="3">
        <v>9</v>
      </c>
      <c r="F393" s="6">
        <v>41961</v>
      </c>
      <c r="G393" s="5">
        <v>8</v>
      </c>
      <c r="H393" s="3" t="s">
        <v>63</v>
      </c>
      <c r="I393" s="3" t="s">
        <v>7</v>
      </c>
      <c r="J393" s="7" t="b">
        <v>1</v>
      </c>
      <c r="K393" s="7"/>
      <c r="L393" s="7"/>
      <c r="M393" s="7"/>
      <c r="N393" s="7"/>
      <c r="O393" s="7"/>
      <c r="P393" s="7"/>
      <c r="Q393" s="7"/>
    </row>
    <row r="394" spans="1:17" ht="13.9">
      <c r="A394" s="5">
        <v>255201116</v>
      </c>
      <c r="B394" s="5">
        <v>11</v>
      </c>
      <c r="C394" s="3" t="s">
        <v>60</v>
      </c>
      <c r="D394" s="5">
        <v>10</v>
      </c>
      <c r="E394" s="3"/>
      <c r="F394" s="6">
        <v>38917</v>
      </c>
      <c r="G394" s="5">
        <v>16</v>
      </c>
      <c r="H394" s="3" t="s">
        <v>63</v>
      </c>
      <c r="I394" s="3" t="s">
        <v>4</v>
      </c>
      <c r="J394" s="7" t="b">
        <v>1</v>
      </c>
      <c r="K394" s="7"/>
      <c r="L394" s="7"/>
      <c r="M394" s="7"/>
      <c r="N394" s="7"/>
      <c r="O394" s="7"/>
      <c r="P394" s="7"/>
      <c r="Q394" s="7"/>
    </row>
    <row r="395" spans="1:17" ht="13.9">
      <c r="A395" s="3">
        <v>3709099</v>
      </c>
      <c r="B395" s="5">
        <v>11</v>
      </c>
      <c r="C395" s="3" t="s">
        <v>60</v>
      </c>
      <c r="D395" s="3">
        <v>7</v>
      </c>
      <c r="E395" s="3"/>
      <c r="F395" s="6">
        <v>38567</v>
      </c>
      <c r="G395" s="5">
        <v>17</v>
      </c>
      <c r="H395" s="3" t="s">
        <v>63</v>
      </c>
      <c r="I395" s="3" t="s">
        <v>7</v>
      </c>
      <c r="J395" s="7" t="b">
        <v>1</v>
      </c>
      <c r="K395" s="7"/>
      <c r="L395" s="7"/>
      <c r="M395" s="7"/>
      <c r="N395" s="7"/>
      <c r="O395" s="7"/>
      <c r="P395" s="7"/>
      <c r="Q395" s="7"/>
    </row>
    <row r="396" spans="1:17" ht="13.9">
      <c r="A396" s="3" t="s">
        <v>110</v>
      </c>
      <c r="B396" s="3">
        <v>6</v>
      </c>
      <c r="C396" s="3" t="s">
        <v>60</v>
      </c>
      <c r="D396" s="3">
        <v>9</v>
      </c>
      <c r="E396" s="3"/>
      <c r="F396" s="6">
        <v>40543</v>
      </c>
      <c r="G396" s="5">
        <v>11</v>
      </c>
      <c r="H396" s="3" t="s">
        <v>63</v>
      </c>
      <c r="I396" s="3" t="s">
        <v>7</v>
      </c>
      <c r="J396" s="7" t="b">
        <v>1</v>
      </c>
      <c r="K396" s="7"/>
      <c r="L396" s="7"/>
      <c r="M396" s="7"/>
      <c r="N396" s="7"/>
      <c r="O396" s="7"/>
      <c r="P396" s="7"/>
      <c r="Q396" s="7"/>
    </row>
    <row r="397" spans="1:17" ht="13.9">
      <c r="A397" s="3">
        <v>22916032</v>
      </c>
      <c r="B397" s="3">
        <v>6</v>
      </c>
      <c r="C397" s="3" t="s">
        <v>60</v>
      </c>
      <c r="D397" s="5">
        <v>10</v>
      </c>
      <c r="E397" s="3"/>
      <c r="F397" s="6">
        <v>40448</v>
      </c>
      <c r="G397" s="5">
        <v>12</v>
      </c>
      <c r="H397" s="3" t="s">
        <v>61</v>
      </c>
      <c r="I397" s="3" t="s">
        <v>6</v>
      </c>
      <c r="J397" s="7" t="b">
        <v>1</v>
      </c>
      <c r="K397" s="7"/>
      <c r="L397" s="7"/>
      <c r="M397" s="7"/>
      <c r="N397" s="7"/>
      <c r="O397" s="7"/>
      <c r="P397" s="7"/>
      <c r="Q397" s="7"/>
    </row>
    <row r="398" spans="1:17" ht="13.9">
      <c r="A398" s="3">
        <v>27016058</v>
      </c>
      <c r="B398" s="3">
        <v>7</v>
      </c>
      <c r="C398" s="3" t="s">
        <v>60</v>
      </c>
      <c r="D398" s="3">
        <v>7</v>
      </c>
      <c r="E398" s="3"/>
      <c r="F398" s="6">
        <v>40333</v>
      </c>
      <c r="G398" s="5">
        <v>12</v>
      </c>
      <c r="H398" s="3" t="s">
        <v>63</v>
      </c>
      <c r="I398" s="3" t="s">
        <v>4</v>
      </c>
      <c r="J398" s="7" t="b">
        <v>1</v>
      </c>
      <c r="K398" s="7"/>
      <c r="L398" s="7"/>
      <c r="M398" s="7"/>
      <c r="N398" s="7"/>
      <c r="O398" s="7"/>
      <c r="P398" s="7"/>
      <c r="Q398" s="7"/>
    </row>
    <row r="399" spans="1:17" ht="13.9">
      <c r="A399" s="3">
        <v>9617009</v>
      </c>
      <c r="B399" s="3">
        <v>4</v>
      </c>
      <c r="C399" s="3" t="s">
        <v>60</v>
      </c>
      <c r="D399" s="3">
        <v>7</v>
      </c>
      <c r="E399" s="3"/>
      <c r="F399" s="6">
        <v>41066</v>
      </c>
      <c r="G399" s="5">
        <v>10</v>
      </c>
      <c r="H399" s="3" t="s">
        <v>61</v>
      </c>
      <c r="I399" s="3" t="s">
        <v>7</v>
      </c>
      <c r="J399" s="7" t="b">
        <v>1</v>
      </c>
      <c r="K399" s="7"/>
      <c r="L399" s="7"/>
      <c r="M399" s="7"/>
      <c r="N399" s="7"/>
      <c r="O399" s="7"/>
      <c r="P399" s="7"/>
      <c r="Q399" s="7"/>
    </row>
    <row r="400" spans="1:17" ht="13.9">
      <c r="A400" s="3">
        <v>15417049</v>
      </c>
      <c r="B400" s="3">
        <v>6</v>
      </c>
      <c r="C400" s="3" t="s">
        <v>60</v>
      </c>
      <c r="D400" s="5">
        <v>17</v>
      </c>
      <c r="E400" s="3"/>
      <c r="F400" s="6">
        <v>40611</v>
      </c>
      <c r="G400" s="5">
        <v>11</v>
      </c>
      <c r="H400" s="3" t="s">
        <v>63</v>
      </c>
      <c r="I400" s="3" t="s">
        <v>7</v>
      </c>
      <c r="J400" s="7" t="b">
        <v>1</v>
      </c>
      <c r="K400" s="7"/>
      <c r="L400" s="7"/>
      <c r="M400" s="7"/>
      <c r="N400" s="7"/>
      <c r="O400" s="7"/>
      <c r="P400" s="7"/>
      <c r="Q400" s="7"/>
    </row>
    <row r="401" spans="1:17" ht="13.9">
      <c r="A401" s="3">
        <v>9414007</v>
      </c>
      <c r="B401" s="3">
        <v>8</v>
      </c>
      <c r="C401" s="3" t="s">
        <v>60</v>
      </c>
      <c r="D401" s="5">
        <v>17</v>
      </c>
      <c r="E401" s="3"/>
      <c r="F401" s="6">
        <v>39675</v>
      </c>
      <c r="G401" s="5">
        <v>14</v>
      </c>
      <c r="H401" s="3" t="s">
        <v>63</v>
      </c>
      <c r="I401" s="3" t="s">
        <v>7</v>
      </c>
      <c r="J401" s="7" t="b">
        <v>1</v>
      </c>
      <c r="K401" s="7"/>
      <c r="L401" s="7"/>
      <c r="M401" s="7"/>
      <c r="N401" s="7"/>
      <c r="O401" s="7"/>
      <c r="P401" s="7"/>
      <c r="Q401" s="7"/>
    </row>
    <row r="402" spans="1:17" ht="13.9">
      <c r="A402" s="3">
        <v>8320064</v>
      </c>
      <c r="B402" s="3">
        <v>5</v>
      </c>
      <c r="C402" s="3" t="s">
        <v>60</v>
      </c>
      <c r="D402" s="3">
        <v>9</v>
      </c>
      <c r="E402" s="3"/>
      <c r="F402" s="6">
        <v>41095</v>
      </c>
      <c r="G402" s="5">
        <v>10</v>
      </c>
      <c r="H402" s="3" t="s">
        <v>63</v>
      </c>
      <c r="I402" s="3" t="s">
        <v>6</v>
      </c>
      <c r="J402" s="7" t="b">
        <v>1</v>
      </c>
      <c r="K402" s="7"/>
      <c r="L402" s="7"/>
      <c r="M402" s="7"/>
      <c r="N402" s="7"/>
      <c r="O402" s="7"/>
      <c r="P402" s="7"/>
      <c r="Q402" s="7"/>
    </row>
    <row r="403" spans="1:17" ht="13.9">
      <c r="A403" s="3">
        <v>22910137</v>
      </c>
      <c r="B403" s="5">
        <v>11</v>
      </c>
      <c r="C403" s="3" t="s">
        <v>60</v>
      </c>
      <c r="D403" s="3">
        <v>7</v>
      </c>
      <c r="E403" s="3"/>
      <c r="F403" s="9">
        <v>38852</v>
      </c>
      <c r="G403" s="5">
        <v>16</v>
      </c>
      <c r="H403" s="3" t="s">
        <v>63</v>
      </c>
      <c r="I403" s="3" t="s">
        <v>8</v>
      </c>
      <c r="J403" s="7" t="b">
        <v>1</v>
      </c>
      <c r="K403" s="7"/>
      <c r="L403" s="7"/>
      <c r="M403" s="7"/>
      <c r="N403" s="7"/>
      <c r="O403" s="7"/>
      <c r="P403" s="7"/>
      <c r="Q403" s="7"/>
    </row>
    <row r="404" spans="1:17" ht="13.9">
      <c r="A404" s="3">
        <v>2021050</v>
      </c>
      <c r="B404" s="3">
        <v>1</v>
      </c>
      <c r="C404" s="3" t="s">
        <v>60</v>
      </c>
      <c r="D404" s="3">
        <v>9</v>
      </c>
      <c r="E404" s="3"/>
      <c r="F404" s="6">
        <v>42313</v>
      </c>
      <c r="G404" s="5">
        <v>7</v>
      </c>
      <c r="H404" s="3" t="s">
        <v>63</v>
      </c>
      <c r="I404" s="3" t="s">
        <v>7</v>
      </c>
      <c r="J404" s="7" t="b">
        <v>1</v>
      </c>
      <c r="K404" s="7"/>
      <c r="L404" s="7"/>
      <c r="M404" s="7"/>
      <c r="N404" s="7"/>
      <c r="O404" s="7"/>
      <c r="P404" s="7"/>
      <c r="Q404" s="7"/>
    </row>
    <row r="405" spans="1:17" ht="13.9">
      <c r="A405" s="3">
        <v>26915005</v>
      </c>
      <c r="B405" s="3">
        <v>8</v>
      </c>
      <c r="C405" s="3" t="s">
        <v>60</v>
      </c>
      <c r="D405" s="3">
        <v>5</v>
      </c>
      <c r="E405" s="5">
        <v>17</v>
      </c>
      <c r="F405" s="6">
        <v>39666</v>
      </c>
      <c r="G405" s="5">
        <v>14</v>
      </c>
      <c r="H405" s="3" t="s">
        <v>61</v>
      </c>
      <c r="I405" s="3" t="s">
        <v>7</v>
      </c>
      <c r="J405" s="7" t="b">
        <v>1</v>
      </c>
      <c r="K405" s="7"/>
      <c r="L405" s="7"/>
      <c r="M405" s="7"/>
      <c r="N405" s="7"/>
      <c r="O405" s="7"/>
      <c r="P405" s="7"/>
      <c r="Q405" s="7"/>
    </row>
    <row r="406" spans="1:17" ht="13.9">
      <c r="A406" s="3">
        <v>24910016</v>
      </c>
      <c r="B406" s="5">
        <v>12</v>
      </c>
      <c r="C406" s="3" t="s">
        <v>64</v>
      </c>
      <c r="D406" s="3">
        <v>7</v>
      </c>
      <c r="E406" s="3"/>
      <c r="F406" s="6">
        <v>38542</v>
      </c>
      <c r="G406" s="5">
        <v>17</v>
      </c>
      <c r="H406" s="3" t="s">
        <v>61</v>
      </c>
      <c r="I406" s="3" t="s">
        <v>6</v>
      </c>
      <c r="J406" s="7" t="b">
        <v>1</v>
      </c>
      <c r="K406" s="7"/>
      <c r="L406" s="7"/>
      <c r="M406" s="7"/>
      <c r="N406" s="7"/>
      <c r="O406" s="7"/>
      <c r="P406" s="7"/>
      <c r="Q406" s="7"/>
    </row>
    <row r="407" spans="1:17" ht="13.9">
      <c r="A407" s="3">
        <v>25316051</v>
      </c>
      <c r="B407" s="3">
        <v>6</v>
      </c>
      <c r="C407" s="3" t="s">
        <v>65</v>
      </c>
      <c r="D407" s="5">
        <v>15</v>
      </c>
      <c r="E407" s="3">
        <v>9</v>
      </c>
      <c r="F407" s="6">
        <v>40498</v>
      </c>
      <c r="G407" s="5">
        <v>12</v>
      </c>
      <c r="H407" s="3" t="s">
        <v>63</v>
      </c>
      <c r="I407" s="3" t="s">
        <v>7</v>
      </c>
      <c r="J407" s="7" t="b">
        <v>1</v>
      </c>
      <c r="K407" s="7"/>
      <c r="L407" s="7"/>
      <c r="M407" s="7"/>
      <c r="N407" s="7"/>
      <c r="O407" s="7"/>
      <c r="P407" s="7"/>
      <c r="Q407" s="7"/>
    </row>
    <row r="408" spans="1:17" ht="13.9">
      <c r="A408" s="3">
        <v>22917486</v>
      </c>
      <c r="B408" s="3">
        <v>2</v>
      </c>
      <c r="C408" s="3" t="s">
        <v>60</v>
      </c>
      <c r="D408" s="3">
        <v>8</v>
      </c>
      <c r="E408" s="3"/>
      <c r="F408" s="6">
        <v>42028</v>
      </c>
      <c r="G408" s="5">
        <v>7</v>
      </c>
      <c r="H408" s="3" t="s">
        <v>63</v>
      </c>
      <c r="I408" s="3" t="s">
        <v>7</v>
      </c>
      <c r="J408" s="7" t="b">
        <v>1</v>
      </c>
      <c r="K408" s="7"/>
      <c r="L408" s="7"/>
      <c r="M408" s="7"/>
      <c r="N408" s="7"/>
      <c r="O408" s="7"/>
      <c r="P408" s="7"/>
      <c r="Q408" s="7"/>
    </row>
    <row r="409" spans="1:17" ht="13.9">
      <c r="A409" s="3" t="s">
        <v>111</v>
      </c>
      <c r="B409" s="3">
        <v>5</v>
      </c>
      <c r="C409" s="3" t="s">
        <v>64</v>
      </c>
      <c r="D409" s="3">
        <v>7</v>
      </c>
      <c r="E409" s="3"/>
      <c r="F409" s="6">
        <v>40737</v>
      </c>
      <c r="G409" s="5">
        <v>11</v>
      </c>
      <c r="H409" s="3" t="s">
        <v>63</v>
      </c>
      <c r="I409" s="3" t="s">
        <v>7</v>
      </c>
      <c r="J409" s="7" t="b">
        <v>1</v>
      </c>
      <c r="K409" s="7"/>
      <c r="L409" s="7"/>
      <c r="M409" s="7"/>
      <c r="N409" s="7"/>
      <c r="O409" s="7"/>
      <c r="P409" s="7"/>
      <c r="Q409" s="7"/>
    </row>
    <row r="410" spans="1:17" ht="13.9">
      <c r="A410" s="3">
        <v>2512069</v>
      </c>
      <c r="B410" s="5">
        <v>10</v>
      </c>
      <c r="C410" s="3" t="s">
        <v>60</v>
      </c>
      <c r="D410" s="5">
        <v>10</v>
      </c>
      <c r="E410" s="3">
        <v>9</v>
      </c>
      <c r="F410" s="6">
        <v>38629</v>
      </c>
      <c r="G410" s="5">
        <v>17</v>
      </c>
      <c r="H410" s="3" t="s">
        <v>63</v>
      </c>
      <c r="I410" s="3" t="s">
        <v>7</v>
      </c>
      <c r="J410" s="7" t="b">
        <v>1</v>
      </c>
      <c r="K410" s="7"/>
      <c r="L410" s="7"/>
      <c r="M410" s="7"/>
      <c r="N410" s="7"/>
      <c r="O410" s="7"/>
      <c r="P410" s="7"/>
      <c r="Q410" s="7"/>
    </row>
    <row r="411" spans="1:17" ht="13.9">
      <c r="A411" s="3">
        <v>7709500</v>
      </c>
      <c r="B411" s="5">
        <v>10</v>
      </c>
      <c r="C411" s="3" t="s">
        <v>60</v>
      </c>
      <c r="D411" s="3">
        <v>7</v>
      </c>
      <c r="E411" s="3"/>
      <c r="F411" s="6">
        <v>38570</v>
      </c>
      <c r="G411" s="5">
        <v>17</v>
      </c>
      <c r="H411" s="3" t="s">
        <v>63</v>
      </c>
      <c r="I411" s="3" t="s">
        <v>7</v>
      </c>
      <c r="J411" s="7" t="b">
        <v>1</v>
      </c>
      <c r="K411" s="7"/>
      <c r="L411" s="7"/>
      <c r="M411" s="7"/>
      <c r="N411" s="7"/>
      <c r="O411" s="7"/>
      <c r="P411" s="7"/>
      <c r="Q411" s="7"/>
    </row>
    <row r="412" spans="1:17" ht="13.9">
      <c r="A412" s="3">
        <v>2020040</v>
      </c>
      <c r="B412" s="3">
        <v>3</v>
      </c>
      <c r="C412" s="3" t="s">
        <v>60</v>
      </c>
      <c r="D412" s="3">
        <v>9</v>
      </c>
      <c r="E412" s="3"/>
      <c r="F412" s="6">
        <v>41619</v>
      </c>
      <c r="G412" s="5">
        <v>8</v>
      </c>
      <c r="H412" s="3" t="s">
        <v>61</v>
      </c>
      <c r="I412" s="3" t="s">
        <v>7</v>
      </c>
      <c r="J412" s="7" t="b">
        <v>1</v>
      </c>
      <c r="K412" s="7"/>
      <c r="L412" s="7"/>
      <c r="M412" s="7"/>
      <c r="N412" s="7"/>
      <c r="O412" s="7"/>
      <c r="P412" s="7"/>
      <c r="Q412" s="7"/>
    </row>
    <row r="413" spans="1:17" ht="13.9">
      <c r="A413" s="3">
        <v>22916076</v>
      </c>
      <c r="B413" s="3">
        <v>4</v>
      </c>
      <c r="C413" s="3" t="s">
        <v>60</v>
      </c>
      <c r="D413" s="5">
        <v>15</v>
      </c>
      <c r="E413" s="3">
        <v>9</v>
      </c>
      <c r="F413" s="6">
        <v>41381</v>
      </c>
      <c r="G413" s="5">
        <v>9</v>
      </c>
      <c r="H413" s="3" t="s">
        <v>63</v>
      </c>
      <c r="I413" s="3" t="s">
        <v>7</v>
      </c>
      <c r="J413" s="7" t="b">
        <v>1</v>
      </c>
      <c r="K413" s="7"/>
      <c r="L413" s="7"/>
      <c r="M413" s="7"/>
      <c r="N413" s="7"/>
      <c r="O413" s="7"/>
      <c r="P413" s="7"/>
      <c r="Q413" s="7"/>
    </row>
    <row r="414" spans="1:17" ht="13.9">
      <c r="A414" s="3">
        <v>9515503</v>
      </c>
      <c r="B414" s="3">
        <v>4</v>
      </c>
      <c r="C414" s="3" t="s">
        <v>60</v>
      </c>
      <c r="D414" s="5">
        <v>17</v>
      </c>
      <c r="E414" s="3"/>
      <c r="F414" s="6">
        <v>41310</v>
      </c>
      <c r="G414" s="5">
        <v>9</v>
      </c>
      <c r="H414" s="3" t="s">
        <v>61</v>
      </c>
      <c r="I414" s="3" t="s">
        <v>7</v>
      </c>
      <c r="J414" s="7" t="b">
        <v>1</v>
      </c>
      <c r="K414" s="7"/>
      <c r="L414" s="7"/>
      <c r="M414" s="7"/>
      <c r="N414" s="7"/>
      <c r="O414" s="7"/>
      <c r="P414" s="7"/>
      <c r="Q414" s="7"/>
    </row>
    <row r="415" spans="1:17" ht="13.9">
      <c r="A415" s="3">
        <v>31014015</v>
      </c>
      <c r="B415" s="3">
        <v>8</v>
      </c>
      <c r="C415" s="3" t="s">
        <v>60</v>
      </c>
      <c r="D415" s="3">
        <v>9</v>
      </c>
      <c r="E415" s="3"/>
      <c r="F415" s="6">
        <v>39653</v>
      </c>
      <c r="G415" s="5">
        <v>14</v>
      </c>
      <c r="H415" s="3" t="s">
        <v>63</v>
      </c>
      <c r="I415" s="3" t="s">
        <v>6</v>
      </c>
      <c r="J415" s="7" t="b">
        <v>1</v>
      </c>
      <c r="K415" s="7"/>
      <c r="L415" s="7"/>
      <c r="M415" s="7"/>
      <c r="N415" s="7"/>
      <c r="O415" s="7"/>
      <c r="P415" s="7"/>
      <c r="Q415" s="7"/>
    </row>
    <row r="416" spans="1:17" ht="13.9">
      <c r="A416" s="3">
        <v>13617025</v>
      </c>
      <c r="B416" s="3">
        <v>5</v>
      </c>
      <c r="C416" s="3" t="s">
        <v>60</v>
      </c>
      <c r="D416" s="3">
        <v>7</v>
      </c>
      <c r="E416" s="3"/>
      <c r="F416" s="6">
        <v>40828</v>
      </c>
      <c r="G416" s="5">
        <v>11</v>
      </c>
      <c r="H416" s="3" t="s">
        <v>61</v>
      </c>
      <c r="I416" s="3" t="s">
        <v>6</v>
      </c>
      <c r="J416" s="7" t="b">
        <v>1</v>
      </c>
      <c r="K416" s="7"/>
      <c r="L416" s="7"/>
      <c r="M416" s="7"/>
      <c r="N416" s="7"/>
      <c r="O416" s="7"/>
      <c r="P416" s="7"/>
      <c r="Q416" s="7"/>
    </row>
    <row r="417" spans="1:17" ht="13.9">
      <c r="A417" s="3">
        <v>7220045</v>
      </c>
      <c r="B417" s="3">
        <v>3</v>
      </c>
      <c r="C417" s="3" t="s">
        <v>60</v>
      </c>
      <c r="D417" s="5">
        <v>17</v>
      </c>
      <c r="E417" s="3">
        <v>7</v>
      </c>
      <c r="F417" s="6">
        <v>41623</v>
      </c>
      <c r="G417" s="5">
        <v>8</v>
      </c>
      <c r="H417" s="3" t="s">
        <v>61</v>
      </c>
      <c r="I417" s="3" t="s">
        <v>7</v>
      </c>
      <c r="J417" s="7" t="b">
        <v>1</v>
      </c>
      <c r="K417" s="7"/>
      <c r="L417" s="7"/>
      <c r="M417" s="7"/>
      <c r="N417" s="7"/>
      <c r="O417" s="7"/>
      <c r="P417" s="7"/>
      <c r="Q417" s="7"/>
    </row>
    <row r="418" spans="1:17" ht="13.9">
      <c r="A418" s="3">
        <v>2022020</v>
      </c>
      <c r="B418" s="3">
        <v>1</v>
      </c>
      <c r="C418" s="3" t="s">
        <v>60</v>
      </c>
      <c r="D418" s="3">
        <v>9</v>
      </c>
      <c r="E418" s="3"/>
      <c r="F418" s="6">
        <v>42408</v>
      </c>
      <c r="G418" s="5">
        <v>6</v>
      </c>
      <c r="H418" s="3" t="s">
        <v>63</v>
      </c>
      <c r="I418" s="3" t="s">
        <v>7</v>
      </c>
      <c r="J418" s="7" t="b">
        <v>1</v>
      </c>
      <c r="K418" s="7"/>
      <c r="L418" s="7"/>
      <c r="M418" s="7"/>
      <c r="N418" s="7"/>
      <c r="O418" s="7"/>
      <c r="P418" s="7"/>
      <c r="Q418" s="7"/>
    </row>
    <row r="419" spans="1:17" ht="13.9">
      <c r="A419" s="3">
        <v>20514007</v>
      </c>
      <c r="B419" s="3">
        <v>9</v>
      </c>
      <c r="C419" s="3" t="s">
        <v>60</v>
      </c>
      <c r="D419" s="3">
        <v>7</v>
      </c>
      <c r="E419" s="3"/>
      <c r="F419" s="6">
        <v>39452</v>
      </c>
      <c r="G419" s="5">
        <v>14</v>
      </c>
      <c r="H419" s="3" t="s">
        <v>61</v>
      </c>
      <c r="I419" s="3" t="s">
        <v>4</v>
      </c>
      <c r="J419" s="7" t="b">
        <v>1</v>
      </c>
      <c r="K419" s="7"/>
      <c r="L419" s="7"/>
      <c r="M419" s="7"/>
      <c r="N419" s="7"/>
      <c r="O419" s="7"/>
      <c r="P419" s="7"/>
      <c r="Q419" s="7"/>
    </row>
    <row r="420" spans="1:17" ht="13.9">
      <c r="A420" s="5">
        <v>681716023</v>
      </c>
      <c r="B420" s="3">
        <v>6</v>
      </c>
      <c r="C420" s="3" t="s">
        <v>64</v>
      </c>
      <c r="D420" s="3">
        <v>7</v>
      </c>
      <c r="E420" s="3">
        <v>9</v>
      </c>
      <c r="F420" s="6">
        <v>40700</v>
      </c>
      <c r="G420" s="5">
        <v>11</v>
      </c>
      <c r="H420" s="3" t="s">
        <v>63</v>
      </c>
      <c r="I420" s="3" t="s">
        <v>7</v>
      </c>
      <c r="J420" s="7" t="b">
        <v>1</v>
      </c>
      <c r="K420" s="7"/>
      <c r="L420" s="7"/>
      <c r="M420" s="7"/>
      <c r="N420" s="7"/>
      <c r="O420" s="7"/>
      <c r="P420" s="7"/>
      <c r="Q420" s="7"/>
    </row>
    <row r="421" spans="1:17" ht="13.9">
      <c r="A421" s="3">
        <v>13619027</v>
      </c>
      <c r="B421" s="3">
        <v>4</v>
      </c>
      <c r="C421" s="3" t="s">
        <v>60</v>
      </c>
      <c r="D421" s="3">
        <v>9</v>
      </c>
      <c r="E421" s="3"/>
      <c r="F421" s="6">
        <v>41360</v>
      </c>
      <c r="G421" s="5">
        <v>9</v>
      </c>
      <c r="H421" s="3" t="s">
        <v>63</v>
      </c>
      <c r="I421" s="3" t="s">
        <v>6</v>
      </c>
      <c r="J421" s="7" t="b">
        <v>1</v>
      </c>
      <c r="K421" s="7"/>
      <c r="L421" s="7"/>
      <c r="M421" s="7"/>
      <c r="N421" s="7"/>
      <c r="O421" s="7"/>
      <c r="P421" s="7"/>
      <c r="Q421" s="7"/>
    </row>
    <row r="422" spans="1:17" ht="13.9">
      <c r="A422" s="3">
        <v>2023084</v>
      </c>
      <c r="B422" s="3">
        <v>1</v>
      </c>
      <c r="C422" s="3" t="s">
        <v>60</v>
      </c>
      <c r="D422" s="3">
        <v>9</v>
      </c>
      <c r="E422" s="3"/>
      <c r="F422" s="6">
        <v>41976</v>
      </c>
      <c r="G422" s="5">
        <v>7</v>
      </c>
      <c r="H422" s="3" t="s">
        <v>63</v>
      </c>
      <c r="I422" s="3" t="s">
        <v>7</v>
      </c>
      <c r="J422" s="7" t="b">
        <v>1</v>
      </c>
      <c r="K422" s="7"/>
      <c r="L422" s="7"/>
      <c r="M422" s="7"/>
      <c r="N422" s="7"/>
      <c r="O422" s="7"/>
      <c r="P422" s="7"/>
      <c r="Q422" s="7"/>
    </row>
    <row r="423" spans="1:17" ht="13.9">
      <c r="A423" s="3">
        <v>19716015</v>
      </c>
      <c r="B423" s="3">
        <v>6</v>
      </c>
      <c r="C423" s="3" t="s">
        <v>60</v>
      </c>
      <c r="D423" s="3">
        <v>7</v>
      </c>
      <c r="E423" s="3"/>
      <c r="F423" s="6">
        <v>40596</v>
      </c>
      <c r="G423" s="5">
        <v>11</v>
      </c>
      <c r="H423" s="3" t="s">
        <v>61</v>
      </c>
      <c r="I423" s="3" t="s">
        <v>6</v>
      </c>
      <c r="J423" s="7" t="b">
        <v>1</v>
      </c>
      <c r="K423" s="7"/>
      <c r="L423" s="7"/>
      <c r="M423" s="7"/>
      <c r="N423" s="7"/>
      <c r="O423" s="7"/>
      <c r="P423" s="7"/>
      <c r="Q423" s="7"/>
    </row>
    <row r="424" spans="1:17" ht="13.9">
      <c r="A424" s="3" t="s">
        <v>112</v>
      </c>
      <c r="B424" s="3">
        <v>4</v>
      </c>
      <c r="C424" s="3" t="s">
        <v>60</v>
      </c>
      <c r="D424" s="3">
        <v>7</v>
      </c>
      <c r="E424" s="3"/>
      <c r="F424" s="6">
        <v>41472</v>
      </c>
      <c r="G424" s="5">
        <v>9</v>
      </c>
      <c r="H424" s="3" t="s">
        <v>61</v>
      </c>
      <c r="I424" s="3" t="s">
        <v>7</v>
      </c>
      <c r="J424" s="7" t="b">
        <v>1</v>
      </c>
      <c r="K424" s="7"/>
      <c r="L424" s="7"/>
      <c r="M424" s="7"/>
      <c r="N424" s="7"/>
      <c r="O424" s="7"/>
      <c r="P424" s="7"/>
      <c r="Q424" s="7"/>
    </row>
    <row r="425" spans="1:17" ht="13.9">
      <c r="A425" s="3">
        <v>20513019</v>
      </c>
      <c r="B425" s="3">
        <v>9</v>
      </c>
      <c r="C425" s="3" t="s">
        <v>60</v>
      </c>
      <c r="D425" s="3">
        <v>7</v>
      </c>
      <c r="E425" s="3"/>
      <c r="F425" s="6">
        <v>39661</v>
      </c>
      <c r="G425" s="5">
        <v>14</v>
      </c>
      <c r="H425" s="3" t="s">
        <v>61</v>
      </c>
      <c r="I425" s="3" t="s">
        <v>7</v>
      </c>
      <c r="J425" s="7" t="b">
        <v>1</v>
      </c>
      <c r="K425" s="7"/>
      <c r="L425" s="7"/>
      <c r="M425" s="7"/>
      <c r="N425" s="7"/>
      <c r="O425" s="7"/>
      <c r="P425" s="7"/>
      <c r="Q425" s="7"/>
    </row>
    <row r="426" spans="1:17" ht="13.9">
      <c r="A426" s="3">
        <v>51714007</v>
      </c>
      <c r="B426" s="3">
        <v>9</v>
      </c>
      <c r="C426" s="3" t="s">
        <v>60</v>
      </c>
      <c r="D426" s="3">
        <v>7</v>
      </c>
      <c r="E426" s="3"/>
      <c r="F426" s="9">
        <v>39598</v>
      </c>
      <c r="G426" s="5">
        <v>14</v>
      </c>
      <c r="H426" s="3" t="s">
        <v>61</v>
      </c>
      <c r="I426" s="3" t="s">
        <v>7</v>
      </c>
      <c r="J426" s="7" t="b">
        <v>1</v>
      </c>
      <c r="K426" s="7"/>
      <c r="L426" s="7"/>
      <c r="M426" s="7"/>
      <c r="N426" s="7"/>
      <c r="O426" s="7"/>
      <c r="P426" s="7"/>
      <c r="Q426" s="7"/>
    </row>
    <row r="427" spans="1:17" ht="13.9">
      <c r="A427" s="3">
        <v>15114003</v>
      </c>
      <c r="B427" s="3">
        <v>6</v>
      </c>
      <c r="C427" s="3" t="s">
        <v>60</v>
      </c>
      <c r="D427" s="5">
        <v>17</v>
      </c>
      <c r="E427" s="3"/>
      <c r="F427" s="6">
        <v>40276</v>
      </c>
      <c r="G427" s="5">
        <v>12</v>
      </c>
      <c r="H427" s="3" t="s">
        <v>63</v>
      </c>
      <c r="I427" s="3" t="s">
        <v>7</v>
      </c>
      <c r="J427" s="7" t="b">
        <v>1</v>
      </c>
      <c r="K427" s="7"/>
      <c r="L427" s="7"/>
      <c r="M427" s="7"/>
      <c r="N427" s="7"/>
      <c r="O427" s="7"/>
      <c r="P427" s="7"/>
      <c r="Q427" s="7"/>
    </row>
    <row r="428" spans="1:17" ht="13.9">
      <c r="A428" s="3">
        <v>16414011</v>
      </c>
      <c r="B428" s="3">
        <v>9</v>
      </c>
      <c r="C428" s="3" t="s">
        <v>60</v>
      </c>
      <c r="D428" s="3">
        <v>7</v>
      </c>
      <c r="E428" s="3"/>
      <c r="F428" s="6">
        <v>39618</v>
      </c>
      <c r="G428" s="5">
        <v>14</v>
      </c>
      <c r="H428" s="3" t="s">
        <v>63</v>
      </c>
      <c r="I428" s="3" t="s">
        <v>4</v>
      </c>
      <c r="J428" s="7" t="b">
        <v>1</v>
      </c>
      <c r="K428" s="7"/>
      <c r="L428" s="7"/>
      <c r="M428" s="7"/>
      <c r="N428" s="7"/>
      <c r="O428" s="7"/>
      <c r="P428" s="7"/>
      <c r="Q428" s="7"/>
    </row>
    <row r="429" spans="1:17" ht="13.9">
      <c r="A429" s="3">
        <v>27013537</v>
      </c>
      <c r="B429" s="5">
        <v>10</v>
      </c>
      <c r="C429" s="3" t="s">
        <v>60</v>
      </c>
      <c r="D429" s="3">
        <v>7</v>
      </c>
      <c r="E429" s="3"/>
      <c r="F429" s="6">
        <v>38967</v>
      </c>
      <c r="G429" s="5">
        <v>16</v>
      </c>
      <c r="H429" s="3" t="s">
        <v>63</v>
      </c>
      <c r="I429" s="3" t="s">
        <v>4</v>
      </c>
      <c r="J429" s="7" t="b">
        <v>1</v>
      </c>
      <c r="K429" s="7"/>
      <c r="L429" s="7"/>
      <c r="M429" s="7"/>
      <c r="N429" s="7"/>
      <c r="O429" s="7"/>
      <c r="P429" s="7"/>
      <c r="Q429" s="7"/>
    </row>
    <row r="430" spans="1:17" ht="13.9">
      <c r="A430" s="3">
        <v>8317136</v>
      </c>
      <c r="B430" s="3">
        <v>5</v>
      </c>
      <c r="C430" s="3" t="s">
        <v>60</v>
      </c>
      <c r="D430" s="5">
        <v>17</v>
      </c>
      <c r="E430" s="3"/>
      <c r="F430" s="6">
        <v>40850</v>
      </c>
      <c r="G430" s="5">
        <v>11</v>
      </c>
      <c r="H430" s="3" t="s">
        <v>61</v>
      </c>
      <c r="I430" s="3" t="s">
        <v>7</v>
      </c>
      <c r="J430" s="7" t="b">
        <v>1</v>
      </c>
      <c r="K430" s="7"/>
      <c r="L430" s="7"/>
      <c r="M430" s="7"/>
      <c r="N430" s="7"/>
      <c r="O430" s="7"/>
      <c r="P430" s="7"/>
      <c r="Q430" s="7"/>
    </row>
    <row r="431" spans="1:17" ht="13.9">
      <c r="A431" s="3">
        <v>13715045</v>
      </c>
      <c r="B431" s="3">
        <v>8</v>
      </c>
      <c r="C431" s="3" t="s">
        <v>60</v>
      </c>
      <c r="D431" s="3">
        <v>7</v>
      </c>
      <c r="E431" s="3"/>
      <c r="F431" s="6">
        <v>39801</v>
      </c>
      <c r="G431" s="5">
        <v>13</v>
      </c>
      <c r="H431" s="3" t="s">
        <v>61</v>
      </c>
      <c r="I431" s="3" t="s">
        <v>8</v>
      </c>
      <c r="J431" s="7" t="b">
        <v>1</v>
      </c>
      <c r="K431" s="7"/>
      <c r="L431" s="7"/>
      <c r="M431" s="7"/>
      <c r="N431" s="7"/>
      <c r="O431" s="7"/>
      <c r="P431" s="7"/>
      <c r="Q431" s="7"/>
    </row>
    <row r="432" spans="1:17" ht="13.9">
      <c r="A432" s="3">
        <v>24023002</v>
      </c>
      <c r="B432" s="3">
        <v>7</v>
      </c>
      <c r="C432" s="3" t="s">
        <v>60</v>
      </c>
      <c r="D432" s="3">
        <v>5</v>
      </c>
      <c r="E432" s="3">
        <v>7</v>
      </c>
      <c r="F432" s="6">
        <v>40268</v>
      </c>
      <c r="G432" s="5">
        <v>12</v>
      </c>
      <c r="H432" s="3" t="s">
        <v>63</v>
      </c>
      <c r="I432" s="3" t="s">
        <v>4</v>
      </c>
      <c r="J432" s="7" t="b">
        <v>1</v>
      </c>
      <c r="K432" s="7"/>
      <c r="L432" s="7"/>
      <c r="M432" s="7"/>
      <c r="N432" s="7"/>
      <c r="O432" s="7"/>
      <c r="P432" s="7"/>
      <c r="Q432" s="7"/>
    </row>
    <row r="433" spans="1:17" ht="13.9">
      <c r="A433" s="3">
        <v>22915336</v>
      </c>
      <c r="B433" s="3">
        <v>3</v>
      </c>
      <c r="C433" s="3" t="s">
        <v>60</v>
      </c>
      <c r="D433" s="3">
        <v>2</v>
      </c>
      <c r="E433" s="3"/>
      <c r="F433" s="6">
        <v>41208</v>
      </c>
      <c r="G433" s="5">
        <v>10</v>
      </c>
      <c r="H433" s="3" t="s">
        <v>63</v>
      </c>
      <c r="I433" s="3" t="s">
        <v>7</v>
      </c>
      <c r="J433" s="7" t="b">
        <v>1</v>
      </c>
      <c r="K433" s="7"/>
      <c r="L433" s="7"/>
      <c r="M433" s="7"/>
      <c r="N433" s="7"/>
      <c r="O433" s="7"/>
      <c r="P433" s="7"/>
      <c r="Q433" s="7"/>
    </row>
    <row r="434" spans="1:17" ht="13.9">
      <c r="A434" s="3">
        <v>36920018</v>
      </c>
      <c r="B434" s="3">
        <v>3</v>
      </c>
      <c r="C434" s="3" t="s">
        <v>60</v>
      </c>
      <c r="D434" s="3">
        <v>7</v>
      </c>
      <c r="E434" s="3">
        <v>9</v>
      </c>
      <c r="F434" s="6">
        <v>41324</v>
      </c>
      <c r="G434" s="5">
        <v>9</v>
      </c>
      <c r="H434" s="3" t="s">
        <v>63</v>
      </c>
      <c r="I434" s="3" t="s">
        <v>7</v>
      </c>
      <c r="J434" s="7" t="b">
        <v>1</v>
      </c>
      <c r="K434" s="7"/>
      <c r="L434" s="7"/>
      <c r="M434" s="7"/>
      <c r="N434" s="7"/>
      <c r="O434" s="7"/>
      <c r="P434" s="7"/>
      <c r="Q434" s="7"/>
    </row>
    <row r="435" spans="1:17" ht="13.9">
      <c r="A435" s="3" t="s">
        <v>113</v>
      </c>
      <c r="B435" s="3">
        <v>6</v>
      </c>
      <c r="C435" s="3" t="s">
        <v>60</v>
      </c>
      <c r="D435" s="3">
        <v>7</v>
      </c>
      <c r="E435" s="3">
        <v>9</v>
      </c>
      <c r="F435" s="6">
        <v>40331</v>
      </c>
      <c r="G435" s="5">
        <v>12</v>
      </c>
      <c r="H435" s="3" t="s">
        <v>63</v>
      </c>
      <c r="I435" s="3" t="s">
        <v>7</v>
      </c>
      <c r="J435" s="7" t="b">
        <v>1</v>
      </c>
      <c r="K435" s="7"/>
      <c r="L435" s="7"/>
      <c r="M435" s="7"/>
      <c r="N435" s="7"/>
      <c r="O435" s="7"/>
      <c r="P435" s="7"/>
      <c r="Q435" s="7"/>
    </row>
    <row r="436" spans="1:17" ht="13.9">
      <c r="A436" s="3">
        <v>2016020</v>
      </c>
      <c r="B436" s="3">
        <v>7</v>
      </c>
      <c r="C436" s="3" t="s">
        <v>60</v>
      </c>
      <c r="D436" s="3">
        <v>7</v>
      </c>
      <c r="E436" s="3">
        <v>9</v>
      </c>
      <c r="F436" s="9">
        <v>39963</v>
      </c>
      <c r="G436" s="5">
        <v>13</v>
      </c>
      <c r="H436" s="3" t="s">
        <v>61</v>
      </c>
      <c r="I436" s="3" t="s">
        <v>7</v>
      </c>
      <c r="J436" s="7" t="b">
        <v>1</v>
      </c>
      <c r="K436" s="7"/>
      <c r="L436" s="7"/>
      <c r="M436" s="7"/>
      <c r="N436" s="7"/>
      <c r="O436" s="7"/>
      <c r="P436" s="7"/>
      <c r="Q436" s="7"/>
    </row>
    <row r="437" spans="1:17" ht="13.9">
      <c r="A437" s="3">
        <v>9215511</v>
      </c>
      <c r="B437" s="3">
        <v>2</v>
      </c>
      <c r="C437" s="3" t="s">
        <v>62</v>
      </c>
      <c r="D437" s="5">
        <v>11</v>
      </c>
      <c r="E437" s="3">
        <v>9</v>
      </c>
      <c r="F437" s="6">
        <v>41527</v>
      </c>
      <c r="G437" s="5">
        <v>9</v>
      </c>
      <c r="H437" s="3" t="s">
        <v>63</v>
      </c>
      <c r="I437" s="3" t="s">
        <v>7</v>
      </c>
      <c r="J437" s="7" t="b">
        <v>1</v>
      </c>
      <c r="K437" s="7"/>
      <c r="L437" s="7"/>
      <c r="M437" s="7"/>
      <c r="N437" s="7"/>
      <c r="O437" s="7"/>
      <c r="P437" s="7"/>
      <c r="Q437" s="7"/>
    </row>
    <row r="438" spans="1:17" ht="13.9">
      <c r="A438" s="3">
        <v>29111023</v>
      </c>
      <c r="B438" s="5">
        <v>12</v>
      </c>
      <c r="C438" s="3" t="s">
        <v>60</v>
      </c>
      <c r="D438" s="3">
        <v>7</v>
      </c>
      <c r="E438" s="3"/>
      <c r="F438" s="6">
        <v>38460</v>
      </c>
      <c r="G438" s="5">
        <v>17</v>
      </c>
      <c r="H438" s="3" t="s">
        <v>61</v>
      </c>
      <c r="I438" s="3" t="s">
        <v>7</v>
      </c>
      <c r="J438" s="7" t="b">
        <v>1</v>
      </c>
      <c r="K438" s="7"/>
      <c r="L438" s="7"/>
      <c r="M438" s="7"/>
      <c r="N438" s="7"/>
      <c r="O438" s="7"/>
      <c r="P438" s="7"/>
      <c r="Q438" s="7"/>
    </row>
    <row r="439" spans="1:17" ht="13.9">
      <c r="A439" s="3">
        <v>27512011</v>
      </c>
      <c r="B439" s="5">
        <v>11</v>
      </c>
      <c r="C439" s="3" t="s">
        <v>60</v>
      </c>
      <c r="D439" s="5">
        <v>17</v>
      </c>
      <c r="E439" s="3">
        <v>7</v>
      </c>
      <c r="F439" s="6">
        <v>38548</v>
      </c>
      <c r="G439" s="5">
        <v>17</v>
      </c>
      <c r="H439" s="3" t="s">
        <v>63</v>
      </c>
      <c r="I439" s="3" t="s">
        <v>7</v>
      </c>
      <c r="J439" s="7" t="b">
        <v>1</v>
      </c>
      <c r="K439" s="7"/>
      <c r="L439" s="7"/>
      <c r="M439" s="7"/>
      <c r="N439" s="7"/>
      <c r="O439" s="7"/>
      <c r="P439" s="7"/>
      <c r="Q439" s="7"/>
    </row>
    <row r="440" spans="1:17" ht="13.9">
      <c r="A440" s="3">
        <v>8318081</v>
      </c>
      <c r="B440" s="3">
        <v>4</v>
      </c>
      <c r="C440" s="3" t="s">
        <v>60</v>
      </c>
      <c r="D440" s="3">
        <v>7</v>
      </c>
      <c r="E440" s="3">
        <v>9</v>
      </c>
      <c r="F440" s="6">
        <v>41114</v>
      </c>
      <c r="G440" s="5">
        <v>10</v>
      </c>
      <c r="H440" s="3" t="s">
        <v>63</v>
      </c>
      <c r="I440" s="3" t="s">
        <v>7</v>
      </c>
      <c r="J440" s="7" t="b">
        <v>1</v>
      </c>
      <c r="K440" s="7"/>
      <c r="L440" s="7"/>
      <c r="M440" s="7"/>
      <c r="N440" s="7"/>
      <c r="O440" s="7"/>
      <c r="P440" s="7"/>
      <c r="Q440" s="7"/>
    </row>
    <row r="441" spans="1:17" ht="13.9">
      <c r="A441" s="5">
        <v>647812743</v>
      </c>
      <c r="B441" s="5">
        <v>10</v>
      </c>
      <c r="C441" s="3" t="s">
        <v>60</v>
      </c>
      <c r="D441" s="5">
        <v>17</v>
      </c>
      <c r="E441" s="3"/>
      <c r="F441" s="6">
        <v>38959</v>
      </c>
      <c r="G441" s="5">
        <v>16</v>
      </c>
      <c r="H441" s="3" t="s">
        <v>61</v>
      </c>
      <c r="I441" s="3" t="s">
        <v>7</v>
      </c>
      <c r="J441" s="7" t="b">
        <v>1</v>
      </c>
      <c r="K441" s="7"/>
      <c r="L441" s="7"/>
      <c r="M441" s="7"/>
      <c r="N441" s="7"/>
      <c r="O441" s="7"/>
      <c r="P441" s="7"/>
      <c r="Q441" s="7"/>
    </row>
    <row r="442" spans="1:17" ht="13.9">
      <c r="A442" s="3">
        <v>25321018</v>
      </c>
      <c r="B442" s="3">
        <v>2</v>
      </c>
      <c r="C442" s="3" t="s">
        <v>65</v>
      </c>
      <c r="D442" s="3">
        <v>8</v>
      </c>
      <c r="E442" s="3">
        <v>9</v>
      </c>
      <c r="F442" s="6">
        <v>42192</v>
      </c>
      <c r="G442" s="5">
        <v>7</v>
      </c>
      <c r="H442" s="3" t="s">
        <v>63</v>
      </c>
      <c r="I442" s="3" t="s">
        <v>4</v>
      </c>
      <c r="J442" s="7" t="b">
        <v>1</v>
      </c>
      <c r="K442" s="7"/>
      <c r="L442" s="7"/>
      <c r="M442" s="7"/>
      <c r="N442" s="7"/>
      <c r="O442" s="7"/>
      <c r="P442" s="7"/>
      <c r="Q442" s="7"/>
    </row>
    <row r="443" spans="1:17" ht="13.9">
      <c r="A443" s="3">
        <v>28121026</v>
      </c>
      <c r="B443" s="3">
        <v>2</v>
      </c>
      <c r="C443" s="3" t="s">
        <v>60</v>
      </c>
      <c r="D443" s="5">
        <v>15</v>
      </c>
      <c r="E443" s="3"/>
      <c r="F443" s="6">
        <v>42025</v>
      </c>
      <c r="G443" s="5">
        <v>7</v>
      </c>
      <c r="H443" s="3" t="s">
        <v>63</v>
      </c>
      <c r="I443" s="3" t="s">
        <v>7</v>
      </c>
      <c r="J443" s="7" t="b">
        <v>1</v>
      </c>
      <c r="K443" s="7"/>
      <c r="L443" s="7"/>
      <c r="M443" s="7"/>
      <c r="N443" s="7"/>
      <c r="O443" s="7"/>
      <c r="P443" s="7"/>
      <c r="Q443" s="7"/>
    </row>
    <row r="444" spans="1:17" ht="13.9">
      <c r="A444" s="3">
        <v>16409526</v>
      </c>
      <c r="B444" s="5">
        <v>11</v>
      </c>
      <c r="C444" s="3" t="s">
        <v>60</v>
      </c>
      <c r="D444" s="5">
        <v>15</v>
      </c>
      <c r="E444" s="3"/>
      <c r="F444" s="6">
        <v>38660</v>
      </c>
      <c r="G444" s="5">
        <v>17</v>
      </c>
      <c r="H444" s="3" t="s">
        <v>63</v>
      </c>
      <c r="I444" s="3" t="s">
        <v>7</v>
      </c>
      <c r="J444" s="7" t="b">
        <v>1</v>
      </c>
      <c r="K444" s="7"/>
      <c r="L444" s="7"/>
      <c r="M444" s="7"/>
      <c r="N444" s="7"/>
      <c r="O444" s="7"/>
      <c r="P444" s="7"/>
      <c r="Q444" s="7"/>
    </row>
    <row r="445" spans="1:17" ht="13.9">
      <c r="A445" s="5">
        <v>367318090</v>
      </c>
      <c r="B445" s="3">
        <v>5</v>
      </c>
      <c r="C445" s="3" t="s">
        <v>60</v>
      </c>
      <c r="D445" s="5">
        <v>15</v>
      </c>
      <c r="E445" s="3">
        <v>9</v>
      </c>
      <c r="F445" s="6">
        <v>40830</v>
      </c>
      <c r="G445" s="5">
        <v>11</v>
      </c>
      <c r="H445" s="3" t="s">
        <v>61</v>
      </c>
      <c r="I445" s="3" t="s">
        <v>7</v>
      </c>
      <c r="J445" s="7" t="b">
        <v>1</v>
      </c>
      <c r="K445" s="7"/>
      <c r="L445" s="7"/>
      <c r="M445" s="7"/>
      <c r="N445" s="7"/>
      <c r="O445" s="7"/>
      <c r="P445" s="7"/>
      <c r="Q445" s="7"/>
    </row>
    <row r="446" spans="1:17" ht="13.9">
      <c r="A446" s="3">
        <v>23914054</v>
      </c>
      <c r="B446" s="3">
        <v>9</v>
      </c>
      <c r="C446" s="3" t="s">
        <v>60</v>
      </c>
      <c r="D446" s="3">
        <v>7</v>
      </c>
      <c r="E446" s="3"/>
      <c r="F446" s="6">
        <v>39498</v>
      </c>
      <c r="G446" s="5">
        <v>14</v>
      </c>
      <c r="H446" s="3" t="s">
        <v>61</v>
      </c>
      <c r="I446" s="3" t="s">
        <v>8</v>
      </c>
      <c r="J446" s="7" t="b">
        <v>1</v>
      </c>
      <c r="K446" s="7"/>
      <c r="L446" s="7"/>
      <c r="M446" s="7"/>
      <c r="N446" s="7"/>
      <c r="O446" s="7"/>
      <c r="P446" s="7"/>
      <c r="Q446" s="7"/>
    </row>
    <row r="447" spans="1:17" ht="13.9">
      <c r="A447" s="3">
        <v>62910006</v>
      </c>
      <c r="B447" s="5">
        <v>11</v>
      </c>
      <c r="C447" s="3" t="s">
        <v>60</v>
      </c>
      <c r="D447" s="5">
        <v>10</v>
      </c>
      <c r="E447" s="3"/>
      <c r="F447" s="6">
        <v>38884</v>
      </c>
      <c r="G447" s="5">
        <v>16</v>
      </c>
      <c r="H447" s="3" t="s">
        <v>61</v>
      </c>
      <c r="I447" s="3" t="s">
        <v>4</v>
      </c>
      <c r="J447" s="7" t="b">
        <v>1</v>
      </c>
      <c r="K447" s="7"/>
      <c r="L447" s="7"/>
      <c r="M447" s="7"/>
      <c r="N447" s="7"/>
      <c r="O447" s="7"/>
      <c r="P447" s="7"/>
      <c r="Q447" s="7"/>
    </row>
    <row r="448" spans="1:17" ht="13.9">
      <c r="A448" s="3">
        <v>30510004</v>
      </c>
      <c r="B448" s="5">
        <v>12</v>
      </c>
      <c r="C448" s="3" t="s">
        <v>60</v>
      </c>
      <c r="D448" s="3">
        <v>7</v>
      </c>
      <c r="E448" s="3"/>
      <c r="F448" s="6">
        <v>37992</v>
      </c>
      <c r="G448" s="5">
        <v>18</v>
      </c>
      <c r="H448" s="3" t="s">
        <v>61</v>
      </c>
      <c r="I448" s="3" t="s">
        <v>7</v>
      </c>
      <c r="J448" s="7" t="b">
        <v>1</v>
      </c>
      <c r="K448" s="7"/>
      <c r="L448" s="7"/>
      <c r="M448" s="7"/>
      <c r="N448" s="7"/>
      <c r="O448" s="7"/>
      <c r="P448" s="7"/>
      <c r="Q448" s="7"/>
    </row>
    <row r="449" spans="1:17" ht="13.9">
      <c r="A449" s="3">
        <v>22919202</v>
      </c>
      <c r="B449" s="3" t="s">
        <v>41</v>
      </c>
      <c r="C449" s="3" t="s">
        <v>60</v>
      </c>
      <c r="D449" s="3">
        <v>8</v>
      </c>
      <c r="E449" s="3"/>
      <c r="F449" s="6">
        <v>42715</v>
      </c>
      <c r="G449" s="5">
        <v>5</v>
      </c>
      <c r="H449" s="3" t="s">
        <v>63</v>
      </c>
      <c r="I449" s="3" t="s">
        <v>7</v>
      </c>
      <c r="J449" s="7" t="b">
        <v>1</v>
      </c>
      <c r="K449" s="7"/>
      <c r="L449" s="7"/>
      <c r="M449" s="7"/>
      <c r="N449" s="7"/>
      <c r="O449" s="7"/>
      <c r="P449" s="7"/>
      <c r="Q449" s="7"/>
    </row>
    <row r="450" spans="1:17" ht="13.9">
      <c r="A450" s="3" t="s">
        <v>114</v>
      </c>
      <c r="B450" s="3">
        <v>7</v>
      </c>
      <c r="C450" s="3" t="s">
        <v>60</v>
      </c>
      <c r="D450" s="3">
        <v>5</v>
      </c>
      <c r="E450" s="3"/>
      <c r="F450" s="6">
        <v>40250</v>
      </c>
      <c r="G450" s="5">
        <v>12</v>
      </c>
      <c r="H450" s="3" t="s">
        <v>63</v>
      </c>
      <c r="I450" s="3" t="s">
        <v>4</v>
      </c>
      <c r="J450" s="7" t="b">
        <v>1</v>
      </c>
      <c r="K450" s="7"/>
      <c r="L450" s="7"/>
      <c r="M450" s="7"/>
      <c r="N450" s="7"/>
      <c r="O450" s="7"/>
      <c r="P450" s="7"/>
      <c r="Q450" s="7"/>
    </row>
    <row r="451" spans="1:17" ht="13.9">
      <c r="A451" s="3">
        <v>16116074</v>
      </c>
      <c r="B451" s="3">
        <v>6</v>
      </c>
      <c r="C451" s="3" t="s">
        <v>60</v>
      </c>
      <c r="D451" s="3">
        <v>7</v>
      </c>
      <c r="E451" s="3">
        <v>9</v>
      </c>
      <c r="F451" s="6">
        <v>40494</v>
      </c>
      <c r="G451" s="5">
        <v>12</v>
      </c>
      <c r="H451" s="3" t="s">
        <v>63</v>
      </c>
      <c r="I451" s="3" t="s">
        <v>6</v>
      </c>
      <c r="J451" s="7" t="b">
        <v>1</v>
      </c>
      <c r="K451" s="7"/>
      <c r="L451" s="7"/>
      <c r="M451" s="7"/>
      <c r="N451" s="7"/>
      <c r="O451" s="7"/>
      <c r="P451" s="7"/>
      <c r="Q451" s="7"/>
    </row>
    <row r="452" spans="1:17" ht="13.9">
      <c r="A452" s="3">
        <v>31810015</v>
      </c>
      <c r="B452" s="5">
        <v>10</v>
      </c>
      <c r="C452" s="3" t="s">
        <v>60</v>
      </c>
      <c r="D452" s="3">
        <v>1</v>
      </c>
      <c r="E452" s="3"/>
      <c r="F452" s="6">
        <v>39142</v>
      </c>
      <c r="G452" s="5">
        <v>15</v>
      </c>
      <c r="H452" s="3" t="s">
        <v>63</v>
      </c>
      <c r="I452" s="3" t="s">
        <v>7</v>
      </c>
      <c r="J452" s="7" t="b">
        <v>1</v>
      </c>
      <c r="K452" s="7"/>
      <c r="L452" s="7"/>
      <c r="M452" s="7"/>
      <c r="N452" s="7"/>
      <c r="O452" s="7"/>
      <c r="P452" s="7"/>
      <c r="Q452" s="7"/>
    </row>
    <row r="453" spans="1:17" ht="13.9">
      <c r="A453" s="3">
        <v>31013094</v>
      </c>
      <c r="B453" s="3">
        <v>9</v>
      </c>
      <c r="C453" s="3" t="s">
        <v>60</v>
      </c>
      <c r="D453" s="3">
        <v>7</v>
      </c>
      <c r="E453" s="3"/>
      <c r="F453" s="6">
        <v>39177</v>
      </c>
      <c r="G453" s="5">
        <v>15</v>
      </c>
      <c r="H453" s="3" t="s">
        <v>63</v>
      </c>
      <c r="I453" s="3" t="s">
        <v>6</v>
      </c>
      <c r="J453" s="7" t="b">
        <v>1</v>
      </c>
      <c r="K453" s="7"/>
      <c r="L453" s="7"/>
      <c r="M453" s="7"/>
      <c r="N453" s="7"/>
      <c r="O453" s="7"/>
      <c r="P453" s="7"/>
      <c r="Q453" s="7"/>
    </row>
    <row r="454" spans="1:17" ht="13.9">
      <c r="A454" s="3">
        <v>22920132</v>
      </c>
      <c r="B454" s="3">
        <v>2</v>
      </c>
      <c r="C454" s="3" t="s">
        <v>60</v>
      </c>
      <c r="D454" s="5">
        <v>17</v>
      </c>
      <c r="E454" s="3">
        <v>9</v>
      </c>
      <c r="F454" s="6">
        <v>41958</v>
      </c>
      <c r="G454" s="5">
        <v>8</v>
      </c>
      <c r="H454" s="3" t="s">
        <v>63</v>
      </c>
      <c r="I454" s="3" t="s">
        <v>8</v>
      </c>
      <c r="J454" s="7" t="b">
        <v>1</v>
      </c>
      <c r="K454" s="7"/>
      <c r="L454" s="7"/>
      <c r="M454" s="7"/>
      <c r="N454" s="7"/>
      <c r="O454" s="7"/>
      <c r="P454" s="7"/>
      <c r="Q454" s="7"/>
    </row>
    <row r="455" spans="1:17" ht="13.9">
      <c r="A455" s="3" t="s">
        <v>115</v>
      </c>
      <c r="B455" s="3">
        <v>9</v>
      </c>
      <c r="C455" s="3" t="s">
        <v>60</v>
      </c>
      <c r="D455" s="3">
        <v>7</v>
      </c>
      <c r="E455" s="3"/>
      <c r="F455" s="6">
        <v>39350</v>
      </c>
      <c r="G455" s="5">
        <v>15</v>
      </c>
      <c r="H455" s="3" t="s">
        <v>63</v>
      </c>
      <c r="I455" s="3" t="s">
        <v>7</v>
      </c>
      <c r="J455" s="7" t="b">
        <v>1</v>
      </c>
      <c r="K455" s="7"/>
      <c r="L455" s="7"/>
      <c r="M455" s="7"/>
      <c r="N455" s="7"/>
      <c r="O455" s="7"/>
      <c r="P455" s="7"/>
      <c r="Q455" s="7"/>
    </row>
    <row r="456" spans="1:17" ht="13.9">
      <c r="A456" s="3">
        <v>31817192</v>
      </c>
      <c r="B456" s="3">
        <v>1</v>
      </c>
      <c r="C456" s="3" t="s">
        <v>60</v>
      </c>
      <c r="D456" s="3">
        <v>8</v>
      </c>
      <c r="E456" s="3"/>
      <c r="F456" s="6">
        <v>42124</v>
      </c>
      <c r="G456" s="5">
        <v>7</v>
      </c>
      <c r="H456" s="3" t="s">
        <v>61</v>
      </c>
      <c r="I456" s="3" t="s">
        <v>7</v>
      </c>
      <c r="J456" s="7" t="b">
        <v>1</v>
      </c>
      <c r="K456" s="7"/>
      <c r="L456" s="7"/>
      <c r="M456" s="7"/>
      <c r="N456" s="7"/>
      <c r="O456" s="7"/>
      <c r="P456" s="7"/>
      <c r="Q456" s="7"/>
    </row>
    <row r="457" spans="1:17" ht="13.9">
      <c r="A457" s="3">
        <v>6820079</v>
      </c>
      <c r="B457" s="3">
        <v>2</v>
      </c>
      <c r="C457" s="3" t="s">
        <v>60</v>
      </c>
      <c r="D457" s="3">
        <v>9</v>
      </c>
      <c r="E457" s="3"/>
      <c r="F457" s="6">
        <v>42004</v>
      </c>
      <c r="G457" s="5">
        <v>7</v>
      </c>
      <c r="H457" s="3" t="s">
        <v>61</v>
      </c>
      <c r="I457" s="3" t="s">
        <v>7</v>
      </c>
      <c r="J457" s="7" t="b">
        <v>1</v>
      </c>
      <c r="K457" s="7"/>
      <c r="L457" s="7"/>
      <c r="M457" s="7"/>
      <c r="N457" s="7"/>
      <c r="O457" s="7"/>
      <c r="P457" s="7"/>
      <c r="Q457" s="7"/>
    </row>
    <row r="458" spans="1:17" ht="13.9">
      <c r="A458" s="3">
        <v>14114017</v>
      </c>
      <c r="B458" s="3">
        <v>8</v>
      </c>
      <c r="C458" s="3" t="s">
        <v>60</v>
      </c>
      <c r="D458" s="5">
        <v>10</v>
      </c>
      <c r="E458" s="3"/>
      <c r="F458" s="6">
        <v>39695</v>
      </c>
      <c r="G458" s="5">
        <v>14</v>
      </c>
      <c r="H458" s="3" t="s">
        <v>61</v>
      </c>
      <c r="I458" s="3" t="s">
        <v>8</v>
      </c>
      <c r="J458" s="7" t="b">
        <v>1</v>
      </c>
      <c r="K458" s="7"/>
      <c r="L458" s="7"/>
      <c r="M458" s="7"/>
      <c r="N458" s="7"/>
      <c r="O458" s="7"/>
      <c r="P458" s="7"/>
      <c r="Q458" s="7"/>
    </row>
    <row r="459" spans="1:17" ht="13.9">
      <c r="A459" s="3">
        <v>31811034</v>
      </c>
      <c r="B459" s="3">
        <v>8</v>
      </c>
      <c r="C459" s="3" t="s">
        <v>62</v>
      </c>
      <c r="D459" s="5">
        <v>12</v>
      </c>
      <c r="E459" s="3">
        <v>9</v>
      </c>
      <c r="F459" s="6">
        <v>39737</v>
      </c>
      <c r="G459" s="5">
        <v>14</v>
      </c>
      <c r="H459" s="3" t="s">
        <v>63</v>
      </c>
      <c r="I459" s="3" t="s">
        <v>7</v>
      </c>
      <c r="J459" s="7" t="b">
        <v>1</v>
      </c>
      <c r="K459" s="7"/>
      <c r="L459" s="7"/>
      <c r="M459" s="7"/>
      <c r="N459" s="7"/>
      <c r="O459" s="7"/>
      <c r="P459" s="7"/>
      <c r="Q459" s="7"/>
    </row>
    <row r="460" spans="1:17" ht="13.9">
      <c r="A460" s="3">
        <v>15317014</v>
      </c>
      <c r="B460" s="3">
        <v>6</v>
      </c>
      <c r="C460" s="3" t="s">
        <v>60</v>
      </c>
      <c r="D460" s="3">
        <v>7</v>
      </c>
      <c r="E460" s="3"/>
      <c r="F460" s="6">
        <v>40557</v>
      </c>
      <c r="G460" s="5">
        <v>11</v>
      </c>
      <c r="H460" s="3" t="s">
        <v>61</v>
      </c>
      <c r="I460" s="3" t="s">
        <v>7</v>
      </c>
      <c r="J460" s="7" t="b">
        <v>1</v>
      </c>
      <c r="K460" s="7"/>
      <c r="L460" s="7"/>
      <c r="M460" s="7"/>
      <c r="N460" s="7"/>
      <c r="O460" s="7"/>
      <c r="P460" s="7"/>
      <c r="Q460" s="7"/>
    </row>
    <row r="461" spans="1:17" ht="13.9">
      <c r="A461" s="3">
        <v>6319007</v>
      </c>
      <c r="B461" s="5">
        <v>10</v>
      </c>
      <c r="C461" s="3" t="s">
        <v>60</v>
      </c>
      <c r="D461" s="5">
        <v>15</v>
      </c>
      <c r="E461" s="3"/>
      <c r="F461" s="6">
        <v>39087</v>
      </c>
      <c r="G461" s="5">
        <v>15</v>
      </c>
      <c r="H461" s="3" t="s">
        <v>61</v>
      </c>
      <c r="I461" s="3" t="s">
        <v>6</v>
      </c>
      <c r="J461" s="7" t="b">
        <v>1</v>
      </c>
      <c r="K461" s="7"/>
      <c r="L461" s="7"/>
      <c r="M461" s="7"/>
      <c r="N461" s="7"/>
      <c r="O461" s="7"/>
      <c r="P461" s="7"/>
      <c r="Q461" s="7"/>
    </row>
    <row r="462" spans="1:17" ht="13.9">
      <c r="A462" s="5">
        <v>839611006</v>
      </c>
      <c r="B462" s="3">
        <v>8</v>
      </c>
      <c r="C462" s="3" t="s">
        <v>64</v>
      </c>
      <c r="D462" s="3">
        <v>4</v>
      </c>
      <c r="E462" s="5">
        <v>11</v>
      </c>
      <c r="F462" s="6">
        <v>39619</v>
      </c>
      <c r="G462" s="5">
        <v>14</v>
      </c>
      <c r="H462" s="3" t="s">
        <v>61</v>
      </c>
      <c r="I462" s="3" t="s">
        <v>7</v>
      </c>
      <c r="J462" s="7" t="b">
        <v>1</v>
      </c>
      <c r="K462" s="7"/>
      <c r="L462" s="7"/>
      <c r="M462" s="7"/>
      <c r="N462" s="7"/>
      <c r="O462" s="7"/>
      <c r="P462" s="7"/>
      <c r="Q462" s="7"/>
    </row>
    <row r="463" spans="1:17" ht="13.9">
      <c r="A463" s="3" t="s">
        <v>116</v>
      </c>
      <c r="B463" s="5">
        <v>11</v>
      </c>
      <c r="C463" s="3" t="s">
        <v>60</v>
      </c>
      <c r="D463" s="3">
        <v>7</v>
      </c>
      <c r="E463" s="3"/>
      <c r="F463" s="6">
        <v>38632</v>
      </c>
      <c r="G463" s="5">
        <v>17</v>
      </c>
      <c r="H463" s="3" t="s">
        <v>61</v>
      </c>
      <c r="I463" s="3" t="s">
        <v>7</v>
      </c>
      <c r="J463" s="7" t="b">
        <v>1</v>
      </c>
      <c r="K463" s="7"/>
      <c r="L463" s="7"/>
      <c r="M463" s="7"/>
      <c r="N463" s="7"/>
      <c r="O463" s="7"/>
      <c r="P463" s="7"/>
      <c r="Q463" s="7"/>
    </row>
    <row r="464" spans="1:17" ht="13.9">
      <c r="A464" s="3">
        <v>50113125</v>
      </c>
      <c r="B464" s="3">
        <v>8</v>
      </c>
      <c r="C464" s="3" t="s">
        <v>60</v>
      </c>
      <c r="D464" s="5">
        <v>17</v>
      </c>
      <c r="E464" s="3"/>
      <c r="F464" s="6">
        <v>39417</v>
      </c>
      <c r="G464" s="5">
        <v>15</v>
      </c>
      <c r="H464" s="3" t="s">
        <v>63</v>
      </c>
      <c r="I464" s="3" t="s">
        <v>7</v>
      </c>
      <c r="J464" s="7" t="b">
        <v>1</v>
      </c>
      <c r="K464" s="7"/>
      <c r="L464" s="7"/>
      <c r="M464" s="7"/>
      <c r="N464" s="7"/>
      <c r="O464" s="7"/>
      <c r="P464" s="7"/>
      <c r="Q464" s="7"/>
    </row>
    <row r="465" spans="1:17" ht="13.9">
      <c r="A465" s="3">
        <v>4109206</v>
      </c>
      <c r="B465" s="5">
        <v>12</v>
      </c>
      <c r="C465" s="3" t="s">
        <v>65</v>
      </c>
      <c r="D465" s="5">
        <v>17</v>
      </c>
      <c r="E465" s="3">
        <v>7</v>
      </c>
      <c r="F465" s="9">
        <v>38483</v>
      </c>
      <c r="G465" s="5">
        <v>17</v>
      </c>
      <c r="H465" s="3" t="s">
        <v>63</v>
      </c>
      <c r="I465" s="3" t="s">
        <v>7</v>
      </c>
      <c r="J465" s="7" t="b">
        <v>1</v>
      </c>
      <c r="K465" s="7"/>
      <c r="L465" s="7"/>
      <c r="M465" s="7"/>
      <c r="N465" s="7"/>
      <c r="O465" s="7"/>
      <c r="P465" s="7"/>
      <c r="Q465" s="7"/>
    </row>
    <row r="466" spans="1:17" ht="13.9">
      <c r="A466" s="3">
        <v>16110014</v>
      </c>
      <c r="B466" s="5">
        <v>12</v>
      </c>
      <c r="C466" s="3" t="s">
        <v>60</v>
      </c>
      <c r="D466" s="5">
        <v>15</v>
      </c>
      <c r="E466" s="3"/>
      <c r="F466" s="6">
        <v>38433</v>
      </c>
      <c r="G466" s="5">
        <v>17</v>
      </c>
      <c r="H466" s="3" t="s">
        <v>63</v>
      </c>
      <c r="I466" s="3" t="s">
        <v>7</v>
      </c>
      <c r="J466" s="7" t="b">
        <v>1</v>
      </c>
      <c r="K466" s="7"/>
      <c r="L466" s="7"/>
      <c r="M466" s="7"/>
      <c r="N466" s="7"/>
      <c r="O466" s="7"/>
      <c r="P466" s="7"/>
      <c r="Q466" s="7"/>
    </row>
    <row r="467" spans="1:17" ht="13.9">
      <c r="A467" s="3">
        <v>15718038</v>
      </c>
      <c r="B467" s="3">
        <v>5</v>
      </c>
      <c r="C467" s="3" t="s">
        <v>60</v>
      </c>
      <c r="D467" s="3">
        <v>9</v>
      </c>
      <c r="E467" s="3"/>
      <c r="F467" s="6">
        <v>40819</v>
      </c>
      <c r="G467" s="5">
        <v>11</v>
      </c>
      <c r="H467" s="3" t="s">
        <v>63</v>
      </c>
      <c r="I467" s="3" t="s">
        <v>7</v>
      </c>
      <c r="J467" s="7" t="b">
        <v>1</v>
      </c>
      <c r="K467" s="7"/>
      <c r="L467" s="7"/>
      <c r="M467" s="7"/>
      <c r="N467" s="7"/>
      <c r="O467" s="7"/>
      <c r="P467" s="7"/>
      <c r="Q467" s="7"/>
    </row>
    <row r="468" spans="1:17" ht="13.9">
      <c r="A468" s="3">
        <v>28123055</v>
      </c>
      <c r="B468" s="3" t="s">
        <v>41</v>
      </c>
      <c r="C468" s="3" t="s">
        <v>65</v>
      </c>
      <c r="D468" s="3">
        <v>8</v>
      </c>
      <c r="E468" s="3">
        <v>9</v>
      </c>
      <c r="F468" s="9">
        <v>42856</v>
      </c>
      <c r="G468" s="5">
        <v>5</v>
      </c>
      <c r="H468" s="3" t="s">
        <v>61</v>
      </c>
      <c r="I468" s="3" t="s">
        <v>7</v>
      </c>
      <c r="J468" s="7" t="b">
        <v>1</v>
      </c>
      <c r="K468" s="7"/>
      <c r="L468" s="7"/>
      <c r="M468" s="7"/>
      <c r="N468" s="7"/>
      <c r="O468" s="7"/>
      <c r="P468" s="7"/>
      <c r="Q468" s="7"/>
    </row>
    <row r="469" spans="1:17" ht="13.9">
      <c r="A469" s="3">
        <v>22920083</v>
      </c>
      <c r="B469" s="3" t="s">
        <v>41</v>
      </c>
      <c r="C469" s="3" t="s">
        <v>60</v>
      </c>
      <c r="D469" s="3">
        <v>9</v>
      </c>
      <c r="E469" s="3"/>
      <c r="F469" s="6">
        <v>42719</v>
      </c>
      <c r="G469" s="5">
        <v>5</v>
      </c>
      <c r="H469" s="3" t="s">
        <v>63</v>
      </c>
      <c r="I469" s="3" t="s">
        <v>7</v>
      </c>
      <c r="J469" s="7" t="b">
        <v>1</v>
      </c>
      <c r="K469" s="7"/>
      <c r="L469" s="7"/>
      <c r="M469" s="7"/>
      <c r="N469" s="7"/>
      <c r="O469" s="7"/>
      <c r="P469" s="7"/>
      <c r="Q469" s="7"/>
    </row>
    <row r="470" spans="1:17" ht="13.9">
      <c r="A470" s="5">
        <v>153914046</v>
      </c>
      <c r="B470" s="3">
        <v>8</v>
      </c>
      <c r="C470" s="3" t="s">
        <v>60</v>
      </c>
      <c r="D470" s="3">
        <v>7</v>
      </c>
      <c r="E470" s="3"/>
      <c r="F470" s="6">
        <v>39705</v>
      </c>
      <c r="G470" s="5">
        <v>14</v>
      </c>
      <c r="H470" s="3" t="s">
        <v>63</v>
      </c>
      <c r="I470" s="3" t="s">
        <v>4</v>
      </c>
      <c r="J470" s="7" t="b">
        <v>1</v>
      </c>
      <c r="K470" s="7"/>
      <c r="L470" s="7"/>
      <c r="M470" s="7"/>
      <c r="N470" s="7"/>
      <c r="O470" s="7"/>
      <c r="P470" s="7"/>
      <c r="Q470" s="7"/>
    </row>
    <row r="471" spans="1:17" ht="13.9">
      <c r="A471" s="3" t="s">
        <v>117</v>
      </c>
      <c r="B471" s="3">
        <v>6</v>
      </c>
      <c r="C471" s="3" t="s">
        <v>60</v>
      </c>
      <c r="D471" s="3">
        <v>7</v>
      </c>
      <c r="E471" s="3"/>
      <c r="F471" s="6">
        <v>40428</v>
      </c>
      <c r="G471" s="5">
        <v>12</v>
      </c>
      <c r="H471" s="3" t="s">
        <v>63</v>
      </c>
      <c r="I471" s="3" t="s">
        <v>4</v>
      </c>
      <c r="J471" s="7" t="b">
        <v>1</v>
      </c>
      <c r="K471" s="7"/>
      <c r="L471" s="7"/>
      <c r="M471" s="7"/>
      <c r="N471" s="7"/>
      <c r="O471" s="7"/>
      <c r="P471" s="7"/>
      <c r="Q471" s="7"/>
    </row>
    <row r="472" spans="1:17" ht="13.9">
      <c r="A472" s="3">
        <v>31808027</v>
      </c>
      <c r="B472" s="5">
        <v>12</v>
      </c>
      <c r="C472" s="3" t="s">
        <v>65</v>
      </c>
      <c r="D472" s="5">
        <v>15</v>
      </c>
      <c r="E472" s="3"/>
      <c r="F472" s="6">
        <v>38215</v>
      </c>
      <c r="G472" s="5">
        <v>18</v>
      </c>
      <c r="H472" s="3" t="s">
        <v>63</v>
      </c>
      <c r="I472" s="3" t="s">
        <v>7</v>
      </c>
      <c r="J472" s="7" t="b">
        <v>1</v>
      </c>
      <c r="K472" s="7"/>
      <c r="L472" s="7"/>
      <c r="M472" s="7"/>
      <c r="N472" s="7"/>
      <c r="O472" s="7"/>
      <c r="P472" s="7"/>
      <c r="Q472" s="7"/>
    </row>
    <row r="473" spans="1:17" ht="13.9">
      <c r="A473" s="3">
        <v>9416508</v>
      </c>
      <c r="B473" s="3">
        <v>2</v>
      </c>
      <c r="C473" s="3" t="s">
        <v>62</v>
      </c>
      <c r="D473" s="5">
        <v>15</v>
      </c>
      <c r="E473" s="3">
        <v>9</v>
      </c>
      <c r="F473" s="6">
        <v>41732</v>
      </c>
      <c r="G473" s="5">
        <v>8</v>
      </c>
      <c r="H473" s="3" t="s">
        <v>63</v>
      </c>
      <c r="I473" s="3" t="s">
        <v>7</v>
      </c>
      <c r="J473" s="7" t="b">
        <v>1</v>
      </c>
      <c r="K473" s="7"/>
      <c r="L473" s="7"/>
      <c r="M473" s="7"/>
      <c r="N473" s="7"/>
      <c r="O473" s="7"/>
      <c r="P473" s="7"/>
      <c r="Q473" s="7"/>
    </row>
    <row r="474" spans="1:17" ht="13.9">
      <c r="A474" s="3">
        <v>9517136</v>
      </c>
      <c r="B474" s="3">
        <v>2</v>
      </c>
      <c r="C474" s="3" t="s">
        <v>60</v>
      </c>
      <c r="D474" s="3">
        <v>9</v>
      </c>
      <c r="E474" s="3"/>
      <c r="F474" s="6">
        <v>41878</v>
      </c>
      <c r="G474" s="5">
        <v>8</v>
      </c>
      <c r="H474" s="3" t="s">
        <v>63</v>
      </c>
      <c r="I474" s="3" t="s">
        <v>7</v>
      </c>
      <c r="J474" s="7" t="b">
        <v>1</v>
      </c>
      <c r="K474" s="7"/>
      <c r="L474" s="7"/>
      <c r="M474" s="7"/>
      <c r="N474" s="7"/>
      <c r="O474" s="7"/>
      <c r="P474" s="7"/>
      <c r="Q474" s="7"/>
    </row>
    <row r="475" spans="1:17" ht="13.9">
      <c r="A475" s="3">
        <v>27314013</v>
      </c>
      <c r="B475" s="3">
        <v>9</v>
      </c>
      <c r="C475" s="3" t="s">
        <v>64</v>
      </c>
      <c r="D475" s="3">
        <v>6</v>
      </c>
      <c r="E475" s="3"/>
      <c r="F475" s="6">
        <v>39414</v>
      </c>
      <c r="G475" s="5">
        <v>15</v>
      </c>
      <c r="H475" s="3" t="s">
        <v>63</v>
      </c>
      <c r="I475" s="3" t="s">
        <v>4</v>
      </c>
      <c r="J475" s="7" t="b">
        <v>1</v>
      </c>
      <c r="K475" s="7"/>
      <c r="L475" s="7"/>
      <c r="M475" s="7"/>
      <c r="N475" s="7"/>
      <c r="O475" s="7"/>
      <c r="P475" s="7"/>
      <c r="Q475" s="7"/>
    </row>
    <row r="476" spans="1:17" ht="13.9">
      <c r="A476" s="3">
        <v>15116111</v>
      </c>
      <c r="B476" s="3">
        <v>6</v>
      </c>
      <c r="C476" s="3" t="s">
        <v>60</v>
      </c>
      <c r="D476" s="3">
        <v>7</v>
      </c>
      <c r="E476" s="3"/>
      <c r="F476" s="6">
        <v>40522</v>
      </c>
      <c r="G476" s="5">
        <v>11</v>
      </c>
      <c r="H476" s="3" t="s">
        <v>61</v>
      </c>
      <c r="I476" s="3" t="s">
        <v>6</v>
      </c>
      <c r="J476" s="7" t="b">
        <v>1</v>
      </c>
      <c r="K476" s="7"/>
      <c r="L476" s="7"/>
      <c r="M476" s="7"/>
      <c r="N476" s="7"/>
      <c r="O476" s="7"/>
      <c r="P476" s="7"/>
      <c r="Q476" s="7"/>
    </row>
    <row r="477" spans="1:17" ht="13.9">
      <c r="A477" s="3">
        <v>22910012</v>
      </c>
      <c r="B477" s="3">
        <v>9</v>
      </c>
      <c r="C477" s="3" t="s">
        <v>60</v>
      </c>
      <c r="D477" s="5">
        <v>17</v>
      </c>
      <c r="E477" s="3"/>
      <c r="F477" s="6">
        <v>39191</v>
      </c>
      <c r="G477" s="5">
        <v>15</v>
      </c>
      <c r="H477" s="3" t="s">
        <v>61</v>
      </c>
      <c r="I477" s="3" t="s">
        <v>7</v>
      </c>
      <c r="J477" s="7" t="b">
        <v>1</v>
      </c>
      <c r="K477" s="7"/>
      <c r="L477" s="7"/>
      <c r="M477" s="7"/>
      <c r="N477" s="7"/>
      <c r="O477" s="7"/>
      <c r="P477" s="7"/>
      <c r="Q477" s="7"/>
    </row>
    <row r="478" spans="1:17" ht="13.9">
      <c r="A478" s="3">
        <v>9417102</v>
      </c>
      <c r="B478" s="3">
        <v>6</v>
      </c>
      <c r="C478" s="3" t="s">
        <v>60</v>
      </c>
      <c r="D478" s="5">
        <v>17</v>
      </c>
      <c r="E478" s="3"/>
      <c r="F478" s="6">
        <v>40656</v>
      </c>
      <c r="G478" s="5">
        <v>11</v>
      </c>
      <c r="H478" s="3" t="s">
        <v>63</v>
      </c>
      <c r="I478" s="3" t="s">
        <v>7</v>
      </c>
      <c r="J478" s="7" t="b">
        <v>1</v>
      </c>
      <c r="K478" s="7"/>
      <c r="L478" s="7"/>
      <c r="M478" s="7"/>
      <c r="N478" s="7"/>
      <c r="O478" s="7"/>
      <c r="P478" s="7"/>
      <c r="Q478" s="7"/>
    </row>
    <row r="479" spans="1:17" ht="13.9">
      <c r="A479" s="3">
        <v>31013069</v>
      </c>
      <c r="B479" s="5">
        <v>10</v>
      </c>
      <c r="C479" s="3" t="s">
        <v>60</v>
      </c>
      <c r="D479" s="5">
        <v>17</v>
      </c>
      <c r="E479" s="3"/>
      <c r="F479" s="6">
        <v>39024</v>
      </c>
      <c r="G479" s="5">
        <v>16</v>
      </c>
      <c r="H479" s="3" t="s">
        <v>61</v>
      </c>
      <c r="I479" s="3" t="s">
        <v>8</v>
      </c>
      <c r="J479" s="7" t="b">
        <v>1</v>
      </c>
      <c r="K479" s="7"/>
      <c r="L479" s="7"/>
      <c r="M479" s="7"/>
      <c r="N479" s="7"/>
      <c r="O479" s="7"/>
      <c r="P479" s="7"/>
      <c r="Q479" s="7"/>
    </row>
    <row r="480" spans="1:17" ht="13.9">
      <c r="A480" s="3">
        <v>6817083</v>
      </c>
      <c r="B480" s="3">
        <v>4</v>
      </c>
      <c r="C480" s="3" t="s">
        <v>65</v>
      </c>
      <c r="D480" s="5">
        <v>15</v>
      </c>
      <c r="E480" s="3">
        <v>9</v>
      </c>
      <c r="F480" s="6">
        <v>40954</v>
      </c>
      <c r="G480" s="5">
        <v>10</v>
      </c>
      <c r="H480" s="3" t="s">
        <v>61</v>
      </c>
      <c r="I480" s="3" t="s">
        <v>7</v>
      </c>
      <c r="J480" s="7" t="b">
        <v>1</v>
      </c>
      <c r="K480" s="7"/>
      <c r="L480" s="7"/>
      <c r="M480" s="7"/>
      <c r="N480" s="7"/>
      <c r="O480" s="7"/>
      <c r="P480" s="7"/>
      <c r="Q480" s="7"/>
    </row>
    <row r="481" spans="1:17" ht="13.9">
      <c r="A481" s="3">
        <v>27014080</v>
      </c>
      <c r="B481" s="3">
        <v>8</v>
      </c>
      <c r="C481" s="3" t="s">
        <v>60</v>
      </c>
      <c r="D481" s="3">
        <v>5</v>
      </c>
      <c r="E481" s="3"/>
      <c r="F481" s="6">
        <v>39633</v>
      </c>
      <c r="G481" s="5">
        <v>14</v>
      </c>
      <c r="H481" s="3" t="s">
        <v>63</v>
      </c>
      <c r="I481" s="3" t="s">
        <v>7</v>
      </c>
      <c r="J481" s="7" t="b">
        <v>1</v>
      </c>
      <c r="K481" s="7"/>
      <c r="L481" s="7"/>
      <c r="M481" s="7"/>
      <c r="N481" s="7"/>
      <c r="O481" s="7"/>
      <c r="P481" s="7"/>
      <c r="Q481" s="7"/>
    </row>
    <row r="482" spans="1:17" ht="13.9">
      <c r="A482" s="3">
        <v>36317076</v>
      </c>
      <c r="B482" s="3">
        <v>9</v>
      </c>
      <c r="C482" s="3" t="s">
        <v>60</v>
      </c>
      <c r="D482" s="3">
        <v>7</v>
      </c>
      <c r="E482" s="5">
        <v>17</v>
      </c>
      <c r="F482" s="6">
        <v>39266</v>
      </c>
      <c r="G482" s="5">
        <v>15</v>
      </c>
      <c r="H482" s="3" t="s">
        <v>63</v>
      </c>
      <c r="I482" s="3" t="s">
        <v>7</v>
      </c>
      <c r="J482" s="7" t="b">
        <v>1</v>
      </c>
      <c r="K482" s="7"/>
      <c r="L482" s="7"/>
      <c r="M482" s="7"/>
      <c r="N482" s="7"/>
      <c r="O482" s="7"/>
      <c r="P482" s="7"/>
      <c r="Q482" s="7"/>
    </row>
    <row r="483" spans="1:17" ht="13.9">
      <c r="A483" s="3">
        <v>20516081</v>
      </c>
      <c r="B483" s="3">
        <v>9</v>
      </c>
      <c r="C483" s="3" t="s">
        <v>60</v>
      </c>
      <c r="D483" s="3">
        <v>5</v>
      </c>
      <c r="E483" s="3">
        <v>9</v>
      </c>
      <c r="F483" s="6">
        <v>39548</v>
      </c>
      <c r="G483" s="5">
        <v>14</v>
      </c>
      <c r="H483" s="3" t="s">
        <v>63</v>
      </c>
      <c r="I483" s="3" t="s">
        <v>4</v>
      </c>
      <c r="J483" s="7" t="b">
        <v>1</v>
      </c>
      <c r="K483" s="7"/>
      <c r="L483" s="7"/>
      <c r="M483" s="7"/>
      <c r="N483" s="7"/>
      <c r="O483" s="7"/>
      <c r="P483" s="7"/>
      <c r="Q483" s="7"/>
    </row>
    <row r="484" spans="1:17" ht="13.9">
      <c r="A484" s="3">
        <v>27522039</v>
      </c>
      <c r="B484" s="3">
        <v>1</v>
      </c>
      <c r="C484" s="3" t="s">
        <v>60</v>
      </c>
      <c r="D484" s="5">
        <v>15</v>
      </c>
      <c r="E484" s="3">
        <v>9</v>
      </c>
      <c r="F484" s="6">
        <v>42419</v>
      </c>
      <c r="G484" s="5">
        <v>6</v>
      </c>
      <c r="H484" s="3" t="s">
        <v>63</v>
      </c>
      <c r="I484" s="3" t="s">
        <v>7</v>
      </c>
      <c r="J484" s="7" t="b">
        <v>1</v>
      </c>
      <c r="K484" s="7"/>
      <c r="L484" s="7"/>
      <c r="M484" s="7"/>
      <c r="N484" s="7"/>
      <c r="O484" s="7"/>
      <c r="P484" s="7"/>
      <c r="Q484" s="7"/>
    </row>
    <row r="485" spans="1:17" ht="13.9">
      <c r="A485" s="3">
        <v>2017002</v>
      </c>
      <c r="B485" s="3">
        <v>5</v>
      </c>
      <c r="C485" s="3" t="s">
        <v>60</v>
      </c>
      <c r="D485" s="5">
        <v>17</v>
      </c>
      <c r="E485" s="3">
        <v>9</v>
      </c>
      <c r="F485" s="6">
        <v>40612</v>
      </c>
      <c r="G485" s="5">
        <v>11</v>
      </c>
      <c r="H485" s="3" t="s">
        <v>63</v>
      </c>
      <c r="I485" s="3" t="s">
        <v>7</v>
      </c>
      <c r="J485" s="7" t="b">
        <v>1</v>
      </c>
      <c r="K485" s="7"/>
      <c r="L485" s="7"/>
      <c r="M485" s="7"/>
      <c r="N485" s="7"/>
      <c r="O485" s="7"/>
      <c r="P485" s="7"/>
      <c r="Q485" s="7"/>
    </row>
    <row r="486" spans="1:17" ht="13.9">
      <c r="A486" s="3" t="s">
        <v>118</v>
      </c>
      <c r="B486" s="3">
        <v>7</v>
      </c>
      <c r="C486" s="3" t="s">
        <v>60</v>
      </c>
      <c r="D486" s="5">
        <v>17</v>
      </c>
      <c r="E486" s="3"/>
      <c r="F486" s="6">
        <v>39876</v>
      </c>
      <c r="G486" s="5">
        <v>13</v>
      </c>
      <c r="H486" s="3" t="s">
        <v>61</v>
      </c>
      <c r="I486" s="3" t="s">
        <v>7</v>
      </c>
      <c r="J486" s="7" t="b">
        <v>1</v>
      </c>
      <c r="K486" s="7"/>
      <c r="L486" s="7"/>
      <c r="M486" s="7"/>
      <c r="N486" s="7"/>
      <c r="O486" s="7"/>
      <c r="P486" s="7"/>
      <c r="Q486" s="7"/>
    </row>
    <row r="487" spans="1:17" ht="13.9">
      <c r="A487" s="3">
        <v>32322003</v>
      </c>
      <c r="B487" s="3">
        <v>1</v>
      </c>
      <c r="C487" s="3" t="s">
        <v>60</v>
      </c>
      <c r="D487" s="3">
        <v>9</v>
      </c>
      <c r="E487" s="3"/>
      <c r="F487" s="6">
        <v>42355</v>
      </c>
      <c r="G487" s="5">
        <v>6</v>
      </c>
      <c r="H487" s="3" t="s">
        <v>61</v>
      </c>
      <c r="I487" s="3" t="s">
        <v>7</v>
      </c>
      <c r="J487" s="7" t="b">
        <v>1</v>
      </c>
      <c r="K487" s="7"/>
      <c r="L487" s="7"/>
      <c r="M487" s="7"/>
      <c r="N487" s="7"/>
      <c r="O487" s="7"/>
      <c r="P487" s="7"/>
      <c r="Q487" s="7"/>
    </row>
    <row r="488" spans="1:17" ht="13.9">
      <c r="A488" s="5">
        <v>492114128</v>
      </c>
      <c r="B488" s="3">
        <v>7</v>
      </c>
      <c r="C488" s="3" t="s">
        <v>60</v>
      </c>
      <c r="D488" s="5">
        <v>17</v>
      </c>
      <c r="E488" s="3"/>
      <c r="F488" s="6">
        <v>39987</v>
      </c>
      <c r="G488" s="5">
        <v>13</v>
      </c>
      <c r="H488" s="3" t="s">
        <v>63</v>
      </c>
      <c r="I488" s="3" t="s">
        <v>6</v>
      </c>
      <c r="J488" s="7" t="b">
        <v>1</v>
      </c>
      <c r="K488" s="7"/>
      <c r="L488" s="7"/>
      <c r="M488" s="7"/>
      <c r="N488" s="7"/>
      <c r="O488" s="7"/>
      <c r="P488" s="7"/>
      <c r="Q488" s="7"/>
    </row>
    <row r="489" spans="1:17" ht="13.9">
      <c r="A489" s="3">
        <v>6420122</v>
      </c>
      <c r="B489" s="3">
        <v>6</v>
      </c>
      <c r="C489" s="3" t="s">
        <v>62</v>
      </c>
      <c r="D489" s="3">
        <v>1</v>
      </c>
      <c r="E489" s="3">
        <v>9</v>
      </c>
      <c r="F489" s="6">
        <v>39900</v>
      </c>
      <c r="G489" s="5">
        <v>13</v>
      </c>
      <c r="H489" s="3" t="s">
        <v>61</v>
      </c>
      <c r="I489" s="3" t="s">
        <v>7</v>
      </c>
      <c r="J489" s="7" t="b">
        <v>1</v>
      </c>
      <c r="K489" s="7"/>
      <c r="L489" s="7"/>
      <c r="M489" s="7"/>
      <c r="N489" s="7"/>
      <c r="O489" s="7"/>
      <c r="P489" s="7"/>
      <c r="Q489" s="7"/>
    </row>
    <row r="490" spans="1:17" ht="13.9">
      <c r="A490" s="3">
        <v>29115068</v>
      </c>
      <c r="B490" s="3">
        <v>8</v>
      </c>
      <c r="C490" s="3" t="s">
        <v>60</v>
      </c>
      <c r="D490" s="3">
        <v>7</v>
      </c>
      <c r="E490" s="3"/>
      <c r="F490" s="6">
        <v>39744</v>
      </c>
      <c r="G490" s="5">
        <v>14</v>
      </c>
      <c r="H490" s="3" t="s">
        <v>61</v>
      </c>
      <c r="I490" s="3" t="s">
        <v>7</v>
      </c>
      <c r="J490" s="7" t="b">
        <v>1</v>
      </c>
      <c r="K490" s="7"/>
      <c r="L490" s="7"/>
      <c r="M490" s="7"/>
      <c r="N490" s="7"/>
      <c r="O490" s="7"/>
      <c r="P490" s="7"/>
      <c r="Q490" s="7"/>
    </row>
    <row r="491" spans="1:17" ht="13.9">
      <c r="A491" s="3">
        <v>22921341</v>
      </c>
      <c r="B491" s="3" t="s">
        <v>41</v>
      </c>
      <c r="C491" s="3" t="s">
        <v>60</v>
      </c>
      <c r="D491" s="3">
        <v>8</v>
      </c>
      <c r="E491" s="3">
        <v>9</v>
      </c>
      <c r="F491" s="6">
        <v>42697</v>
      </c>
      <c r="G491" s="5">
        <v>6</v>
      </c>
      <c r="H491" s="3" t="s">
        <v>61</v>
      </c>
      <c r="I491" s="3" t="s">
        <v>6</v>
      </c>
      <c r="J491" s="7" t="b">
        <v>1</v>
      </c>
      <c r="K491" s="7"/>
      <c r="L491" s="7"/>
      <c r="M491" s="7"/>
      <c r="N491" s="7"/>
      <c r="O491" s="7"/>
      <c r="P491" s="7"/>
      <c r="Q491" s="7"/>
    </row>
    <row r="492" spans="1:17" ht="13.9">
      <c r="A492" s="5">
        <v>101414145</v>
      </c>
      <c r="B492" s="3">
        <v>8</v>
      </c>
      <c r="C492" s="3" t="s">
        <v>60</v>
      </c>
      <c r="D492" s="3">
        <v>7</v>
      </c>
      <c r="E492" s="3"/>
      <c r="F492" s="9">
        <v>39955</v>
      </c>
      <c r="G492" s="5">
        <v>13</v>
      </c>
      <c r="H492" s="3" t="s">
        <v>61</v>
      </c>
      <c r="I492" s="3" t="s">
        <v>6</v>
      </c>
      <c r="J492" s="7" t="b">
        <v>1</v>
      </c>
      <c r="K492" s="7"/>
      <c r="L492" s="7"/>
      <c r="M492" s="7"/>
      <c r="N492" s="7"/>
      <c r="O492" s="7"/>
      <c r="P492" s="7"/>
      <c r="Q492" s="7"/>
    </row>
    <row r="493" spans="1:17" ht="13.9">
      <c r="A493" s="3">
        <v>35322019</v>
      </c>
      <c r="B493" s="3">
        <v>1</v>
      </c>
      <c r="C493" s="3" t="s">
        <v>60</v>
      </c>
      <c r="D493" s="3">
        <v>7</v>
      </c>
      <c r="E493" s="3">
        <v>9</v>
      </c>
      <c r="F493" s="6">
        <v>42584</v>
      </c>
      <c r="G493" s="5">
        <v>6</v>
      </c>
      <c r="H493" s="3" t="s">
        <v>61</v>
      </c>
      <c r="I493" s="3" t="s">
        <v>8</v>
      </c>
      <c r="J493" s="7" t="b">
        <v>1</v>
      </c>
      <c r="K493" s="7"/>
      <c r="L493" s="7"/>
      <c r="M493" s="7"/>
      <c r="N493" s="7"/>
      <c r="O493" s="7"/>
      <c r="P493" s="7"/>
      <c r="Q493" s="7"/>
    </row>
    <row r="494" spans="1:17" ht="13.9">
      <c r="A494" s="3">
        <v>14113039</v>
      </c>
      <c r="B494" s="3">
        <v>9</v>
      </c>
      <c r="C494" s="3" t="s">
        <v>65</v>
      </c>
      <c r="D494" s="5">
        <v>11</v>
      </c>
      <c r="E494" s="3">
        <v>9</v>
      </c>
      <c r="F494" s="6">
        <v>39127</v>
      </c>
      <c r="G494" s="5">
        <v>15</v>
      </c>
      <c r="H494" s="3" t="s">
        <v>63</v>
      </c>
      <c r="I494" s="3" t="s">
        <v>7</v>
      </c>
      <c r="J494" s="7" t="b">
        <v>1</v>
      </c>
      <c r="K494" s="7"/>
      <c r="L494" s="7"/>
      <c r="M494" s="7"/>
      <c r="N494" s="7"/>
      <c r="O494" s="7"/>
      <c r="P494" s="7"/>
      <c r="Q494" s="7"/>
    </row>
    <row r="495" spans="1:17" ht="13.9">
      <c r="A495" s="5">
        <v>362518078</v>
      </c>
      <c r="B495" s="3">
        <v>1</v>
      </c>
      <c r="C495" s="3" t="s">
        <v>64</v>
      </c>
      <c r="D495" s="3">
        <v>7</v>
      </c>
      <c r="E495" s="3"/>
      <c r="F495" s="6">
        <v>42066</v>
      </c>
      <c r="G495" s="5">
        <v>7</v>
      </c>
      <c r="H495" s="3" t="s">
        <v>63</v>
      </c>
      <c r="I495" s="3" t="s">
        <v>6</v>
      </c>
      <c r="J495" s="7" t="b">
        <v>1</v>
      </c>
      <c r="K495" s="7"/>
      <c r="L495" s="7"/>
      <c r="M495" s="7"/>
      <c r="N495" s="7"/>
      <c r="O495" s="7"/>
      <c r="P495" s="7"/>
      <c r="Q495" s="7"/>
    </row>
    <row r="496" spans="1:17" ht="13.9">
      <c r="A496" s="5">
        <v>794420297</v>
      </c>
      <c r="B496" s="5">
        <v>12</v>
      </c>
      <c r="C496" s="3" t="s">
        <v>60</v>
      </c>
      <c r="D496" s="5">
        <v>17</v>
      </c>
      <c r="E496" s="3"/>
      <c r="F496" s="6">
        <v>38296</v>
      </c>
      <c r="G496" s="5">
        <v>18</v>
      </c>
      <c r="H496" s="3" t="s">
        <v>63</v>
      </c>
      <c r="I496" s="3" t="s">
        <v>6</v>
      </c>
      <c r="J496" s="7" t="b">
        <v>1</v>
      </c>
      <c r="K496" s="7"/>
      <c r="L496" s="7"/>
      <c r="M496" s="7"/>
      <c r="N496" s="7"/>
      <c r="O496" s="7"/>
      <c r="P496" s="7"/>
      <c r="Q496" s="7"/>
    </row>
    <row r="497" spans="1:17" ht="13.9">
      <c r="A497" s="5">
        <v>648513330</v>
      </c>
      <c r="B497" s="5">
        <v>11</v>
      </c>
      <c r="C497" s="3" t="s">
        <v>71</v>
      </c>
      <c r="D497" s="5">
        <v>11</v>
      </c>
      <c r="E497" s="3">
        <v>9</v>
      </c>
      <c r="F497" s="6">
        <v>38706</v>
      </c>
      <c r="G497" s="5">
        <v>16</v>
      </c>
      <c r="H497" s="3" t="s">
        <v>61</v>
      </c>
      <c r="I497" s="3" t="s">
        <v>7</v>
      </c>
      <c r="J497" s="7" t="b">
        <v>1</v>
      </c>
      <c r="K497" s="7"/>
      <c r="L497" s="7"/>
      <c r="M497" s="7"/>
      <c r="N497" s="7"/>
      <c r="O497" s="7"/>
      <c r="P497" s="7"/>
      <c r="Q497" s="7"/>
    </row>
    <row r="498" spans="1:17" ht="13.9">
      <c r="A498" s="3" t="s">
        <v>119</v>
      </c>
      <c r="B498" s="3">
        <v>4</v>
      </c>
      <c r="C498" s="3" t="s">
        <v>60</v>
      </c>
      <c r="D498" s="3">
        <v>7</v>
      </c>
      <c r="E498" s="3">
        <v>9</v>
      </c>
      <c r="F498" s="6">
        <v>40855</v>
      </c>
      <c r="G498" s="5">
        <v>11</v>
      </c>
      <c r="H498" s="3" t="s">
        <v>61</v>
      </c>
      <c r="I498" s="3" t="s">
        <v>6</v>
      </c>
      <c r="J498" s="7" t="b">
        <v>1</v>
      </c>
      <c r="K498" s="7"/>
      <c r="L498" s="7"/>
      <c r="M498" s="7"/>
      <c r="N498" s="7"/>
      <c r="O498" s="7"/>
      <c r="P498" s="7"/>
      <c r="Q498" s="7"/>
    </row>
    <row r="499" spans="1:17" ht="13.9">
      <c r="A499" s="3">
        <v>22918073</v>
      </c>
      <c r="B499" s="3">
        <v>1</v>
      </c>
      <c r="C499" s="3" t="s">
        <v>60</v>
      </c>
      <c r="D499" s="3">
        <v>9</v>
      </c>
      <c r="E499" s="3"/>
      <c r="F499" s="9">
        <v>42139</v>
      </c>
      <c r="G499" s="5">
        <v>7</v>
      </c>
      <c r="H499" s="3" t="s">
        <v>63</v>
      </c>
      <c r="I499" s="3" t="s">
        <v>7</v>
      </c>
      <c r="J499" s="7" t="b">
        <v>1</v>
      </c>
      <c r="K499" s="7"/>
      <c r="L499" s="7"/>
      <c r="M499" s="7"/>
      <c r="N499" s="7"/>
      <c r="O499" s="7"/>
      <c r="P499" s="7"/>
      <c r="Q499" s="7"/>
    </row>
    <row r="500" spans="1:17" ht="13.9">
      <c r="A500" s="3">
        <v>4109545</v>
      </c>
      <c r="B500" s="3">
        <v>8</v>
      </c>
      <c r="C500" s="3" t="s">
        <v>60</v>
      </c>
      <c r="D500" s="5">
        <v>17</v>
      </c>
      <c r="E500" s="3"/>
      <c r="F500" s="6">
        <v>39682</v>
      </c>
      <c r="G500" s="5">
        <v>14</v>
      </c>
      <c r="H500" s="3" t="s">
        <v>63</v>
      </c>
      <c r="I500" s="3" t="s">
        <v>7</v>
      </c>
      <c r="J500" s="7" t="b">
        <v>1</v>
      </c>
      <c r="K500" s="7"/>
      <c r="L500" s="7"/>
      <c r="M500" s="7"/>
      <c r="N500" s="7"/>
      <c r="O500" s="7"/>
      <c r="P500" s="7"/>
      <c r="Q500" s="7"/>
    </row>
    <row r="501" spans="1:17" ht="13.9">
      <c r="A501" s="3">
        <v>9518055</v>
      </c>
      <c r="B501" s="3">
        <v>4</v>
      </c>
      <c r="C501" s="3" t="s">
        <v>60</v>
      </c>
      <c r="D501" s="3">
        <v>9</v>
      </c>
      <c r="E501" s="3"/>
      <c r="F501" s="6">
        <v>41320</v>
      </c>
      <c r="G501" s="5">
        <v>9</v>
      </c>
      <c r="H501" s="3" t="s">
        <v>61</v>
      </c>
      <c r="I501" s="3" t="s">
        <v>7</v>
      </c>
      <c r="J501" s="7" t="b">
        <v>1</v>
      </c>
      <c r="K501" s="7"/>
      <c r="L501" s="7"/>
      <c r="M501" s="7"/>
      <c r="N501" s="7"/>
      <c r="O501" s="7"/>
      <c r="P501" s="7"/>
      <c r="Q501" s="7"/>
    </row>
    <row r="502" spans="1:17" ht="13.9">
      <c r="A502" s="3">
        <v>25717024</v>
      </c>
      <c r="B502" s="3">
        <v>6</v>
      </c>
      <c r="C502" s="3" t="s">
        <v>60</v>
      </c>
      <c r="D502" s="3">
        <v>9</v>
      </c>
      <c r="E502" s="3"/>
      <c r="F502" s="6">
        <v>40412</v>
      </c>
      <c r="G502" s="5">
        <v>12</v>
      </c>
      <c r="H502" s="3" t="s">
        <v>63</v>
      </c>
      <c r="I502" s="3" t="s">
        <v>7</v>
      </c>
      <c r="J502" s="7" t="b">
        <v>1</v>
      </c>
      <c r="K502" s="7"/>
      <c r="L502" s="7"/>
      <c r="M502" s="7"/>
      <c r="N502" s="7"/>
      <c r="O502" s="7"/>
      <c r="P502" s="7"/>
      <c r="Q502" s="7"/>
    </row>
    <row r="503" spans="1:17" ht="13.9">
      <c r="A503" s="3">
        <v>2510134</v>
      </c>
      <c r="B503" s="5">
        <v>11</v>
      </c>
      <c r="C503" s="3" t="s">
        <v>60</v>
      </c>
      <c r="D503" s="3">
        <v>7</v>
      </c>
      <c r="E503" s="3">
        <v>9</v>
      </c>
      <c r="F503" s="6">
        <v>38572</v>
      </c>
      <c r="G503" s="5">
        <v>17</v>
      </c>
      <c r="H503" s="3" t="s">
        <v>63</v>
      </c>
      <c r="I503" s="3" t="s">
        <v>7</v>
      </c>
      <c r="J503" s="7" t="b">
        <v>1</v>
      </c>
      <c r="K503" s="7"/>
      <c r="L503" s="7"/>
      <c r="M503" s="7"/>
      <c r="N503" s="7"/>
      <c r="O503" s="7"/>
      <c r="P503" s="7"/>
      <c r="Q503" s="7"/>
    </row>
    <row r="504" spans="1:17" ht="13.9">
      <c r="A504" s="3">
        <v>8318093</v>
      </c>
      <c r="B504" s="3">
        <v>4</v>
      </c>
      <c r="C504" s="3" t="s">
        <v>60</v>
      </c>
      <c r="D504" s="5">
        <v>10</v>
      </c>
      <c r="E504" s="3"/>
      <c r="F504" s="6">
        <v>40980</v>
      </c>
      <c r="G504" s="5">
        <v>10</v>
      </c>
      <c r="H504" s="3" t="s">
        <v>63</v>
      </c>
      <c r="I504" s="3" t="s">
        <v>7</v>
      </c>
      <c r="J504" s="7" t="b">
        <v>1</v>
      </c>
      <c r="K504" s="7"/>
      <c r="L504" s="7"/>
      <c r="M504" s="7"/>
      <c r="N504" s="7"/>
      <c r="O504" s="7"/>
      <c r="P504" s="7"/>
      <c r="Q504" s="7"/>
    </row>
    <row r="505" spans="1:17" ht="13.9">
      <c r="A505" s="3">
        <v>7311004</v>
      </c>
      <c r="B505" s="5">
        <v>12</v>
      </c>
      <c r="C505" s="3" t="s">
        <v>60</v>
      </c>
      <c r="D505" s="3">
        <v>7</v>
      </c>
      <c r="E505" s="3"/>
      <c r="F505" s="6">
        <v>38253</v>
      </c>
      <c r="G505" s="5">
        <v>18</v>
      </c>
      <c r="H505" s="3" t="s">
        <v>61</v>
      </c>
      <c r="I505" s="3" t="s">
        <v>7</v>
      </c>
      <c r="J505" s="7" t="b">
        <v>1</v>
      </c>
      <c r="K505" s="7"/>
      <c r="L505" s="7"/>
      <c r="M505" s="7"/>
      <c r="N505" s="7"/>
      <c r="O505" s="7"/>
      <c r="P505" s="7"/>
      <c r="Q505" s="7"/>
    </row>
    <row r="506" spans="1:17" ht="13.9">
      <c r="A506" s="3">
        <v>26522048</v>
      </c>
      <c r="B506" s="3" t="s">
        <v>41</v>
      </c>
      <c r="C506" s="3" t="s">
        <v>62</v>
      </c>
      <c r="D506" s="5">
        <v>17</v>
      </c>
      <c r="E506" s="3">
        <v>9</v>
      </c>
      <c r="F506" s="6">
        <v>42804</v>
      </c>
      <c r="G506" s="5">
        <v>5</v>
      </c>
      <c r="H506" s="3" t="s">
        <v>63</v>
      </c>
      <c r="I506" s="3" t="s">
        <v>6</v>
      </c>
      <c r="J506" s="7" t="b">
        <v>1</v>
      </c>
      <c r="K506" s="7"/>
      <c r="L506" s="7"/>
      <c r="M506" s="7"/>
      <c r="N506" s="7"/>
      <c r="O506" s="7"/>
      <c r="P506" s="7"/>
      <c r="Q506" s="7"/>
    </row>
    <row r="507" spans="1:17" ht="13.9">
      <c r="A507" s="3">
        <v>18616056</v>
      </c>
      <c r="B507" s="3">
        <v>7</v>
      </c>
      <c r="C507" s="3" t="s">
        <v>60</v>
      </c>
      <c r="D507" s="5">
        <v>17</v>
      </c>
      <c r="E507" s="3"/>
      <c r="F507" s="6">
        <v>40077</v>
      </c>
      <c r="G507" s="5">
        <v>13</v>
      </c>
      <c r="H507" s="3" t="s">
        <v>63</v>
      </c>
      <c r="I507" s="3" t="s">
        <v>7</v>
      </c>
      <c r="J507" s="7" t="b">
        <v>1</v>
      </c>
      <c r="K507" s="7"/>
      <c r="L507" s="7"/>
      <c r="M507" s="7"/>
      <c r="N507" s="7"/>
      <c r="O507" s="7"/>
      <c r="P507" s="7"/>
      <c r="Q507" s="7"/>
    </row>
    <row r="508" spans="1:17" ht="13.9">
      <c r="A508" s="3">
        <v>51712212</v>
      </c>
      <c r="B508" s="3">
        <v>9</v>
      </c>
      <c r="C508" s="3" t="s">
        <v>60</v>
      </c>
      <c r="D508" s="3">
        <v>7</v>
      </c>
      <c r="E508" s="3"/>
      <c r="F508" s="6">
        <v>39606</v>
      </c>
      <c r="G508" s="5">
        <v>14</v>
      </c>
      <c r="H508" s="3" t="s">
        <v>63</v>
      </c>
      <c r="I508" s="3" t="s">
        <v>7</v>
      </c>
      <c r="J508" s="7" t="b">
        <v>1</v>
      </c>
      <c r="K508" s="7"/>
      <c r="L508" s="7"/>
      <c r="M508" s="7"/>
      <c r="N508" s="7"/>
      <c r="O508" s="7"/>
      <c r="P508" s="7"/>
      <c r="Q508" s="7"/>
    </row>
    <row r="509" spans="1:17" ht="13.9">
      <c r="A509" s="3" t="s">
        <v>120</v>
      </c>
      <c r="B509" s="5">
        <v>12</v>
      </c>
      <c r="C509" s="3" t="s">
        <v>64</v>
      </c>
      <c r="D509" s="5">
        <v>15</v>
      </c>
      <c r="E509" s="3">
        <v>9</v>
      </c>
      <c r="F509" s="6">
        <v>38231</v>
      </c>
      <c r="G509" s="5">
        <v>18</v>
      </c>
      <c r="H509" s="3" t="s">
        <v>63</v>
      </c>
      <c r="I509" s="3" t="s">
        <v>7</v>
      </c>
      <c r="J509" s="7" t="b">
        <v>1</v>
      </c>
      <c r="K509" s="7"/>
      <c r="L509" s="7"/>
      <c r="M509" s="7"/>
      <c r="N509" s="7"/>
      <c r="O509" s="7"/>
      <c r="P509" s="7"/>
      <c r="Q509" s="7"/>
    </row>
    <row r="510" spans="1:17" ht="13.9">
      <c r="A510" s="5">
        <v>688819008</v>
      </c>
      <c r="B510" s="3" t="s">
        <v>41</v>
      </c>
      <c r="C510" s="3" t="s">
        <v>64</v>
      </c>
      <c r="D510" s="3">
        <v>8</v>
      </c>
      <c r="E510" s="3">
        <v>9</v>
      </c>
      <c r="F510" s="6">
        <v>42349</v>
      </c>
      <c r="G510" s="5">
        <v>6</v>
      </c>
      <c r="H510" s="3" t="s">
        <v>63</v>
      </c>
      <c r="I510" s="3" t="s">
        <v>7</v>
      </c>
      <c r="J510" s="7" t="b">
        <v>1</v>
      </c>
      <c r="K510" s="7"/>
      <c r="L510" s="7"/>
      <c r="M510" s="7"/>
      <c r="N510" s="7"/>
      <c r="O510" s="7"/>
      <c r="P510" s="7"/>
      <c r="Q510" s="7"/>
    </row>
    <row r="511" spans="1:17" ht="13.9">
      <c r="A511" s="3">
        <v>2518038</v>
      </c>
      <c r="B511" s="3">
        <v>5</v>
      </c>
      <c r="C511" s="3" t="s">
        <v>60</v>
      </c>
      <c r="D511" s="5">
        <v>17</v>
      </c>
      <c r="E511" s="3"/>
      <c r="F511" s="6">
        <v>40846</v>
      </c>
      <c r="G511" s="5">
        <v>11</v>
      </c>
      <c r="H511" s="3" t="s">
        <v>63</v>
      </c>
      <c r="I511" s="3" t="s">
        <v>7</v>
      </c>
      <c r="J511" s="7" t="b">
        <v>1</v>
      </c>
      <c r="K511" s="7"/>
      <c r="L511" s="7"/>
      <c r="M511" s="7"/>
      <c r="N511" s="7"/>
      <c r="O511" s="7"/>
      <c r="P511" s="7"/>
      <c r="Q511" s="7"/>
    </row>
    <row r="512" spans="1:17" ht="13.9">
      <c r="A512" s="5">
        <v>314114052</v>
      </c>
      <c r="B512" s="3">
        <v>8</v>
      </c>
      <c r="C512" s="3" t="s">
        <v>64</v>
      </c>
      <c r="D512" s="3">
        <v>7</v>
      </c>
      <c r="E512" s="3"/>
      <c r="F512" s="6">
        <v>39409</v>
      </c>
      <c r="G512" s="5">
        <v>15</v>
      </c>
      <c r="H512" s="3" t="s">
        <v>61</v>
      </c>
      <c r="I512" s="3" t="s">
        <v>6</v>
      </c>
      <c r="J512" s="7" t="b">
        <v>1</v>
      </c>
      <c r="K512" s="7"/>
      <c r="L512" s="7"/>
      <c r="M512" s="7"/>
      <c r="N512" s="7"/>
      <c r="O512" s="7"/>
      <c r="P512" s="7"/>
      <c r="Q512" s="7"/>
    </row>
    <row r="513" spans="1:17" ht="13.9">
      <c r="A513" s="3">
        <v>4109538</v>
      </c>
      <c r="B513" s="3">
        <v>7</v>
      </c>
      <c r="C513" s="3" t="s">
        <v>60</v>
      </c>
      <c r="D513" s="3">
        <v>4</v>
      </c>
      <c r="E513" s="3">
        <v>9</v>
      </c>
      <c r="F513" s="6">
        <v>40291</v>
      </c>
      <c r="G513" s="5">
        <v>12</v>
      </c>
      <c r="H513" s="3" t="s">
        <v>63</v>
      </c>
      <c r="I513" s="3" t="s">
        <v>7</v>
      </c>
      <c r="J513" s="7" t="b">
        <v>1</v>
      </c>
      <c r="K513" s="7"/>
      <c r="L513" s="7"/>
      <c r="M513" s="7"/>
      <c r="N513" s="7"/>
      <c r="O513" s="7"/>
      <c r="P513" s="7"/>
      <c r="Q513" s="7"/>
    </row>
    <row r="514" spans="1:17" ht="13.9">
      <c r="A514" s="3">
        <v>35420110</v>
      </c>
      <c r="B514" s="3">
        <v>1</v>
      </c>
      <c r="C514" s="3" t="s">
        <v>60</v>
      </c>
      <c r="D514" s="3">
        <v>9</v>
      </c>
      <c r="E514" s="3"/>
      <c r="F514" s="9">
        <v>42513</v>
      </c>
      <c r="G514" s="5">
        <v>6</v>
      </c>
      <c r="H514" s="3" t="s">
        <v>63</v>
      </c>
      <c r="I514" s="3" t="s">
        <v>7</v>
      </c>
      <c r="J514" s="7" t="b">
        <v>1</v>
      </c>
      <c r="K514" s="7"/>
      <c r="L514" s="7"/>
      <c r="M514" s="7"/>
      <c r="N514" s="7"/>
      <c r="O514" s="7"/>
      <c r="P514" s="7"/>
      <c r="Q514" s="7"/>
    </row>
    <row r="515" spans="1:17" ht="13.9">
      <c r="A515" s="3">
        <v>4109363</v>
      </c>
      <c r="B515" s="5">
        <v>10</v>
      </c>
      <c r="C515" s="3" t="s">
        <v>60</v>
      </c>
      <c r="D515" s="3">
        <v>7</v>
      </c>
      <c r="E515" s="3"/>
      <c r="F515" s="6">
        <v>38919</v>
      </c>
      <c r="G515" s="5">
        <v>16</v>
      </c>
      <c r="H515" s="3" t="s">
        <v>63</v>
      </c>
      <c r="I515" s="3" t="s">
        <v>7</v>
      </c>
      <c r="J515" s="7" t="b">
        <v>1</v>
      </c>
      <c r="K515" s="7"/>
      <c r="L515" s="7"/>
      <c r="M515" s="7"/>
      <c r="N515" s="7"/>
      <c r="O515" s="7"/>
      <c r="P515" s="7"/>
      <c r="Q515" s="7"/>
    </row>
    <row r="516" spans="1:17" ht="13.9">
      <c r="A516" s="3">
        <v>25319072</v>
      </c>
      <c r="B516" s="3">
        <v>8</v>
      </c>
      <c r="C516" s="3" t="s">
        <v>60</v>
      </c>
      <c r="D516" s="3">
        <v>7</v>
      </c>
      <c r="E516" s="3"/>
      <c r="F516" s="6">
        <v>39722</v>
      </c>
      <c r="G516" s="5">
        <v>14</v>
      </c>
      <c r="H516" s="3" t="s">
        <v>63</v>
      </c>
      <c r="I516" s="3" t="s">
        <v>4</v>
      </c>
      <c r="J516" s="7" t="b">
        <v>1</v>
      </c>
      <c r="K516" s="7"/>
      <c r="L516" s="7"/>
      <c r="M516" s="7"/>
      <c r="N516" s="7"/>
      <c r="O516" s="7"/>
      <c r="P516" s="7"/>
      <c r="Q516" s="7"/>
    </row>
    <row r="517" spans="1:17" ht="13.9">
      <c r="A517" s="3">
        <v>31816712</v>
      </c>
      <c r="B517" s="3">
        <v>4</v>
      </c>
      <c r="C517" s="3" t="s">
        <v>60</v>
      </c>
      <c r="D517" s="3">
        <v>7</v>
      </c>
      <c r="E517" s="5">
        <v>17</v>
      </c>
      <c r="F517" s="6">
        <v>41255</v>
      </c>
      <c r="G517" s="5">
        <v>9</v>
      </c>
      <c r="H517" s="3" t="s">
        <v>63</v>
      </c>
      <c r="I517" s="3" t="s">
        <v>7</v>
      </c>
      <c r="J517" s="7" t="b">
        <v>1</v>
      </c>
      <c r="K517" s="7"/>
      <c r="L517" s="7"/>
      <c r="M517" s="7"/>
      <c r="N517" s="7"/>
      <c r="O517" s="7"/>
      <c r="P517" s="7"/>
      <c r="Q517" s="7"/>
    </row>
    <row r="518" spans="1:17" ht="13.9">
      <c r="A518" s="5">
        <v>520518117</v>
      </c>
      <c r="B518" s="3">
        <v>2</v>
      </c>
      <c r="C518" s="3" t="s">
        <v>60</v>
      </c>
      <c r="D518" s="3">
        <v>9</v>
      </c>
      <c r="E518" s="3"/>
      <c r="F518" s="6">
        <v>42045</v>
      </c>
      <c r="G518" s="5">
        <v>7</v>
      </c>
      <c r="H518" s="3" t="s">
        <v>63</v>
      </c>
      <c r="I518" s="3" t="s">
        <v>7</v>
      </c>
      <c r="J518" s="7" t="b">
        <v>1</v>
      </c>
      <c r="K518" s="7"/>
      <c r="L518" s="7"/>
      <c r="M518" s="7"/>
      <c r="N518" s="7"/>
      <c r="O518" s="7"/>
      <c r="P518" s="7"/>
      <c r="Q518" s="7"/>
    </row>
    <row r="519" spans="1:17" ht="13.9">
      <c r="A519" s="3">
        <v>31817139</v>
      </c>
      <c r="B519" s="3">
        <v>1</v>
      </c>
      <c r="C519" s="3" t="s">
        <v>60</v>
      </c>
      <c r="D519" s="5">
        <v>10</v>
      </c>
      <c r="E519" s="3">
        <v>9</v>
      </c>
      <c r="F519" s="6">
        <v>42354</v>
      </c>
      <c r="G519" s="5">
        <v>6</v>
      </c>
      <c r="H519" s="3" t="s">
        <v>63</v>
      </c>
      <c r="I519" s="3" t="s">
        <v>7</v>
      </c>
      <c r="J519" s="7" t="b">
        <v>1</v>
      </c>
      <c r="K519" s="7"/>
      <c r="L519" s="7"/>
      <c r="M519" s="7"/>
      <c r="N519" s="7"/>
      <c r="O519" s="7"/>
      <c r="P519" s="7"/>
      <c r="Q519" s="7"/>
    </row>
    <row r="520" spans="1:17" ht="13.9">
      <c r="A520" s="3">
        <v>7118140</v>
      </c>
      <c r="B520" s="3">
        <v>5</v>
      </c>
      <c r="C520" s="3" t="s">
        <v>60</v>
      </c>
      <c r="D520" s="3">
        <v>6</v>
      </c>
      <c r="E520" s="5">
        <v>17</v>
      </c>
      <c r="F520" s="9">
        <v>41037</v>
      </c>
      <c r="G520" s="5">
        <v>10</v>
      </c>
      <c r="H520" s="3" t="s">
        <v>61</v>
      </c>
      <c r="I520" s="3" t="s">
        <v>3</v>
      </c>
      <c r="J520" s="7" t="b">
        <v>1</v>
      </c>
      <c r="K520" s="7"/>
      <c r="L520" s="7"/>
      <c r="M520" s="7"/>
      <c r="N520" s="7"/>
      <c r="O520" s="7"/>
      <c r="P520" s="7"/>
      <c r="Q520" s="7"/>
    </row>
    <row r="521" spans="1:17" ht="13.9">
      <c r="A521" s="3">
        <v>4109846</v>
      </c>
      <c r="B521" s="3">
        <v>6</v>
      </c>
      <c r="C521" s="3" t="s">
        <v>60</v>
      </c>
      <c r="D521" s="3">
        <v>7</v>
      </c>
      <c r="E521" s="3"/>
      <c r="F521" s="6">
        <v>40372</v>
      </c>
      <c r="G521" s="5">
        <v>12</v>
      </c>
      <c r="H521" s="3" t="s">
        <v>63</v>
      </c>
      <c r="I521" s="3" t="s">
        <v>7</v>
      </c>
      <c r="J521" s="7" t="b">
        <v>1</v>
      </c>
      <c r="K521" s="7"/>
      <c r="L521" s="7"/>
      <c r="M521" s="7"/>
      <c r="N521" s="7"/>
      <c r="O521" s="7"/>
      <c r="P521" s="7"/>
      <c r="Q521" s="7"/>
    </row>
    <row r="522" spans="1:17" ht="13.9">
      <c r="A522" s="3">
        <v>6822096</v>
      </c>
      <c r="B522" s="3" t="s">
        <v>41</v>
      </c>
      <c r="C522" s="3" t="s">
        <v>60</v>
      </c>
      <c r="D522" s="3">
        <v>9</v>
      </c>
      <c r="E522" s="3"/>
      <c r="F522" s="6">
        <v>42710</v>
      </c>
      <c r="G522" s="5">
        <v>5</v>
      </c>
      <c r="H522" s="3" t="s">
        <v>61</v>
      </c>
      <c r="I522" s="3" t="s">
        <v>8</v>
      </c>
      <c r="J522" s="7" t="b">
        <v>1</v>
      </c>
      <c r="K522" s="7"/>
      <c r="L522" s="7"/>
      <c r="M522" s="7"/>
      <c r="N522" s="7"/>
      <c r="O522" s="7"/>
      <c r="P522" s="7"/>
      <c r="Q522" s="7"/>
    </row>
    <row r="523" spans="1:17" ht="13.9">
      <c r="A523" s="3">
        <v>14114096</v>
      </c>
      <c r="B523" s="3">
        <v>8</v>
      </c>
      <c r="C523" s="3" t="s">
        <v>60</v>
      </c>
      <c r="D523" s="5">
        <v>17</v>
      </c>
      <c r="E523" s="3"/>
      <c r="F523" s="6">
        <v>40011</v>
      </c>
      <c r="G523" s="5">
        <v>13</v>
      </c>
      <c r="H523" s="3" t="s">
        <v>63</v>
      </c>
      <c r="I523" s="3" t="s">
        <v>4</v>
      </c>
      <c r="J523" s="7" t="b">
        <v>1</v>
      </c>
      <c r="K523" s="7"/>
      <c r="L523" s="7"/>
      <c r="M523" s="7"/>
      <c r="N523" s="7"/>
      <c r="O523" s="7"/>
      <c r="P523" s="7"/>
      <c r="Q523" s="7"/>
    </row>
    <row r="524" spans="1:17" ht="13.9">
      <c r="A524" s="3" t="s">
        <v>121</v>
      </c>
      <c r="B524" s="3">
        <v>6</v>
      </c>
      <c r="C524" s="3" t="s">
        <v>62</v>
      </c>
      <c r="D524" s="3">
        <v>5</v>
      </c>
      <c r="E524" s="3"/>
      <c r="F524" s="6">
        <v>40718</v>
      </c>
      <c r="G524" s="5">
        <v>11</v>
      </c>
      <c r="H524" s="3" t="s">
        <v>63</v>
      </c>
      <c r="I524" s="3" t="s">
        <v>8</v>
      </c>
      <c r="J524" s="7" t="b">
        <v>1</v>
      </c>
      <c r="K524" s="7"/>
      <c r="L524" s="7"/>
      <c r="M524" s="7"/>
      <c r="N524" s="7"/>
      <c r="O524" s="7"/>
      <c r="P524" s="7"/>
      <c r="Q524" s="7"/>
    </row>
    <row r="525" spans="1:17" ht="13.9">
      <c r="A525" s="3">
        <v>15310531</v>
      </c>
      <c r="B525" s="5">
        <v>10</v>
      </c>
      <c r="C525" s="3" t="s">
        <v>62</v>
      </c>
      <c r="D525" s="5">
        <v>15</v>
      </c>
      <c r="E525" s="3">
        <v>9</v>
      </c>
      <c r="F525" s="6">
        <v>38661</v>
      </c>
      <c r="G525" s="5">
        <v>17</v>
      </c>
      <c r="H525" s="3" t="s">
        <v>63</v>
      </c>
      <c r="I525" s="3" t="s">
        <v>7</v>
      </c>
      <c r="J525" s="7" t="b">
        <v>1</v>
      </c>
      <c r="K525" s="7"/>
      <c r="L525" s="7"/>
      <c r="M525" s="7"/>
      <c r="N525" s="7"/>
      <c r="O525" s="7"/>
      <c r="P525" s="7"/>
      <c r="Q525" s="7"/>
    </row>
    <row r="526" spans="1:17" ht="13.9">
      <c r="A526" s="5">
        <v>556711111</v>
      </c>
      <c r="B526" s="5">
        <v>10</v>
      </c>
      <c r="C526" s="3" t="s">
        <v>64</v>
      </c>
      <c r="D526" s="3">
        <v>7</v>
      </c>
      <c r="E526" s="3"/>
      <c r="F526" s="6">
        <v>38934</v>
      </c>
      <c r="G526" s="5">
        <v>16</v>
      </c>
      <c r="H526" s="3" t="s">
        <v>63</v>
      </c>
      <c r="I526" s="3" t="s">
        <v>6</v>
      </c>
      <c r="J526" s="7" t="b">
        <v>1</v>
      </c>
      <c r="K526" s="7"/>
      <c r="L526" s="7"/>
      <c r="M526" s="7"/>
      <c r="N526" s="7"/>
      <c r="O526" s="7"/>
      <c r="P526" s="7"/>
      <c r="Q526" s="7"/>
    </row>
    <row r="527" spans="1:17" ht="13.9">
      <c r="A527" s="5">
        <v>315314189</v>
      </c>
      <c r="B527" s="3">
        <v>8</v>
      </c>
      <c r="C527" s="3" t="s">
        <v>65</v>
      </c>
      <c r="D527" s="5">
        <v>15</v>
      </c>
      <c r="E527" s="3">
        <v>7</v>
      </c>
      <c r="F527" s="6">
        <v>39666</v>
      </c>
      <c r="G527" s="5">
        <v>14</v>
      </c>
      <c r="H527" s="3" t="s">
        <v>63</v>
      </c>
      <c r="I527" s="3" t="s">
        <v>7</v>
      </c>
      <c r="J527" s="7" t="b">
        <v>1</v>
      </c>
      <c r="K527" s="7"/>
      <c r="L527" s="7"/>
      <c r="M527" s="7"/>
      <c r="N527" s="7"/>
      <c r="O527" s="7"/>
      <c r="P527" s="7"/>
      <c r="Q527" s="7"/>
    </row>
    <row r="528" spans="1:17" ht="13.9">
      <c r="A528" s="3" t="s">
        <v>122</v>
      </c>
      <c r="B528" s="3">
        <v>3</v>
      </c>
      <c r="C528" s="3" t="s">
        <v>64</v>
      </c>
      <c r="D528" s="3">
        <v>7</v>
      </c>
      <c r="E528" s="3"/>
      <c r="F528" s="6">
        <v>41515</v>
      </c>
      <c r="G528" s="5">
        <v>9</v>
      </c>
      <c r="H528" s="3" t="s">
        <v>61</v>
      </c>
      <c r="I528" s="3" t="s">
        <v>4</v>
      </c>
      <c r="J528" s="7" t="b">
        <v>1</v>
      </c>
      <c r="K528" s="7"/>
      <c r="L528" s="7"/>
      <c r="M528" s="7"/>
      <c r="N528" s="7"/>
      <c r="O528" s="7"/>
      <c r="P528" s="7"/>
      <c r="Q528" s="7"/>
    </row>
    <row r="529" spans="1:17" ht="13.9">
      <c r="A529" s="3">
        <v>27017084</v>
      </c>
      <c r="B529" s="3">
        <v>6</v>
      </c>
      <c r="C529" s="3" t="s">
        <v>60</v>
      </c>
      <c r="D529" s="5">
        <v>15</v>
      </c>
      <c r="E529" s="3"/>
      <c r="F529" s="6">
        <v>40575</v>
      </c>
      <c r="G529" s="5">
        <v>11</v>
      </c>
      <c r="H529" s="3" t="s">
        <v>63</v>
      </c>
      <c r="I529" s="3" t="s">
        <v>7</v>
      </c>
      <c r="J529" s="7" t="b">
        <v>1</v>
      </c>
      <c r="K529" s="7"/>
      <c r="L529" s="7"/>
      <c r="M529" s="7"/>
      <c r="N529" s="7"/>
      <c r="O529" s="7"/>
      <c r="P529" s="7"/>
      <c r="Q529" s="7"/>
    </row>
    <row r="530" spans="1:17" ht="13.9">
      <c r="A530" s="3">
        <v>14116017</v>
      </c>
      <c r="B530" s="3">
        <v>7</v>
      </c>
      <c r="C530" s="3" t="s">
        <v>60</v>
      </c>
      <c r="D530" s="5">
        <v>17</v>
      </c>
      <c r="E530" s="3"/>
      <c r="F530" s="6">
        <v>40131</v>
      </c>
      <c r="G530" s="5">
        <v>13</v>
      </c>
      <c r="H530" s="3" t="s">
        <v>63</v>
      </c>
      <c r="I530" s="3" t="s">
        <v>4</v>
      </c>
      <c r="J530" s="7" t="b">
        <v>1</v>
      </c>
      <c r="K530" s="7"/>
      <c r="L530" s="7"/>
      <c r="M530" s="7"/>
      <c r="N530" s="7"/>
      <c r="O530" s="7"/>
      <c r="P530" s="7"/>
      <c r="Q530" s="7"/>
    </row>
    <row r="531" spans="1:17" ht="13.9">
      <c r="A531" s="3" t="s">
        <v>123</v>
      </c>
      <c r="B531" s="5">
        <v>12</v>
      </c>
      <c r="C531" s="3" t="s">
        <v>64</v>
      </c>
      <c r="D531" s="3">
        <v>7</v>
      </c>
      <c r="E531" s="3"/>
      <c r="F531" s="6">
        <v>38299</v>
      </c>
      <c r="G531" s="5">
        <v>18</v>
      </c>
      <c r="H531" s="3" t="s">
        <v>63</v>
      </c>
      <c r="I531" s="3" t="s">
        <v>4</v>
      </c>
      <c r="J531" s="7" t="b">
        <v>1</v>
      </c>
      <c r="K531" s="7"/>
      <c r="L531" s="7"/>
      <c r="M531" s="7"/>
      <c r="N531" s="7"/>
      <c r="O531" s="7"/>
      <c r="P531" s="7"/>
      <c r="Q531" s="7"/>
    </row>
    <row r="532" spans="1:17" ht="13.9">
      <c r="A532" s="3">
        <v>7217055</v>
      </c>
      <c r="B532" s="3">
        <v>6</v>
      </c>
      <c r="C532" s="3" t="s">
        <v>60</v>
      </c>
      <c r="D532" s="3">
        <v>7</v>
      </c>
      <c r="E532" s="3"/>
      <c r="F532" s="6">
        <v>40508</v>
      </c>
      <c r="G532" s="5">
        <v>12</v>
      </c>
      <c r="H532" s="3" t="s">
        <v>63</v>
      </c>
      <c r="I532" s="3" t="s">
        <v>7</v>
      </c>
      <c r="J532" s="7" t="b">
        <v>1</v>
      </c>
      <c r="K532" s="7"/>
      <c r="L532" s="7"/>
      <c r="M532" s="7"/>
      <c r="N532" s="7"/>
      <c r="O532" s="7"/>
      <c r="P532" s="7"/>
      <c r="Q532" s="7"/>
    </row>
    <row r="533" spans="1:17" ht="13.9">
      <c r="A533" s="3">
        <v>21710547</v>
      </c>
      <c r="B533" s="5">
        <v>11</v>
      </c>
      <c r="C533" s="3" t="s">
        <v>65</v>
      </c>
      <c r="D533" s="5">
        <v>17</v>
      </c>
      <c r="E533" s="3">
        <v>7</v>
      </c>
      <c r="F533" s="6">
        <v>38446</v>
      </c>
      <c r="G533" s="5">
        <v>17</v>
      </c>
      <c r="H533" s="3" t="s">
        <v>61</v>
      </c>
      <c r="I533" s="3" t="s">
        <v>7</v>
      </c>
      <c r="J533" s="7" t="b">
        <v>1</v>
      </c>
      <c r="K533" s="7"/>
      <c r="L533" s="7"/>
      <c r="M533" s="7"/>
      <c r="N533" s="7"/>
      <c r="O533" s="7"/>
      <c r="P533" s="7"/>
      <c r="Q533" s="7"/>
    </row>
    <row r="534" spans="1:17" ht="13.9">
      <c r="A534" s="3" t="s">
        <v>124</v>
      </c>
      <c r="B534" s="3">
        <v>8</v>
      </c>
      <c r="C534" s="3" t="s">
        <v>60</v>
      </c>
      <c r="D534" s="3">
        <v>7</v>
      </c>
      <c r="E534" s="3"/>
      <c r="F534" s="6">
        <v>39335</v>
      </c>
      <c r="G534" s="5">
        <v>15</v>
      </c>
      <c r="H534" s="3" t="s">
        <v>63</v>
      </c>
      <c r="I534" s="3" t="s">
        <v>6</v>
      </c>
      <c r="J534" s="7" t="b">
        <v>1</v>
      </c>
      <c r="K534" s="7"/>
      <c r="L534" s="7"/>
      <c r="M534" s="7"/>
      <c r="N534" s="7"/>
      <c r="O534" s="7"/>
      <c r="P534" s="7"/>
      <c r="Q534" s="7"/>
    </row>
    <row r="535" spans="1:17" ht="13.9">
      <c r="A535" s="5">
        <v>170512098</v>
      </c>
      <c r="B535" s="5">
        <v>10</v>
      </c>
      <c r="C535" s="3" t="s">
        <v>64</v>
      </c>
      <c r="D535" s="3">
        <v>7</v>
      </c>
      <c r="E535" s="3">
        <v>9</v>
      </c>
      <c r="F535" s="6">
        <v>39126</v>
      </c>
      <c r="G535" s="5">
        <v>15</v>
      </c>
      <c r="H535" s="3" t="s">
        <v>61</v>
      </c>
      <c r="I535" s="3" t="s">
        <v>7</v>
      </c>
      <c r="J535" s="7" t="b">
        <v>1</v>
      </c>
      <c r="K535" s="7"/>
      <c r="L535" s="7"/>
      <c r="M535" s="7"/>
      <c r="N535" s="7"/>
      <c r="O535" s="7"/>
      <c r="P535" s="7"/>
      <c r="Q535" s="7"/>
    </row>
    <row r="536" spans="1:17" ht="13.9">
      <c r="A536" s="3">
        <v>15723094</v>
      </c>
      <c r="B536" s="3" t="s">
        <v>41</v>
      </c>
      <c r="C536" s="3" t="s">
        <v>60</v>
      </c>
      <c r="D536" s="3">
        <v>9</v>
      </c>
      <c r="E536" s="3"/>
      <c r="F536" s="6">
        <v>42706</v>
      </c>
      <c r="G536" s="5">
        <v>5</v>
      </c>
      <c r="H536" s="3" t="s">
        <v>63</v>
      </c>
      <c r="I536" s="3" t="s">
        <v>8</v>
      </c>
      <c r="J536" s="7" t="b">
        <v>1</v>
      </c>
      <c r="K536" s="7"/>
      <c r="L536" s="7"/>
      <c r="M536" s="7"/>
      <c r="N536" s="7"/>
      <c r="O536" s="7"/>
      <c r="P536" s="7"/>
      <c r="Q536" s="7"/>
    </row>
    <row r="537" spans="1:17" ht="13.9">
      <c r="A537" s="3">
        <v>27018073</v>
      </c>
      <c r="B537" s="3">
        <v>5</v>
      </c>
      <c r="C537" s="3" t="s">
        <v>60</v>
      </c>
      <c r="D537" s="3">
        <v>7</v>
      </c>
      <c r="E537" s="3">
        <v>9</v>
      </c>
      <c r="F537" s="6">
        <v>40953</v>
      </c>
      <c r="G537" s="5">
        <v>10</v>
      </c>
      <c r="H537" s="3" t="s">
        <v>61</v>
      </c>
      <c r="I537" s="3" t="s">
        <v>7</v>
      </c>
      <c r="J537" s="7" t="b">
        <v>1</v>
      </c>
      <c r="K537" s="7"/>
      <c r="L537" s="7"/>
      <c r="M537" s="7"/>
      <c r="N537" s="7"/>
      <c r="O537" s="7"/>
      <c r="P537" s="7"/>
      <c r="Q537" s="7"/>
    </row>
    <row r="538" spans="1:17" ht="13.9">
      <c r="A538" s="3">
        <v>22913287</v>
      </c>
      <c r="B538" s="3">
        <v>8</v>
      </c>
      <c r="C538" s="3" t="s">
        <v>60</v>
      </c>
      <c r="D538" s="5">
        <v>17</v>
      </c>
      <c r="E538" s="3"/>
      <c r="F538" s="9">
        <v>39943</v>
      </c>
      <c r="G538" s="5">
        <v>13</v>
      </c>
      <c r="H538" s="3" t="s">
        <v>63</v>
      </c>
      <c r="I538" s="3" t="s">
        <v>4</v>
      </c>
      <c r="J538" s="7" t="b">
        <v>1</v>
      </c>
      <c r="K538" s="7"/>
      <c r="L538" s="7"/>
      <c r="M538" s="7"/>
      <c r="N538" s="7"/>
      <c r="O538" s="7"/>
      <c r="P538" s="7"/>
      <c r="Q538" s="7"/>
    </row>
    <row r="539" spans="1:17" ht="13.9">
      <c r="A539" s="3">
        <v>21718087</v>
      </c>
      <c r="B539" s="3">
        <v>4</v>
      </c>
      <c r="C539" s="3" t="s">
        <v>65</v>
      </c>
      <c r="D539" s="3">
        <v>7</v>
      </c>
      <c r="E539" s="3">
        <v>9</v>
      </c>
      <c r="F539" s="6">
        <v>41282</v>
      </c>
      <c r="G539" s="5">
        <v>9</v>
      </c>
      <c r="H539" s="3" t="s">
        <v>63</v>
      </c>
      <c r="I539" s="3" t="s">
        <v>4</v>
      </c>
      <c r="J539" s="7" t="b">
        <v>1</v>
      </c>
      <c r="K539" s="7"/>
      <c r="L539" s="7"/>
      <c r="M539" s="7"/>
      <c r="N539" s="7"/>
      <c r="O539" s="7"/>
      <c r="P539" s="7"/>
      <c r="Q539" s="7"/>
    </row>
    <row r="540" spans="1:17" ht="13.9">
      <c r="A540" s="3" t="s">
        <v>125</v>
      </c>
      <c r="B540" s="3">
        <v>5</v>
      </c>
      <c r="C540" s="3" t="s">
        <v>60</v>
      </c>
      <c r="D540" s="5">
        <v>17</v>
      </c>
      <c r="E540" s="3"/>
      <c r="F540" s="6">
        <v>40913</v>
      </c>
      <c r="G540" s="5">
        <v>10</v>
      </c>
      <c r="H540" s="3" t="s">
        <v>63</v>
      </c>
      <c r="I540" s="3" t="s">
        <v>7</v>
      </c>
      <c r="J540" s="7" t="b">
        <v>1</v>
      </c>
      <c r="K540" s="7"/>
      <c r="L540" s="7"/>
      <c r="M540" s="7"/>
      <c r="N540" s="7"/>
      <c r="O540" s="7"/>
      <c r="P540" s="7"/>
      <c r="Q540" s="7"/>
    </row>
    <row r="541" spans="1:17" ht="13.9">
      <c r="A541" s="3">
        <v>32323047</v>
      </c>
      <c r="B541" s="3" t="s">
        <v>41</v>
      </c>
      <c r="C541" s="3" t="s">
        <v>60</v>
      </c>
      <c r="D541" s="3">
        <v>9</v>
      </c>
      <c r="E541" s="3"/>
      <c r="F541" s="6">
        <v>42572</v>
      </c>
      <c r="G541" s="5">
        <v>6</v>
      </c>
      <c r="H541" s="3" t="s">
        <v>63</v>
      </c>
      <c r="I541" s="3" t="s">
        <v>7</v>
      </c>
      <c r="J541" s="7" t="b">
        <v>1</v>
      </c>
      <c r="K541" s="7"/>
      <c r="L541" s="7"/>
      <c r="M541" s="7"/>
      <c r="N541" s="7"/>
      <c r="O541" s="7"/>
      <c r="P541" s="7"/>
      <c r="Q541" s="7"/>
    </row>
    <row r="542" spans="1:17" ht="13.9">
      <c r="A542" s="3">
        <v>21316010</v>
      </c>
      <c r="B542" s="3">
        <v>6</v>
      </c>
      <c r="C542" s="3" t="s">
        <v>60</v>
      </c>
      <c r="D542" s="3">
        <v>7</v>
      </c>
      <c r="E542" s="3"/>
      <c r="F542" s="6">
        <v>40365</v>
      </c>
      <c r="G542" s="5">
        <v>12</v>
      </c>
      <c r="H542" s="3" t="s">
        <v>61</v>
      </c>
      <c r="I542" s="3" t="s">
        <v>8</v>
      </c>
      <c r="J542" s="7" t="b">
        <v>1</v>
      </c>
      <c r="K542" s="7"/>
      <c r="L542" s="7"/>
      <c r="M542" s="7"/>
      <c r="N542" s="7"/>
      <c r="O542" s="7"/>
      <c r="P542" s="7"/>
      <c r="Q542" s="7"/>
    </row>
    <row r="543" spans="1:17" ht="13.9">
      <c r="A543" s="3">
        <v>24122075</v>
      </c>
      <c r="B543" s="3" t="s">
        <v>41</v>
      </c>
      <c r="C543" s="3" t="s">
        <v>60</v>
      </c>
      <c r="D543" s="3">
        <v>9</v>
      </c>
      <c r="E543" s="3"/>
      <c r="F543" s="6">
        <v>42833</v>
      </c>
      <c r="G543" s="5">
        <v>5</v>
      </c>
      <c r="H543" s="3" t="s">
        <v>63</v>
      </c>
      <c r="I543" s="3" t="s">
        <v>7</v>
      </c>
      <c r="J543" s="7" t="b">
        <v>1</v>
      </c>
      <c r="K543" s="7"/>
      <c r="L543" s="7"/>
      <c r="M543" s="7"/>
      <c r="N543" s="7"/>
      <c r="O543" s="7"/>
      <c r="P543" s="7"/>
      <c r="Q543" s="7"/>
    </row>
    <row r="544" spans="1:17" ht="13.9">
      <c r="A544" s="3">
        <v>12621017</v>
      </c>
      <c r="B544" s="3">
        <v>8</v>
      </c>
      <c r="C544" s="3" t="s">
        <v>60</v>
      </c>
      <c r="D544" s="3">
        <v>7</v>
      </c>
      <c r="E544" s="3"/>
      <c r="F544" s="6">
        <v>39715</v>
      </c>
      <c r="G544" s="5">
        <v>14</v>
      </c>
      <c r="H544" s="3" t="s">
        <v>63</v>
      </c>
      <c r="I544" s="3" t="s">
        <v>6</v>
      </c>
      <c r="J544" s="7" t="b">
        <v>1</v>
      </c>
      <c r="K544" s="7"/>
      <c r="L544" s="7"/>
      <c r="M544" s="7"/>
      <c r="N544" s="7"/>
      <c r="O544" s="7"/>
      <c r="P544" s="7"/>
      <c r="Q544" s="7"/>
    </row>
    <row r="545" spans="1:17" ht="13.9">
      <c r="A545" s="5">
        <v>324717557</v>
      </c>
      <c r="B545" s="3">
        <v>4</v>
      </c>
      <c r="C545" s="3" t="s">
        <v>64</v>
      </c>
      <c r="D545" s="3">
        <v>9</v>
      </c>
      <c r="E545" s="3"/>
      <c r="F545" s="6">
        <v>41296</v>
      </c>
      <c r="G545" s="5">
        <v>9</v>
      </c>
      <c r="H545" s="3" t="s">
        <v>63</v>
      </c>
      <c r="I545" s="3" t="s">
        <v>7</v>
      </c>
      <c r="J545" s="7" t="b">
        <v>1</v>
      </c>
      <c r="K545" s="7"/>
      <c r="L545" s="7"/>
      <c r="M545" s="7"/>
      <c r="N545" s="7"/>
      <c r="O545" s="7"/>
      <c r="P545" s="7"/>
      <c r="Q545" s="7"/>
    </row>
    <row r="546" spans="1:17" ht="13.9">
      <c r="A546" s="3">
        <v>15313018</v>
      </c>
      <c r="B546" s="5">
        <v>10</v>
      </c>
      <c r="C546" s="3" t="s">
        <v>60</v>
      </c>
      <c r="D546" s="3">
        <v>7</v>
      </c>
      <c r="E546" s="3"/>
      <c r="F546" s="6">
        <v>39114</v>
      </c>
      <c r="G546" s="5">
        <v>15</v>
      </c>
      <c r="H546" s="3" t="s">
        <v>61</v>
      </c>
      <c r="I546" s="3" t="s">
        <v>7</v>
      </c>
      <c r="J546" s="7" t="b">
        <v>1</v>
      </c>
      <c r="K546" s="7"/>
      <c r="L546" s="7"/>
      <c r="M546" s="7"/>
      <c r="N546" s="7"/>
      <c r="O546" s="7"/>
      <c r="P546" s="7"/>
      <c r="Q546" s="7"/>
    </row>
    <row r="547" spans="1:17" ht="13.9">
      <c r="A547" s="5">
        <v>348118044</v>
      </c>
      <c r="B547" s="3">
        <v>4</v>
      </c>
      <c r="C547" s="3" t="s">
        <v>64</v>
      </c>
      <c r="D547" s="3">
        <v>7</v>
      </c>
      <c r="E547" s="3"/>
      <c r="F547" s="6">
        <v>40879</v>
      </c>
      <c r="G547" s="5">
        <v>10</v>
      </c>
      <c r="H547" s="3" t="s">
        <v>63</v>
      </c>
      <c r="I547" s="3" t="s">
        <v>4</v>
      </c>
      <c r="J547" s="7" t="b">
        <v>1</v>
      </c>
      <c r="K547" s="7"/>
      <c r="L547" s="7"/>
      <c r="M547" s="7"/>
      <c r="N547" s="7"/>
      <c r="O547" s="7"/>
      <c r="P547" s="7"/>
      <c r="Q547" s="7"/>
    </row>
    <row r="548" spans="1:17" ht="13.9">
      <c r="A548" s="5">
        <v>601214089</v>
      </c>
      <c r="B548" s="3">
        <v>9</v>
      </c>
      <c r="C548" s="3" t="s">
        <v>60</v>
      </c>
      <c r="D548" s="3">
        <v>7</v>
      </c>
      <c r="E548" s="3"/>
      <c r="F548" s="9">
        <v>39589</v>
      </c>
      <c r="G548" s="5">
        <v>14</v>
      </c>
      <c r="H548" s="3" t="s">
        <v>63</v>
      </c>
      <c r="I548" s="3" t="s">
        <v>7</v>
      </c>
      <c r="J548" s="7" t="b">
        <v>1</v>
      </c>
      <c r="K548" s="7"/>
      <c r="L548" s="7"/>
      <c r="M548" s="7"/>
      <c r="N548" s="7"/>
      <c r="O548" s="7"/>
      <c r="P548" s="7"/>
      <c r="Q548" s="7"/>
    </row>
    <row r="549" spans="1:17" ht="13.9">
      <c r="A549" s="3">
        <v>9514501</v>
      </c>
      <c r="B549" s="3">
        <v>4</v>
      </c>
      <c r="C549" s="3" t="s">
        <v>60</v>
      </c>
      <c r="D549" s="3">
        <v>9</v>
      </c>
      <c r="E549" s="3"/>
      <c r="F549" s="6">
        <v>40870</v>
      </c>
      <c r="G549" s="5">
        <v>11</v>
      </c>
      <c r="H549" s="3" t="s">
        <v>63</v>
      </c>
      <c r="I549" s="3" t="s">
        <v>7</v>
      </c>
      <c r="J549" s="7" t="b">
        <v>1</v>
      </c>
      <c r="K549" s="7"/>
      <c r="L549" s="7"/>
      <c r="M549" s="7"/>
      <c r="N549" s="7"/>
      <c r="O549" s="7"/>
      <c r="P549" s="7"/>
      <c r="Q549" s="7"/>
    </row>
    <row r="550" spans="1:17" ht="13.9">
      <c r="A550" s="3">
        <v>35717192</v>
      </c>
      <c r="B550" s="3">
        <v>3</v>
      </c>
      <c r="C550" s="3" t="s">
        <v>60</v>
      </c>
      <c r="D550" s="5">
        <v>15</v>
      </c>
      <c r="E550" s="3">
        <v>9</v>
      </c>
      <c r="F550" s="6">
        <v>41667</v>
      </c>
      <c r="G550" s="5">
        <v>8</v>
      </c>
      <c r="H550" s="3" t="s">
        <v>63</v>
      </c>
      <c r="I550" s="3" t="s">
        <v>8</v>
      </c>
      <c r="J550" s="7" t="b">
        <v>1</v>
      </c>
      <c r="K550" s="7"/>
      <c r="L550" s="7"/>
      <c r="M550" s="7"/>
      <c r="N550" s="7"/>
      <c r="O550" s="7"/>
      <c r="P550" s="7"/>
      <c r="Q550" s="7"/>
    </row>
    <row r="551" spans="1:17" ht="13.9">
      <c r="A551" s="5">
        <v>542712036</v>
      </c>
      <c r="B551" s="5">
        <v>11</v>
      </c>
      <c r="C551" s="3" t="s">
        <v>64</v>
      </c>
      <c r="D551" s="5">
        <v>17</v>
      </c>
      <c r="E551" s="3"/>
      <c r="F551" s="6">
        <v>38888</v>
      </c>
      <c r="G551" s="5">
        <v>16</v>
      </c>
      <c r="H551" s="3" t="s">
        <v>61</v>
      </c>
      <c r="I551" s="3" t="s">
        <v>4</v>
      </c>
      <c r="J551" s="7" t="b">
        <v>1</v>
      </c>
      <c r="K551" s="7"/>
      <c r="L551" s="7"/>
      <c r="M551" s="7"/>
      <c r="N551" s="7"/>
      <c r="O551" s="7"/>
      <c r="P551" s="7"/>
      <c r="Q551" s="7"/>
    </row>
    <row r="552" spans="1:17" ht="13.9">
      <c r="A552" s="5">
        <v>560715481</v>
      </c>
      <c r="B552" s="3">
        <v>6</v>
      </c>
      <c r="C552" s="3" t="s">
        <v>60</v>
      </c>
      <c r="D552" s="5">
        <v>10</v>
      </c>
      <c r="E552" s="3">
        <v>9</v>
      </c>
      <c r="F552" s="6">
        <v>40077</v>
      </c>
      <c r="G552" s="5">
        <v>13</v>
      </c>
      <c r="H552" s="3" t="s">
        <v>63</v>
      </c>
      <c r="I552" s="3" t="s">
        <v>7</v>
      </c>
      <c r="J552" s="7" t="b">
        <v>1</v>
      </c>
      <c r="K552" s="7"/>
      <c r="L552" s="7"/>
      <c r="M552" s="7"/>
      <c r="N552" s="7"/>
      <c r="O552" s="7"/>
      <c r="P552" s="7"/>
      <c r="Q552" s="7"/>
    </row>
    <row r="553" spans="1:17" ht="13.9">
      <c r="A553" s="3">
        <v>9416016</v>
      </c>
      <c r="B553" s="3">
        <v>6</v>
      </c>
      <c r="C553" s="3" t="s">
        <v>65</v>
      </c>
      <c r="D553" s="3">
        <v>7</v>
      </c>
      <c r="E553" s="3"/>
      <c r="F553" s="9">
        <v>40691</v>
      </c>
      <c r="G553" s="5">
        <v>11</v>
      </c>
      <c r="H553" s="3" t="s">
        <v>61</v>
      </c>
      <c r="I553" s="3" t="s">
        <v>7</v>
      </c>
      <c r="J553" s="7" t="b">
        <v>1</v>
      </c>
      <c r="K553" s="7"/>
      <c r="L553" s="7"/>
      <c r="M553" s="7"/>
      <c r="N553" s="7"/>
      <c r="O553" s="7"/>
      <c r="P553" s="7"/>
      <c r="Q553" s="7"/>
    </row>
    <row r="554" spans="1:17" ht="13.9">
      <c r="A554" s="3">
        <v>12619016</v>
      </c>
      <c r="B554" s="5">
        <v>10</v>
      </c>
      <c r="C554" s="3" t="s">
        <v>60</v>
      </c>
      <c r="D554" s="3">
        <v>7</v>
      </c>
      <c r="E554" s="3"/>
      <c r="F554" s="6">
        <v>38740</v>
      </c>
      <c r="G554" s="5">
        <v>16</v>
      </c>
      <c r="H554" s="3" t="s">
        <v>63</v>
      </c>
      <c r="I554" s="3" t="s">
        <v>4</v>
      </c>
      <c r="J554" s="7" t="b">
        <v>1</v>
      </c>
      <c r="K554" s="7"/>
      <c r="L554" s="7"/>
      <c r="M554" s="7"/>
      <c r="N554" s="7"/>
      <c r="O554" s="7"/>
      <c r="P554" s="7"/>
      <c r="Q554" s="7"/>
    </row>
    <row r="555" spans="1:17" ht="13.9">
      <c r="A555" s="3">
        <v>22920225</v>
      </c>
      <c r="B555" s="3">
        <v>4</v>
      </c>
      <c r="C555" s="3" t="s">
        <v>60</v>
      </c>
      <c r="D555" s="5">
        <v>15</v>
      </c>
      <c r="E555" s="3">
        <v>9</v>
      </c>
      <c r="F555" s="6">
        <v>41159</v>
      </c>
      <c r="G555" s="5">
        <v>10</v>
      </c>
      <c r="H555" s="3" t="s">
        <v>63</v>
      </c>
      <c r="I555" s="3" t="s">
        <v>7</v>
      </c>
      <c r="J555" s="7" t="b">
        <v>1</v>
      </c>
      <c r="K555" s="7"/>
      <c r="L555" s="7"/>
      <c r="M555" s="7"/>
      <c r="N555" s="7"/>
      <c r="O555" s="7"/>
      <c r="P555" s="7"/>
      <c r="Q555" s="7"/>
    </row>
    <row r="556" spans="1:17" ht="13.9">
      <c r="A556" s="3">
        <v>22914206</v>
      </c>
      <c r="B556" s="3">
        <v>6</v>
      </c>
      <c r="C556" s="3" t="s">
        <v>60</v>
      </c>
      <c r="D556" s="5">
        <v>17</v>
      </c>
      <c r="E556" s="3"/>
      <c r="F556" s="6">
        <v>40525</v>
      </c>
      <c r="G556" s="5">
        <v>11</v>
      </c>
      <c r="H556" s="3" t="s">
        <v>61</v>
      </c>
      <c r="I556" s="3" t="s">
        <v>7</v>
      </c>
      <c r="J556" s="7" t="b">
        <v>1</v>
      </c>
      <c r="K556" s="7"/>
      <c r="L556" s="7"/>
      <c r="M556" s="7"/>
      <c r="N556" s="7"/>
      <c r="O556" s="7"/>
      <c r="P556" s="7"/>
      <c r="Q556" s="7"/>
    </row>
    <row r="557" spans="1:17" ht="13.9">
      <c r="A557" s="5">
        <v>904516011</v>
      </c>
      <c r="B557" s="3">
        <v>6</v>
      </c>
      <c r="C557" s="3" t="s">
        <v>64</v>
      </c>
      <c r="D557" s="5">
        <v>17</v>
      </c>
      <c r="E557" s="3"/>
      <c r="F557" s="6">
        <v>40492</v>
      </c>
      <c r="G557" s="5">
        <v>12</v>
      </c>
      <c r="H557" s="3" t="s">
        <v>63</v>
      </c>
      <c r="I557" s="3" t="s">
        <v>6</v>
      </c>
      <c r="J557" s="7" t="b">
        <v>1</v>
      </c>
      <c r="K557" s="7"/>
      <c r="L557" s="7"/>
      <c r="M557" s="7"/>
      <c r="N557" s="7"/>
      <c r="O557" s="7"/>
      <c r="P557" s="7"/>
      <c r="Q557" s="7"/>
    </row>
    <row r="558" spans="1:17" ht="13.9">
      <c r="A558" s="3">
        <v>20914036</v>
      </c>
      <c r="B558" s="3">
        <v>8</v>
      </c>
      <c r="C558" s="3" t="s">
        <v>60</v>
      </c>
      <c r="D558" s="3">
        <v>7</v>
      </c>
      <c r="E558" s="3"/>
      <c r="F558" s="6">
        <v>39405</v>
      </c>
      <c r="G558" s="5">
        <v>15</v>
      </c>
      <c r="H558" s="3" t="s">
        <v>61</v>
      </c>
      <c r="I558" s="3" t="s">
        <v>7</v>
      </c>
      <c r="J558" s="7" t="b">
        <v>1</v>
      </c>
      <c r="K558" s="7"/>
      <c r="L558" s="7"/>
      <c r="M558" s="7"/>
      <c r="N558" s="7"/>
      <c r="O558" s="7"/>
      <c r="P558" s="7"/>
      <c r="Q558" s="7"/>
    </row>
    <row r="559" spans="1:17" ht="13.9">
      <c r="A559" s="3">
        <v>22916137</v>
      </c>
      <c r="B559" s="3">
        <v>5</v>
      </c>
      <c r="C559" s="3" t="s">
        <v>60</v>
      </c>
      <c r="D559" s="5">
        <v>10</v>
      </c>
      <c r="E559" s="3">
        <v>9</v>
      </c>
      <c r="F559" s="6">
        <v>41112</v>
      </c>
      <c r="G559" s="5">
        <v>10</v>
      </c>
      <c r="H559" s="3" t="s">
        <v>61</v>
      </c>
      <c r="I559" s="3" t="s">
        <v>7</v>
      </c>
      <c r="J559" s="7" t="b">
        <v>1</v>
      </c>
      <c r="K559" s="7"/>
      <c r="L559" s="7"/>
      <c r="M559" s="7"/>
      <c r="N559" s="7"/>
      <c r="O559" s="7"/>
      <c r="P559" s="7"/>
      <c r="Q559" s="7"/>
    </row>
    <row r="560" spans="1:17" ht="13.9">
      <c r="A560" s="3">
        <v>14116040</v>
      </c>
      <c r="B560" s="3">
        <v>6</v>
      </c>
      <c r="C560" s="3" t="s">
        <v>60</v>
      </c>
      <c r="D560" s="3">
        <v>7</v>
      </c>
      <c r="E560" s="3"/>
      <c r="F560" s="6">
        <v>40112</v>
      </c>
      <c r="G560" s="5">
        <v>13</v>
      </c>
      <c r="H560" s="3" t="s">
        <v>61</v>
      </c>
      <c r="I560" s="3" t="s">
        <v>6</v>
      </c>
      <c r="J560" s="7" t="b">
        <v>1</v>
      </c>
      <c r="K560" s="7"/>
      <c r="L560" s="7"/>
      <c r="M560" s="7"/>
      <c r="N560" s="7"/>
      <c r="O560" s="7"/>
      <c r="P560" s="7"/>
      <c r="Q560" s="7"/>
    </row>
    <row r="561" spans="1:17" ht="13.9">
      <c r="A561" s="3">
        <v>31814013</v>
      </c>
      <c r="B561" s="3">
        <v>6</v>
      </c>
      <c r="C561" s="3" t="s">
        <v>65</v>
      </c>
      <c r="D561" s="3">
        <v>6</v>
      </c>
      <c r="E561" s="3"/>
      <c r="F561" s="6">
        <v>40594</v>
      </c>
      <c r="G561" s="5">
        <v>11</v>
      </c>
      <c r="H561" s="3" t="s">
        <v>63</v>
      </c>
      <c r="I561" s="3" t="s">
        <v>7</v>
      </c>
      <c r="J561" s="7" t="b">
        <v>1</v>
      </c>
      <c r="K561" s="7"/>
      <c r="L561" s="7"/>
      <c r="M561" s="7"/>
      <c r="N561" s="7"/>
      <c r="O561" s="7"/>
      <c r="P561" s="7"/>
      <c r="Q561" s="7"/>
    </row>
    <row r="562" spans="1:17" ht="13.9">
      <c r="A562" s="3">
        <v>28116055</v>
      </c>
      <c r="B562" s="5">
        <v>10</v>
      </c>
      <c r="C562" s="3" t="s">
        <v>60</v>
      </c>
      <c r="D562" s="5">
        <v>17</v>
      </c>
      <c r="E562" s="3">
        <v>4</v>
      </c>
      <c r="F562" s="6">
        <v>39267</v>
      </c>
      <c r="G562" s="5">
        <v>15</v>
      </c>
      <c r="H562" s="3" t="s">
        <v>61</v>
      </c>
      <c r="I562" s="3" t="s">
        <v>4</v>
      </c>
      <c r="J562" s="7" t="b">
        <v>1</v>
      </c>
      <c r="K562" s="7"/>
      <c r="L562" s="7"/>
      <c r="M562" s="7"/>
      <c r="N562" s="7"/>
      <c r="O562" s="7"/>
      <c r="P562" s="7"/>
      <c r="Q562" s="7"/>
    </row>
    <row r="563" spans="1:17" ht="13.9">
      <c r="A563" s="3">
        <v>2020110</v>
      </c>
      <c r="B563" s="3">
        <v>2</v>
      </c>
      <c r="C563" s="3" t="s">
        <v>60</v>
      </c>
      <c r="D563" s="3">
        <v>9</v>
      </c>
      <c r="E563" s="3"/>
      <c r="F563" s="6">
        <v>41752</v>
      </c>
      <c r="G563" s="5">
        <v>8</v>
      </c>
      <c r="H563" s="3" t="s">
        <v>63</v>
      </c>
      <c r="I563" s="3" t="s">
        <v>8</v>
      </c>
      <c r="J563" s="7" t="b">
        <v>1</v>
      </c>
      <c r="K563" s="7"/>
      <c r="L563" s="7"/>
      <c r="M563" s="7"/>
      <c r="N563" s="7"/>
      <c r="O563" s="7"/>
      <c r="P563" s="7"/>
      <c r="Q563" s="7"/>
    </row>
    <row r="564" spans="1:17" ht="13.9">
      <c r="A564" s="3">
        <v>22915059</v>
      </c>
      <c r="B564" s="3">
        <v>6</v>
      </c>
      <c r="C564" s="3" t="s">
        <v>60</v>
      </c>
      <c r="D564" s="5">
        <v>17</v>
      </c>
      <c r="E564" s="3"/>
      <c r="F564" s="6">
        <v>40398</v>
      </c>
      <c r="G564" s="5">
        <v>12</v>
      </c>
      <c r="H564" s="3" t="s">
        <v>63</v>
      </c>
      <c r="I564" s="3" t="s">
        <v>7</v>
      </c>
      <c r="J564" s="7" t="b">
        <v>1</v>
      </c>
      <c r="K564" s="7"/>
      <c r="L564" s="7"/>
      <c r="M564" s="7"/>
      <c r="N564" s="7"/>
      <c r="O564" s="7"/>
      <c r="P564" s="7"/>
      <c r="Q564" s="7"/>
    </row>
    <row r="565" spans="1:17" ht="13.9">
      <c r="A565" s="3">
        <v>54111041</v>
      </c>
      <c r="B565" s="5">
        <v>12</v>
      </c>
      <c r="C565" s="3" t="s">
        <v>60</v>
      </c>
      <c r="D565" s="5">
        <v>17</v>
      </c>
      <c r="E565" s="3"/>
      <c r="F565" s="6">
        <v>38147</v>
      </c>
      <c r="G565" s="5">
        <v>18</v>
      </c>
      <c r="H565" s="3" t="s">
        <v>63</v>
      </c>
      <c r="I565" s="3" t="s">
        <v>7</v>
      </c>
      <c r="J565" s="7" t="b">
        <v>1</v>
      </c>
      <c r="K565" s="7"/>
      <c r="L565" s="7"/>
      <c r="M565" s="7"/>
      <c r="N565" s="7"/>
      <c r="O565" s="7"/>
      <c r="P565" s="7"/>
      <c r="Q565" s="7"/>
    </row>
    <row r="566" spans="1:17" ht="13.9">
      <c r="A566" s="3">
        <v>22915411</v>
      </c>
      <c r="B566" s="3">
        <v>4</v>
      </c>
      <c r="C566" s="3" t="s">
        <v>60</v>
      </c>
      <c r="D566" s="3">
        <v>7</v>
      </c>
      <c r="E566" s="3"/>
      <c r="F566" s="6">
        <v>41165</v>
      </c>
      <c r="G566" s="5">
        <v>10</v>
      </c>
      <c r="H566" s="3" t="s">
        <v>63</v>
      </c>
      <c r="I566" s="3" t="s">
        <v>7</v>
      </c>
      <c r="J566" s="7" t="b">
        <v>1</v>
      </c>
      <c r="K566" s="7"/>
      <c r="L566" s="7"/>
      <c r="M566" s="7"/>
      <c r="N566" s="7"/>
      <c r="O566" s="7"/>
      <c r="P566" s="7"/>
      <c r="Q566" s="7"/>
    </row>
    <row r="567" spans="1:17" ht="13.9">
      <c r="A567" s="3">
        <v>31813744</v>
      </c>
      <c r="B567" s="3">
        <v>9</v>
      </c>
      <c r="C567" s="3" t="s">
        <v>60</v>
      </c>
      <c r="D567" s="5">
        <v>17</v>
      </c>
      <c r="E567" s="3"/>
      <c r="F567" s="9">
        <v>39596</v>
      </c>
      <c r="G567" s="5">
        <v>14</v>
      </c>
      <c r="H567" s="3" t="s">
        <v>63</v>
      </c>
      <c r="I567" s="3" t="s">
        <v>7</v>
      </c>
      <c r="J567" s="7" t="b">
        <v>1</v>
      </c>
      <c r="K567" s="7"/>
      <c r="L567" s="7"/>
      <c r="M567" s="7"/>
      <c r="N567" s="7"/>
      <c r="O567" s="7"/>
      <c r="P567" s="7"/>
      <c r="Q567" s="7"/>
    </row>
    <row r="568" spans="1:17" ht="13.9">
      <c r="A568" s="3">
        <v>13622062</v>
      </c>
      <c r="B568" s="3">
        <v>1</v>
      </c>
      <c r="C568" s="3" t="s">
        <v>60</v>
      </c>
      <c r="D568" s="3">
        <v>9</v>
      </c>
      <c r="E568" s="3"/>
      <c r="F568" s="6">
        <v>42073</v>
      </c>
      <c r="G568" s="5">
        <v>7</v>
      </c>
      <c r="H568" s="3" t="s">
        <v>63</v>
      </c>
      <c r="I568" s="3" t="s">
        <v>6</v>
      </c>
      <c r="J568" s="7" t="b">
        <v>1</v>
      </c>
      <c r="K568" s="7"/>
      <c r="L568" s="7"/>
      <c r="M568" s="7"/>
      <c r="N568" s="7"/>
      <c r="O568" s="7"/>
      <c r="P568" s="7"/>
      <c r="Q568" s="7"/>
    </row>
    <row r="569" spans="1:17" ht="13.9">
      <c r="A569" s="3">
        <v>31816802</v>
      </c>
      <c r="B569" s="3">
        <v>5</v>
      </c>
      <c r="C569" s="3" t="s">
        <v>60</v>
      </c>
      <c r="D569" s="3">
        <v>9</v>
      </c>
      <c r="E569" s="3"/>
      <c r="F569" s="6">
        <v>40814</v>
      </c>
      <c r="G569" s="5">
        <v>11</v>
      </c>
      <c r="H569" s="3" t="s">
        <v>61</v>
      </c>
      <c r="I569" s="3" t="s">
        <v>7</v>
      </c>
      <c r="J569" s="7" t="b">
        <v>1</v>
      </c>
      <c r="K569" s="7"/>
      <c r="L569" s="7"/>
      <c r="M569" s="7"/>
      <c r="N569" s="7"/>
      <c r="O569" s="7"/>
      <c r="P569" s="7"/>
      <c r="Q569" s="7"/>
    </row>
    <row r="570" spans="1:17" ht="13.9">
      <c r="A570" s="3">
        <v>6418095</v>
      </c>
      <c r="B570" s="3">
        <v>1</v>
      </c>
      <c r="C570" s="3" t="s">
        <v>62</v>
      </c>
      <c r="D570" s="5">
        <v>15</v>
      </c>
      <c r="E570" s="3">
        <v>9</v>
      </c>
      <c r="F570" s="6">
        <v>41947</v>
      </c>
      <c r="G570" s="5">
        <v>8</v>
      </c>
      <c r="H570" s="3" t="s">
        <v>63</v>
      </c>
      <c r="I570" s="3" t="s">
        <v>7</v>
      </c>
      <c r="J570" s="7" t="b">
        <v>1</v>
      </c>
      <c r="K570" s="7"/>
      <c r="L570" s="7"/>
      <c r="M570" s="7"/>
      <c r="N570" s="7"/>
      <c r="O570" s="7"/>
      <c r="P570" s="7"/>
      <c r="Q570" s="7"/>
    </row>
    <row r="571" spans="1:17" ht="13.9">
      <c r="A571" s="3">
        <v>2512130</v>
      </c>
      <c r="B571" s="5">
        <v>10</v>
      </c>
      <c r="C571" s="3" t="s">
        <v>60</v>
      </c>
      <c r="D571" s="3">
        <v>7</v>
      </c>
      <c r="E571" s="3"/>
      <c r="F571" s="9">
        <v>38861</v>
      </c>
      <c r="G571" s="5">
        <v>16</v>
      </c>
      <c r="H571" s="3" t="s">
        <v>63</v>
      </c>
      <c r="I571" s="3" t="s">
        <v>7</v>
      </c>
      <c r="J571" s="7" t="b">
        <v>1</v>
      </c>
      <c r="K571" s="7"/>
      <c r="L571" s="7"/>
      <c r="M571" s="7"/>
      <c r="N571" s="7"/>
      <c r="O571" s="7"/>
      <c r="P571" s="7"/>
      <c r="Q571" s="7"/>
    </row>
    <row r="572" spans="1:17" ht="13.9">
      <c r="A572" s="3">
        <v>7220127</v>
      </c>
      <c r="B572" s="3">
        <v>5</v>
      </c>
      <c r="C572" s="3" t="s">
        <v>60</v>
      </c>
      <c r="D572" s="3">
        <v>7</v>
      </c>
      <c r="E572" s="3"/>
      <c r="F572" s="6">
        <v>40956</v>
      </c>
      <c r="G572" s="5">
        <v>10</v>
      </c>
      <c r="H572" s="3" t="s">
        <v>61</v>
      </c>
      <c r="I572" s="3" t="s">
        <v>7</v>
      </c>
      <c r="J572" s="7" t="b">
        <v>1</v>
      </c>
      <c r="K572" s="7"/>
      <c r="L572" s="7"/>
      <c r="M572" s="7"/>
      <c r="N572" s="7"/>
      <c r="O572" s="7"/>
      <c r="P572" s="7"/>
      <c r="Q572" s="7"/>
    </row>
    <row r="573" spans="1:17" ht="13.9">
      <c r="A573" s="3">
        <v>22912051</v>
      </c>
      <c r="B573" s="3">
        <v>8</v>
      </c>
      <c r="C573" s="3" t="s">
        <v>60</v>
      </c>
      <c r="D573" s="3">
        <v>7</v>
      </c>
      <c r="E573" s="3"/>
      <c r="F573" s="6">
        <v>39613</v>
      </c>
      <c r="G573" s="5">
        <v>14</v>
      </c>
      <c r="H573" s="3" t="s">
        <v>61</v>
      </c>
      <c r="I573" s="3" t="s">
        <v>6</v>
      </c>
      <c r="J573" s="7" t="b">
        <v>1</v>
      </c>
      <c r="K573" s="7"/>
      <c r="L573" s="7"/>
      <c r="M573" s="7"/>
      <c r="N573" s="7"/>
      <c r="O573" s="7"/>
      <c r="P573" s="7"/>
      <c r="Q573" s="7"/>
    </row>
    <row r="574" spans="1:17" ht="13.9">
      <c r="A574" s="3">
        <v>16416034</v>
      </c>
      <c r="B574" s="3">
        <v>7</v>
      </c>
      <c r="C574" s="3" t="s">
        <v>60</v>
      </c>
      <c r="D574" s="3">
        <v>7</v>
      </c>
      <c r="E574" s="3"/>
      <c r="F574" s="6">
        <v>40051</v>
      </c>
      <c r="G574" s="5">
        <v>13</v>
      </c>
      <c r="H574" s="3" t="s">
        <v>61</v>
      </c>
      <c r="I574" s="3" t="s">
        <v>7</v>
      </c>
      <c r="J574" s="7" t="b">
        <v>1</v>
      </c>
      <c r="K574" s="7"/>
      <c r="L574" s="7"/>
      <c r="M574" s="7"/>
      <c r="N574" s="7"/>
      <c r="O574" s="7"/>
      <c r="P574" s="7"/>
      <c r="Q574" s="7"/>
    </row>
    <row r="575" spans="1:17" ht="13.9">
      <c r="A575" s="3">
        <v>31807035</v>
      </c>
      <c r="B575" s="5">
        <v>12</v>
      </c>
      <c r="C575" s="3" t="s">
        <v>65</v>
      </c>
      <c r="D575" s="5">
        <v>15</v>
      </c>
      <c r="E575" s="3"/>
      <c r="F575" s="6">
        <v>37949</v>
      </c>
      <c r="G575" s="5">
        <v>19</v>
      </c>
      <c r="H575" s="3" t="s">
        <v>63</v>
      </c>
      <c r="I575" s="3" t="s">
        <v>7</v>
      </c>
      <c r="J575" s="7" t="b">
        <v>1</v>
      </c>
      <c r="K575" s="7"/>
      <c r="L575" s="7"/>
      <c r="M575" s="7"/>
      <c r="N575" s="7"/>
      <c r="O575" s="7"/>
      <c r="P575" s="7"/>
      <c r="Q575" s="7"/>
    </row>
    <row r="576" spans="1:17" ht="13.9">
      <c r="A576" s="5">
        <v>373116006</v>
      </c>
      <c r="B576" s="3">
        <v>5</v>
      </c>
      <c r="C576" s="3" t="s">
        <v>60</v>
      </c>
      <c r="D576" s="3">
        <v>6</v>
      </c>
      <c r="E576" s="3"/>
      <c r="F576" s="6">
        <v>40709</v>
      </c>
      <c r="G576" s="5">
        <v>11</v>
      </c>
      <c r="H576" s="3" t="s">
        <v>63</v>
      </c>
      <c r="I576" s="3" t="s">
        <v>7</v>
      </c>
      <c r="J576" s="7" t="b">
        <v>1</v>
      </c>
      <c r="K576" s="7"/>
      <c r="L576" s="7"/>
      <c r="M576" s="7"/>
      <c r="N576" s="7"/>
      <c r="O576" s="7"/>
      <c r="P576" s="7"/>
      <c r="Q576" s="7"/>
    </row>
    <row r="577" spans="1:17" ht="13.9">
      <c r="A577" s="3">
        <v>12519014</v>
      </c>
      <c r="B577" s="5">
        <v>10</v>
      </c>
      <c r="C577" s="3" t="s">
        <v>60</v>
      </c>
      <c r="D577" s="3">
        <v>5</v>
      </c>
      <c r="E577" s="3"/>
      <c r="F577" s="6">
        <v>39259</v>
      </c>
      <c r="G577" s="5">
        <v>15</v>
      </c>
      <c r="H577" s="3" t="s">
        <v>63</v>
      </c>
      <c r="I577" s="3" t="s">
        <v>7</v>
      </c>
      <c r="J577" s="7" t="b">
        <v>1</v>
      </c>
      <c r="K577" s="7"/>
      <c r="L577" s="7"/>
      <c r="M577" s="7"/>
      <c r="N577" s="7"/>
      <c r="O577" s="7"/>
      <c r="P577" s="7"/>
      <c r="Q577" s="7"/>
    </row>
    <row r="578" spans="1:17" ht="13.9">
      <c r="A578" s="3">
        <v>22910774</v>
      </c>
      <c r="B578" s="5">
        <v>10</v>
      </c>
      <c r="C578" s="3" t="s">
        <v>62</v>
      </c>
      <c r="D578" s="5">
        <v>10</v>
      </c>
      <c r="E578" s="3"/>
      <c r="F578" s="6">
        <v>38763</v>
      </c>
      <c r="G578" s="5">
        <v>16</v>
      </c>
      <c r="H578" s="3" t="s">
        <v>63</v>
      </c>
      <c r="I578" s="3" t="s">
        <v>7</v>
      </c>
      <c r="J578" s="7" t="b">
        <v>1</v>
      </c>
      <c r="K578" s="7"/>
      <c r="L578" s="7"/>
      <c r="M578" s="7"/>
      <c r="N578" s="7"/>
      <c r="O578" s="7"/>
      <c r="P578" s="7"/>
      <c r="Q578" s="7"/>
    </row>
    <row r="579" spans="1:17" ht="13.9">
      <c r="A579" s="3">
        <v>17814029</v>
      </c>
      <c r="B579" s="3">
        <v>9</v>
      </c>
      <c r="C579" s="3" t="s">
        <v>60</v>
      </c>
      <c r="D579" s="3">
        <v>7</v>
      </c>
      <c r="E579" s="3"/>
      <c r="F579" s="6">
        <v>39656</v>
      </c>
      <c r="G579" s="5">
        <v>14</v>
      </c>
      <c r="H579" s="3" t="s">
        <v>61</v>
      </c>
      <c r="I579" s="3" t="s">
        <v>4</v>
      </c>
      <c r="J579" s="7" t="b">
        <v>1</v>
      </c>
      <c r="K579" s="7"/>
      <c r="L579" s="7"/>
      <c r="M579" s="7"/>
      <c r="N579" s="7"/>
      <c r="O579" s="7"/>
      <c r="P579" s="7"/>
      <c r="Q579" s="7"/>
    </row>
    <row r="580" spans="1:17" ht="13.9">
      <c r="A580" s="3" t="s">
        <v>126</v>
      </c>
      <c r="B580" s="3">
        <v>7</v>
      </c>
      <c r="C580" s="3" t="s">
        <v>60</v>
      </c>
      <c r="D580" s="3">
        <v>7</v>
      </c>
      <c r="E580" s="3"/>
      <c r="F580" s="6">
        <v>40388</v>
      </c>
      <c r="G580" s="5">
        <v>12</v>
      </c>
      <c r="H580" s="3" t="s">
        <v>61</v>
      </c>
      <c r="I580" s="3" t="s">
        <v>7</v>
      </c>
      <c r="J580" s="7" t="b">
        <v>1</v>
      </c>
      <c r="K580" s="7"/>
      <c r="L580" s="7"/>
      <c r="M580" s="7"/>
      <c r="N580" s="7"/>
      <c r="O580" s="7"/>
      <c r="P580" s="7"/>
      <c r="Q580" s="7"/>
    </row>
    <row r="581" spans="1:17" ht="13.9">
      <c r="A581" s="3">
        <v>26516025</v>
      </c>
      <c r="B581" s="3">
        <v>7</v>
      </c>
      <c r="C581" s="3" t="s">
        <v>60</v>
      </c>
      <c r="D581" s="3">
        <v>7</v>
      </c>
      <c r="E581" s="3"/>
      <c r="F581" s="6">
        <v>40077</v>
      </c>
      <c r="G581" s="5">
        <v>13</v>
      </c>
      <c r="H581" s="3" t="s">
        <v>61</v>
      </c>
      <c r="I581" s="3" t="s">
        <v>7</v>
      </c>
      <c r="J581" s="7" t="b">
        <v>1</v>
      </c>
      <c r="K581" s="7"/>
      <c r="L581" s="7"/>
      <c r="M581" s="7"/>
      <c r="N581" s="7"/>
      <c r="O581" s="7"/>
      <c r="P581" s="7"/>
      <c r="Q581" s="7"/>
    </row>
    <row r="582" spans="1:17" ht="13.9">
      <c r="A582" s="3">
        <v>9518062</v>
      </c>
      <c r="B582" s="3">
        <v>1</v>
      </c>
      <c r="C582" s="3" t="s">
        <v>60</v>
      </c>
      <c r="D582" s="3">
        <v>9</v>
      </c>
      <c r="E582" s="3"/>
      <c r="F582" s="6">
        <v>42243</v>
      </c>
      <c r="G582" s="5">
        <v>7</v>
      </c>
      <c r="H582" s="3" t="s">
        <v>63</v>
      </c>
      <c r="I582" s="3" t="s">
        <v>8</v>
      </c>
      <c r="J582" s="7" t="b">
        <v>1</v>
      </c>
      <c r="K582" s="7"/>
      <c r="L582" s="7"/>
      <c r="M582" s="7"/>
      <c r="N582" s="7"/>
      <c r="O582" s="7"/>
      <c r="P582" s="7"/>
      <c r="Q582" s="7"/>
    </row>
    <row r="583" spans="1:17" ht="13.9">
      <c r="A583" s="3">
        <v>7213068</v>
      </c>
      <c r="B583" s="5">
        <v>10</v>
      </c>
      <c r="C583" s="3" t="s">
        <v>62</v>
      </c>
      <c r="D583" s="3">
        <v>5</v>
      </c>
      <c r="E583" s="3"/>
      <c r="F583" s="6">
        <v>39325</v>
      </c>
      <c r="G583" s="5">
        <v>15</v>
      </c>
      <c r="H583" s="3" t="s">
        <v>63</v>
      </c>
      <c r="I583" s="3" t="s">
        <v>8</v>
      </c>
      <c r="J583" s="7" t="b">
        <v>1</v>
      </c>
      <c r="K583" s="7"/>
      <c r="L583" s="7"/>
      <c r="M583" s="7"/>
      <c r="N583" s="7"/>
      <c r="O583" s="7"/>
      <c r="P583" s="7"/>
      <c r="Q583" s="7"/>
    </row>
    <row r="584" spans="1:17" ht="13.9">
      <c r="A584" s="3">
        <v>23913549</v>
      </c>
      <c r="B584" s="5">
        <v>12</v>
      </c>
      <c r="C584" s="3" t="s">
        <v>65</v>
      </c>
      <c r="D584" s="5">
        <v>11</v>
      </c>
      <c r="E584" s="3"/>
      <c r="F584" s="6">
        <v>38139</v>
      </c>
      <c r="G584" s="5">
        <v>18</v>
      </c>
      <c r="H584" s="3" t="s">
        <v>63</v>
      </c>
      <c r="I584" s="3" t="s">
        <v>4</v>
      </c>
      <c r="J584" s="7" t="b">
        <v>1</v>
      </c>
      <c r="K584" s="7"/>
      <c r="L584" s="7"/>
      <c r="M584" s="7"/>
      <c r="N584" s="7"/>
      <c r="O584" s="7"/>
      <c r="P584" s="7"/>
      <c r="Q584" s="7"/>
    </row>
    <row r="585" spans="1:17" ht="13.9">
      <c r="A585" s="3">
        <v>28118078</v>
      </c>
      <c r="B585" s="3">
        <v>4</v>
      </c>
      <c r="C585" s="3" t="s">
        <v>60</v>
      </c>
      <c r="D585" s="3">
        <v>7</v>
      </c>
      <c r="E585" s="3">
        <v>9</v>
      </c>
      <c r="F585" s="6">
        <v>41263</v>
      </c>
      <c r="G585" s="5">
        <v>9</v>
      </c>
      <c r="H585" s="3" t="s">
        <v>63</v>
      </c>
      <c r="I585" s="3" t="s">
        <v>7</v>
      </c>
      <c r="J585" s="7" t="b">
        <v>1</v>
      </c>
      <c r="K585" s="7"/>
      <c r="L585" s="7"/>
      <c r="M585" s="7"/>
      <c r="N585" s="7"/>
      <c r="O585" s="7"/>
      <c r="P585" s="7"/>
      <c r="Q585" s="7"/>
    </row>
    <row r="586" spans="1:17" ht="13.9">
      <c r="A586" s="3">
        <v>24110017</v>
      </c>
      <c r="B586" s="5">
        <v>12</v>
      </c>
      <c r="C586" s="3" t="s">
        <v>60</v>
      </c>
      <c r="D586" s="3">
        <v>7</v>
      </c>
      <c r="E586" s="3"/>
      <c r="F586" s="6">
        <v>38390</v>
      </c>
      <c r="G586" s="5">
        <v>17</v>
      </c>
      <c r="H586" s="3" t="s">
        <v>63</v>
      </c>
      <c r="I586" s="3" t="s">
        <v>6</v>
      </c>
      <c r="J586" s="7" t="b">
        <v>1</v>
      </c>
      <c r="K586" s="7"/>
      <c r="L586" s="7"/>
      <c r="M586" s="7"/>
      <c r="N586" s="7"/>
      <c r="O586" s="7"/>
      <c r="P586" s="7"/>
      <c r="Q586" s="7"/>
    </row>
    <row r="587" spans="1:17" ht="13.9">
      <c r="A587" s="3">
        <v>22915515</v>
      </c>
      <c r="B587" s="3">
        <v>7</v>
      </c>
      <c r="C587" s="3" t="s">
        <v>60</v>
      </c>
      <c r="D587" s="3">
        <v>9</v>
      </c>
      <c r="E587" s="3"/>
      <c r="F587" s="6">
        <v>40108</v>
      </c>
      <c r="G587" s="5">
        <v>13</v>
      </c>
      <c r="H587" s="3" t="s">
        <v>63</v>
      </c>
      <c r="I587" s="3" t="s">
        <v>7</v>
      </c>
      <c r="J587" s="7" t="b">
        <v>1</v>
      </c>
      <c r="K587" s="7"/>
      <c r="L587" s="7"/>
      <c r="M587" s="7"/>
      <c r="N587" s="7"/>
      <c r="O587" s="7"/>
      <c r="P587" s="7"/>
      <c r="Q587" s="7"/>
    </row>
    <row r="588" spans="1:17" ht="13.9">
      <c r="A588" s="5">
        <v>380519022</v>
      </c>
      <c r="B588" s="3">
        <v>4</v>
      </c>
      <c r="C588" s="3" t="s">
        <v>64</v>
      </c>
      <c r="D588" s="3">
        <v>9</v>
      </c>
      <c r="E588" s="3"/>
      <c r="F588" s="6">
        <v>41221</v>
      </c>
      <c r="G588" s="5">
        <v>10</v>
      </c>
      <c r="H588" s="3" t="s">
        <v>63</v>
      </c>
      <c r="I588" s="3" t="s">
        <v>7</v>
      </c>
      <c r="J588" s="7" t="b">
        <v>1</v>
      </c>
      <c r="K588" s="7"/>
      <c r="L588" s="7"/>
      <c r="M588" s="7"/>
      <c r="N588" s="7"/>
      <c r="O588" s="7"/>
      <c r="P588" s="7"/>
      <c r="Q588" s="7"/>
    </row>
    <row r="589" spans="1:17" ht="13.9">
      <c r="A589" s="3" t="s">
        <v>127</v>
      </c>
      <c r="B589" s="3">
        <v>6</v>
      </c>
      <c r="C589" s="3" t="s">
        <v>64</v>
      </c>
      <c r="D589" s="3">
        <v>7</v>
      </c>
      <c r="E589" s="3"/>
      <c r="F589" s="6">
        <v>39839</v>
      </c>
      <c r="G589" s="5">
        <v>13</v>
      </c>
      <c r="H589" s="3" t="s">
        <v>63</v>
      </c>
      <c r="I589" s="3" t="s">
        <v>7</v>
      </c>
      <c r="J589" s="7" t="b">
        <v>1</v>
      </c>
      <c r="K589" s="7"/>
      <c r="L589" s="7"/>
      <c r="M589" s="7"/>
      <c r="N589" s="7"/>
      <c r="O589" s="7"/>
      <c r="P589" s="7"/>
      <c r="Q589" s="7"/>
    </row>
    <row r="590" spans="1:17" ht="13.9">
      <c r="A590" s="3">
        <v>13714041</v>
      </c>
      <c r="B590" s="3">
        <v>8</v>
      </c>
      <c r="C590" s="3" t="s">
        <v>60</v>
      </c>
      <c r="D590" s="3">
        <v>7</v>
      </c>
      <c r="E590" s="3"/>
      <c r="F590" s="6">
        <v>39996</v>
      </c>
      <c r="G590" s="5">
        <v>13</v>
      </c>
      <c r="H590" s="3" t="s">
        <v>61</v>
      </c>
      <c r="I590" s="3" t="s">
        <v>6</v>
      </c>
      <c r="J590" s="7" t="b">
        <v>1</v>
      </c>
      <c r="K590" s="7"/>
      <c r="L590" s="7"/>
      <c r="M590" s="7"/>
      <c r="N590" s="7"/>
      <c r="O590" s="7"/>
      <c r="P590" s="7"/>
      <c r="Q590" s="7"/>
    </row>
    <row r="591" spans="1:17" ht="13.9">
      <c r="A591" s="3">
        <v>56119105</v>
      </c>
      <c r="B591" s="3">
        <v>2</v>
      </c>
      <c r="C591" s="3" t="s">
        <v>60</v>
      </c>
      <c r="D591" s="5">
        <v>10</v>
      </c>
      <c r="E591" s="3">
        <v>9</v>
      </c>
      <c r="F591" s="6">
        <v>41556</v>
      </c>
      <c r="G591" s="5">
        <v>9</v>
      </c>
      <c r="H591" s="3" t="s">
        <v>63</v>
      </c>
      <c r="I591" s="3" t="s">
        <v>7</v>
      </c>
      <c r="J591" s="7" t="b">
        <v>1</v>
      </c>
      <c r="K591" s="7"/>
      <c r="L591" s="7"/>
      <c r="M591" s="7"/>
      <c r="N591" s="7"/>
      <c r="O591" s="7"/>
      <c r="P591" s="7"/>
      <c r="Q591" s="7"/>
    </row>
    <row r="592" spans="1:17" ht="13.9">
      <c r="A592" s="3">
        <v>13815014</v>
      </c>
      <c r="B592" s="3">
        <v>8</v>
      </c>
      <c r="C592" s="3" t="s">
        <v>65</v>
      </c>
      <c r="D592" s="5">
        <v>17</v>
      </c>
      <c r="E592" s="3"/>
      <c r="F592" s="9">
        <v>39955</v>
      </c>
      <c r="G592" s="5">
        <v>13</v>
      </c>
      <c r="H592" s="3" t="s">
        <v>63</v>
      </c>
      <c r="I592" s="3" t="s">
        <v>4</v>
      </c>
      <c r="J592" s="7" t="b">
        <v>1</v>
      </c>
      <c r="K592" s="7"/>
      <c r="L592" s="7"/>
      <c r="M592" s="7"/>
      <c r="N592" s="7"/>
      <c r="O592" s="7"/>
      <c r="P592" s="7"/>
      <c r="Q592" s="7"/>
    </row>
    <row r="593" spans="1:17" ht="13.9">
      <c r="A593" s="3">
        <v>25720029</v>
      </c>
      <c r="B593" s="3">
        <v>3</v>
      </c>
      <c r="C593" s="3" t="s">
        <v>60</v>
      </c>
      <c r="D593" s="5">
        <v>17</v>
      </c>
      <c r="E593" s="3"/>
      <c r="F593" s="6">
        <v>41850</v>
      </c>
      <c r="G593" s="5">
        <v>8</v>
      </c>
      <c r="H593" s="3" t="s">
        <v>61</v>
      </c>
      <c r="I593" s="3" t="s">
        <v>7</v>
      </c>
      <c r="J593" s="7" t="b">
        <v>1</v>
      </c>
      <c r="K593" s="7"/>
      <c r="L593" s="7"/>
      <c r="M593" s="7"/>
      <c r="N593" s="7"/>
      <c r="O593" s="7"/>
      <c r="P593" s="7"/>
      <c r="Q593" s="7"/>
    </row>
    <row r="594" spans="1:17" ht="13.9">
      <c r="A594" s="3">
        <v>15117085</v>
      </c>
      <c r="B594" s="3">
        <v>4</v>
      </c>
      <c r="C594" s="3" t="s">
        <v>60</v>
      </c>
      <c r="D594" s="3">
        <v>9</v>
      </c>
      <c r="E594" s="3"/>
      <c r="F594" s="6">
        <v>41185</v>
      </c>
      <c r="G594" s="5">
        <v>10</v>
      </c>
      <c r="H594" s="3" t="s">
        <v>61</v>
      </c>
      <c r="I594" s="3" t="s">
        <v>7</v>
      </c>
      <c r="J594" s="7" t="b">
        <v>1</v>
      </c>
      <c r="K594" s="7"/>
      <c r="L594" s="7"/>
      <c r="M594" s="7"/>
      <c r="N594" s="7"/>
      <c r="O594" s="7"/>
      <c r="P594" s="7"/>
      <c r="Q594" s="7"/>
    </row>
    <row r="595" spans="1:17" ht="13.9">
      <c r="A595" s="3">
        <v>22916074</v>
      </c>
      <c r="B595" s="3">
        <v>5</v>
      </c>
      <c r="C595" s="3" t="s">
        <v>62</v>
      </c>
      <c r="D595" s="5">
        <v>15</v>
      </c>
      <c r="E595" s="3">
        <v>9</v>
      </c>
      <c r="F595" s="6">
        <v>40794</v>
      </c>
      <c r="G595" s="5">
        <v>11</v>
      </c>
      <c r="H595" s="3" t="s">
        <v>63</v>
      </c>
      <c r="I595" s="3" t="s">
        <v>7</v>
      </c>
      <c r="J595" s="7" t="b">
        <v>1</v>
      </c>
      <c r="K595" s="7"/>
      <c r="L595" s="7"/>
      <c r="M595" s="7"/>
      <c r="N595" s="7"/>
      <c r="O595" s="7"/>
      <c r="P595" s="7"/>
      <c r="Q595" s="7"/>
    </row>
    <row r="596" spans="1:17" ht="13.9">
      <c r="A596" s="3">
        <v>27017006</v>
      </c>
      <c r="B596" s="3">
        <v>6</v>
      </c>
      <c r="C596" s="3" t="s">
        <v>60</v>
      </c>
      <c r="D596" s="5">
        <v>17</v>
      </c>
      <c r="E596" s="3"/>
      <c r="F596" s="9">
        <v>40674</v>
      </c>
      <c r="G596" s="5">
        <v>11</v>
      </c>
      <c r="H596" s="3" t="s">
        <v>61</v>
      </c>
      <c r="I596" s="3" t="s">
        <v>7</v>
      </c>
      <c r="J596" s="7" t="b">
        <v>1</v>
      </c>
      <c r="K596" s="7"/>
      <c r="L596" s="7"/>
      <c r="M596" s="7"/>
      <c r="N596" s="7"/>
      <c r="O596" s="7"/>
      <c r="P596" s="7"/>
      <c r="Q596" s="7"/>
    </row>
    <row r="597" spans="1:17" ht="13.9">
      <c r="A597" s="5">
        <v>909818609</v>
      </c>
      <c r="B597" s="3">
        <v>3</v>
      </c>
      <c r="C597" s="3" t="s">
        <v>60</v>
      </c>
      <c r="D597" s="3">
        <v>9</v>
      </c>
      <c r="E597" s="3"/>
      <c r="F597" s="6">
        <v>41652</v>
      </c>
      <c r="G597" s="5">
        <v>8</v>
      </c>
      <c r="H597" s="3" t="s">
        <v>63</v>
      </c>
      <c r="I597" s="3" t="s">
        <v>7</v>
      </c>
      <c r="J597" s="7" t="b">
        <v>1</v>
      </c>
      <c r="K597" s="7"/>
      <c r="L597" s="7"/>
      <c r="M597" s="7"/>
      <c r="N597" s="7"/>
      <c r="O597" s="7"/>
      <c r="P597" s="7"/>
      <c r="Q597" s="7"/>
    </row>
    <row r="598" spans="1:17" ht="13.9">
      <c r="A598" s="3">
        <v>13717063</v>
      </c>
      <c r="B598" s="3">
        <v>6</v>
      </c>
      <c r="C598" s="3" t="s">
        <v>60</v>
      </c>
      <c r="D598" s="3">
        <v>9</v>
      </c>
      <c r="E598" s="3"/>
      <c r="F598" s="6">
        <v>40616</v>
      </c>
      <c r="G598" s="5">
        <v>11</v>
      </c>
      <c r="H598" s="3" t="s">
        <v>61</v>
      </c>
      <c r="I598" s="3" t="s">
        <v>4</v>
      </c>
      <c r="J598" s="7" t="b">
        <v>1</v>
      </c>
      <c r="K598" s="7"/>
      <c r="L598" s="7"/>
      <c r="M598" s="7"/>
      <c r="N598" s="7"/>
      <c r="O598" s="7"/>
      <c r="P598" s="7"/>
      <c r="Q598" s="7"/>
    </row>
    <row r="599" spans="1:17" ht="13.9">
      <c r="A599" s="3">
        <v>2516083</v>
      </c>
      <c r="B599" s="3">
        <v>6</v>
      </c>
      <c r="C599" s="3" t="s">
        <v>60</v>
      </c>
      <c r="D599" s="3">
        <v>9</v>
      </c>
      <c r="E599" s="3"/>
      <c r="F599" s="6">
        <v>40341</v>
      </c>
      <c r="G599" s="5">
        <v>12</v>
      </c>
      <c r="H599" s="3" t="s">
        <v>61</v>
      </c>
      <c r="I599" s="3" t="s">
        <v>7</v>
      </c>
      <c r="J599" s="7" t="b">
        <v>1</v>
      </c>
      <c r="K599" s="7"/>
      <c r="L599" s="7"/>
      <c r="M599" s="7"/>
      <c r="N599" s="7"/>
      <c r="O599" s="7"/>
      <c r="P599" s="7"/>
      <c r="Q599" s="7"/>
    </row>
    <row r="600" spans="1:17" ht="13.9">
      <c r="A600" s="3">
        <v>10122234</v>
      </c>
      <c r="B600" s="5">
        <v>12</v>
      </c>
      <c r="C600" s="3" t="s">
        <v>62</v>
      </c>
      <c r="D600" s="5">
        <v>15</v>
      </c>
      <c r="E600" s="3"/>
      <c r="F600" s="6">
        <v>38183</v>
      </c>
      <c r="G600" s="5">
        <v>18</v>
      </c>
      <c r="H600" s="3" t="s">
        <v>63</v>
      </c>
      <c r="I600" s="3" t="s">
        <v>7</v>
      </c>
      <c r="J600" s="7" t="b">
        <v>1</v>
      </c>
      <c r="K600" s="7"/>
      <c r="L600" s="7"/>
      <c r="M600" s="7"/>
      <c r="N600" s="7"/>
      <c r="O600" s="7"/>
      <c r="P600" s="7"/>
      <c r="Q600" s="7"/>
    </row>
    <row r="601" spans="1:17" ht="13.9">
      <c r="A601" s="3">
        <v>7113067</v>
      </c>
      <c r="B601" s="3">
        <v>7</v>
      </c>
      <c r="C601" s="3" t="s">
        <v>60</v>
      </c>
      <c r="D601" s="3">
        <v>4</v>
      </c>
      <c r="E601" s="3"/>
      <c r="F601" s="6">
        <v>40213</v>
      </c>
      <c r="G601" s="5">
        <v>12</v>
      </c>
      <c r="H601" s="3" t="s">
        <v>63</v>
      </c>
      <c r="I601" s="3" t="s">
        <v>7</v>
      </c>
      <c r="J601" s="7" t="b">
        <v>1</v>
      </c>
      <c r="K601" s="7"/>
      <c r="L601" s="7"/>
      <c r="M601" s="7"/>
      <c r="N601" s="7"/>
      <c r="O601" s="7"/>
      <c r="P601" s="7"/>
      <c r="Q601" s="7"/>
    </row>
    <row r="602" spans="1:17" ht="13.9">
      <c r="A602" s="5">
        <v>908508096</v>
      </c>
      <c r="B602" s="5">
        <v>12</v>
      </c>
      <c r="C602" s="3" t="s">
        <v>60</v>
      </c>
      <c r="D602" s="5">
        <v>17</v>
      </c>
      <c r="E602" s="3"/>
      <c r="F602" s="6">
        <v>38287</v>
      </c>
      <c r="G602" s="5">
        <v>18</v>
      </c>
      <c r="H602" s="3" t="s">
        <v>63</v>
      </c>
      <c r="I602" s="3" t="s">
        <v>7</v>
      </c>
      <c r="J602" s="7" t="b">
        <v>1</v>
      </c>
      <c r="K602" s="7"/>
      <c r="L602" s="7"/>
      <c r="M602" s="7"/>
      <c r="N602" s="7"/>
      <c r="O602" s="7"/>
      <c r="P602" s="7"/>
      <c r="Q602" s="7"/>
    </row>
    <row r="603" spans="1:17" ht="13.9">
      <c r="A603" s="3">
        <v>51121001</v>
      </c>
      <c r="B603" s="3">
        <v>8</v>
      </c>
      <c r="C603" s="3" t="s">
        <v>60</v>
      </c>
      <c r="D603" s="5">
        <v>17</v>
      </c>
      <c r="E603" s="3"/>
      <c r="F603" s="6">
        <v>39538</v>
      </c>
      <c r="G603" s="5">
        <v>14</v>
      </c>
      <c r="H603" s="3" t="s">
        <v>63</v>
      </c>
      <c r="I603" s="3" t="s">
        <v>7</v>
      </c>
      <c r="J603" s="7" t="b">
        <v>1</v>
      </c>
      <c r="K603" s="7"/>
      <c r="L603" s="7"/>
      <c r="M603" s="7"/>
      <c r="N603" s="7"/>
      <c r="O603" s="7"/>
      <c r="P603" s="7"/>
      <c r="Q603" s="7"/>
    </row>
    <row r="604" spans="1:17" ht="13.9">
      <c r="A604" s="3" t="s">
        <v>128</v>
      </c>
      <c r="B604" s="3">
        <v>8</v>
      </c>
      <c r="C604" s="3" t="s">
        <v>60</v>
      </c>
      <c r="D604" s="3">
        <v>7</v>
      </c>
      <c r="E604" s="3"/>
      <c r="F604" s="6">
        <v>39541</v>
      </c>
      <c r="G604" s="5">
        <v>14</v>
      </c>
      <c r="H604" s="3" t="s">
        <v>63</v>
      </c>
      <c r="I604" s="3" t="s">
        <v>7</v>
      </c>
      <c r="J604" s="7" t="b">
        <v>1</v>
      </c>
      <c r="K604" s="7"/>
      <c r="L604" s="7"/>
      <c r="M604" s="7"/>
      <c r="N604" s="7"/>
      <c r="O604" s="7"/>
      <c r="P604" s="7"/>
      <c r="Q604" s="7"/>
    </row>
    <row r="605" spans="1:17" ht="13.9">
      <c r="A605" s="5">
        <v>428715070</v>
      </c>
      <c r="B605" s="3">
        <v>4</v>
      </c>
      <c r="C605" s="3" t="s">
        <v>64</v>
      </c>
      <c r="D605" s="5">
        <v>15</v>
      </c>
      <c r="E605" s="3">
        <v>9</v>
      </c>
      <c r="F605" s="6">
        <v>41009</v>
      </c>
      <c r="G605" s="5">
        <v>10</v>
      </c>
      <c r="H605" s="3" t="s">
        <v>63</v>
      </c>
      <c r="I605" s="3" t="s">
        <v>7</v>
      </c>
      <c r="J605" s="7" t="b">
        <v>1</v>
      </c>
      <c r="K605" s="7"/>
      <c r="L605" s="7"/>
      <c r="M605" s="7"/>
      <c r="N605" s="7"/>
      <c r="O605" s="7"/>
      <c r="P605" s="7"/>
      <c r="Q605" s="7"/>
    </row>
    <row r="606" spans="1:17" ht="13.9">
      <c r="A606" s="5">
        <v>324716580</v>
      </c>
      <c r="B606" s="3">
        <v>5</v>
      </c>
      <c r="C606" s="3" t="s">
        <v>64</v>
      </c>
      <c r="D606" s="3">
        <v>7</v>
      </c>
      <c r="E606" s="3"/>
      <c r="F606" s="6">
        <v>40211</v>
      </c>
      <c r="G606" s="5">
        <v>12</v>
      </c>
      <c r="H606" s="3" t="s">
        <v>61</v>
      </c>
      <c r="I606" s="3" t="s">
        <v>7</v>
      </c>
      <c r="J606" s="7" t="b">
        <v>1</v>
      </c>
      <c r="K606" s="7"/>
      <c r="L606" s="7"/>
      <c r="M606" s="7"/>
      <c r="N606" s="7"/>
      <c r="O606" s="7"/>
      <c r="P606" s="7"/>
      <c r="Q606" s="7"/>
    </row>
    <row r="607" spans="1:17" ht="13.9">
      <c r="A607" s="3">
        <v>22914117</v>
      </c>
      <c r="B607" s="3">
        <v>6</v>
      </c>
      <c r="C607" s="3" t="s">
        <v>60</v>
      </c>
      <c r="D607" s="5">
        <v>15</v>
      </c>
      <c r="E607" s="3">
        <v>9</v>
      </c>
      <c r="F607" s="6">
        <v>40591</v>
      </c>
      <c r="G607" s="5">
        <v>11</v>
      </c>
      <c r="H607" s="3" t="s">
        <v>63</v>
      </c>
      <c r="I607" s="3" t="s">
        <v>7</v>
      </c>
      <c r="J607" s="7" t="b">
        <v>1</v>
      </c>
      <c r="K607" s="7"/>
      <c r="L607" s="7"/>
      <c r="M607" s="7"/>
      <c r="N607" s="7"/>
      <c r="O607" s="7"/>
      <c r="P607" s="7"/>
      <c r="Q607" s="7"/>
    </row>
    <row r="608" spans="1:17" ht="13.9">
      <c r="A608" s="5">
        <v>909813088</v>
      </c>
      <c r="B608" s="5">
        <v>10</v>
      </c>
      <c r="C608" s="3" t="s">
        <v>60</v>
      </c>
      <c r="D608" s="3">
        <v>7</v>
      </c>
      <c r="E608" s="3"/>
      <c r="F608" s="6">
        <v>39036</v>
      </c>
      <c r="G608" s="5">
        <v>16</v>
      </c>
      <c r="H608" s="3" t="s">
        <v>61</v>
      </c>
      <c r="I608" s="3" t="s">
        <v>7</v>
      </c>
      <c r="J608" s="7" t="b">
        <v>1</v>
      </c>
      <c r="K608" s="7"/>
      <c r="L608" s="7"/>
      <c r="M608" s="7"/>
      <c r="N608" s="7"/>
      <c r="O608" s="7"/>
      <c r="P608" s="7"/>
      <c r="Q608" s="7"/>
    </row>
    <row r="609" spans="1:17" ht="13.9">
      <c r="A609" s="3">
        <v>28119023</v>
      </c>
      <c r="B609" s="3">
        <v>9</v>
      </c>
      <c r="C609" s="3" t="s">
        <v>60</v>
      </c>
      <c r="D609" s="3">
        <v>6</v>
      </c>
      <c r="E609" s="3">
        <v>9</v>
      </c>
      <c r="F609" s="6">
        <v>39370</v>
      </c>
      <c r="G609" s="5">
        <v>15</v>
      </c>
      <c r="H609" s="3" t="s">
        <v>61</v>
      </c>
      <c r="I609" s="3" t="s">
        <v>4</v>
      </c>
      <c r="J609" s="7" t="b">
        <v>1</v>
      </c>
      <c r="K609" s="7"/>
      <c r="L609" s="7"/>
      <c r="M609" s="7"/>
      <c r="N609" s="7"/>
      <c r="O609" s="7"/>
      <c r="P609" s="7"/>
      <c r="Q609" s="7"/>
    </row>
    <row r="610" spans="1:17" ht="13.9">
      <c r="A610" s="3">
        <v>2518109</v>
      </c>
      <c r="B610" s="3">
        <v>3</v>
      </c>
      <c r="C610" s="3" t="s">
        <v>60</v>
      </c>
      <c r="D610" s="3">
        <v>9</v>
      </c>
      <c r="E610" s="3"/>
      <c r="F610" s="6">
        <v>41638</v>
      </c>
      <c r="G610" s="5">
        <v>8</v>
      </c>
      <c r="H610" s="3" t="s">
        <v>63</v>
      </c>
      <c r="I610" s="3" t="s">
        <v>7</v>
      </c>
      <c r="J610" s="7" t="b">
        <v>1</v>
      </c>
      <c r="K610" s="7"/>
      <c r="L610" s="7"/>
      <c r="M610" s="7"/>
      <c r="N610" s="7"/>
      <c r="O610" s="7"/>
      <c r="P610" s="7"/>
      <c r="Q610" s="7"/>
    </row>
    <row r="611" spans="1:17" ht="13.9">
      <c r="A611" s="3">
        <v>2015093</v>
      </c>
      <c r="B611" s="3">
        <v>5</v>
      </c>
      <c r="C611" s="3" t="s">
        <v>62</v>
      </c>
      <c r="D611" s="3">
        <v>1</v>
      </c>
      <c r="E611" s="3">
        <v>9</v>
      </c>
      <c r="F611" s="6">
        <v>40895</v>
      </c>
      <c r="G611" s="5">
        <v>10</v>
      </c>
      <c r="H611" s="3" t="s">
        <v>63</v>
      </c>
      <c r="I611" s="3" t="s">
        <v>7</v>
      </c>
      <c r="J611" s="7" t="b">
        <v>1</v>
      </c>
      <c r="K611" s="7"/>
      <c r="L611" s="7"/>
      <c r="M611" s="7"/>
      <c r="N611" s="7"/>
      <c r="O611" s="7"/>
      <c r="P611" s="7"/>
      <c r="Q611" s="7"/>
    </row>
    <row r="612" spans="1:17" ht="13.9">
      <c r="A612" s="3" t="s">
        <v>129</v>
      </c>
      <c r="B612" s="3">
        <v>8</v>
      </c>
      <c r="C612" s="3" t="s">
        <v>60</v>
      </c>
      <c r="D612" s="3">
        <v>7</v>
      </c>
      <c r="E612" s="3"/>
      <c r="F612" s="6">
        <v>39321</v>
      </c>
      <c r="G612" s="5">
        <v>15</v>
      </c>
      <c r="H612" s="3" t="s">
        <v>63</v>
      </c>
      <c r="I612" s="3" t="s">
        <v>7</v>
      </c>
      <c r="J612" s="7" t="b">
        <v>1</v>
      </c>
      <c r="K612" s="7"/>
      <c r="L612" s="7"/>
      <c r="M612" s="7"/>
      <c r="N612" s="7"/>
      <c r="O612" s="7"/>
      <c r="P612" s="7"/>
      <c r="Q612" s="7"/>
    </row>
    <row r="613" spans="1:17" ht="13.9">
      <c r="A613" s="3">
        <v>22915429</v>
      </c>
      <c r="B613" s="3">
        <v>5</v>
      </c>
      <c r="C613" s="3" t="s">
        <v>60</v>
      </c>
      <c r="D613" s="3">
        <v>9</v>
      </c>
      <c r="E613" s="3"/>
      <c r="F613" s="6">
        <v>40857</v>
      </c>
      <c r="G613" s="5">
        <v>11</v>
      </c>
      <c r="H613" s="3" t="s">
        <v>63</v>
      </c>
      <c r="I613" s="3" t="s">
        <v>4</v>
      </c>
      <c r="J613" s="7" t="b">
        <v>1</v>
      </c>
      <c r="K613" s="7"/>
      <c r="L613" s="7"/>
      <c r="M613" s="7"/>
      <c r="N613" s="7"/>
      <c r="O613" s="7"/>
      <c r="P613" s="7"/>
      <c r="Q613" s="7"/>
    </row>
    <row r="614" spans="1:17" ht="13.9">
      <c r="A614" s="5">
        <v>225508201</v>
      </c>
      <c r="B614" s="5">
        <v>12</v>
      </c>
      <c r="C614" s="3" t="s">
        <v>60</v>
      </c>
      <c r="D614" s="5">
        <v>17</v>
      </c>
      <c r="E614" s="3"/>
      <c r="F614" s="6">
        <v>38471</v>
      </c>
      <c r="G614" s="5">
        <v>17</v>
      </c>
      <c r="H614" s="3" t="s">
        <v>63</v>
      </c>
      <c r="I614" s="3" t="s">
        <v>8</v>
      </c>
      <c r="J614" s="7" t="b">
        <v>1</v>
      </c>
      <c r="K614" s="7"/>
      <c r="L614" s="7"/>
      <c r="M614" s="7"/>
      <c r="N614" s="7"/>
      <c r="O614" s="7"/>
      <c r="P614" s="7"/>
      <c r="Q614" s="7"/>
    </row>
    <row r="615" spans="1:17" ht="13.9">
      <c r="A615" s="3">
        <v>4110158</v>
      </c>
      <c r="B615" s="3">
        <v>4</v>
      </c>
      <c r="C615" s="3" t="s">
        <v>60</v>
      </c>
      <c r="D615" s="3">
        <v>7</v>
      </c>
      <c r="E615" s="3"/>
      <c r="F615" s="6">
        <v>41389</v>
      </c>
      <c r="G615" s="5">
        <v>9</v>
      </c>
      <c r="H615" s="3" t="s">
        <v>63</v>
      </c>
      <c r="I615" s="3" t="s">
        <v>7</v>
      </c>
      <c r="J615" s="7" t="b">
        <v>1</v>
      </c>
      <c r="K615" s="7"/>
      <c r="L615" s="7"/>
      <c r="M615" s="7"/>
      <c r="N615" s="7"/>
      <c r="O615" s="7"/>
      <c r="P615" s="7"/>
      <c r="Q615" s="7"/>
    </row>
    <row r="616" spans="1:17" ht="13.9">
      <c r="A616" s="3">
        <v>24116092</v>
      </c>
      <c r="B616" s="3">
        <v>6</v>
      </c>
      <c r="C616" s="3" t="s">
        <v>60</v>
      </c>
      <c r="D616" s="3">
        <v>7</v>
      </c>
      <c r="E616" s="3"/>
      <c r="F616" s="6">
        <v>40756</v>
      </c>
      <c r="G616" s="5">
        <v>11</v>
      </c>
      <c r="H616" s="3" t="s">
        <v>61</v>
      </c>
      <c r="I616" s="3" t="s">
        <v>7</v>
      </c>
      <c r="J616" s="7" t="b">
        <v>1</v>
      </c>
      <c r="K616" s="7"/>
      <c r="L616" s="7"/>
      <c r="M616" s="7"/>
      <c r="N616" s="7"/>
      <c r="O616" s="7"/>
      <c r="P616" s="7"/>
      <c r="Q616" s="7"/>
    </row>
    <row r="617" spans="1:17" ht="13.9">
      <c r="A617" s="3">
        <v>4610172</v>
      </c>
      <c r="B617" s="3">
        <v>8</v>
      </c>
      <c r="C617" s="3" t="s">
        <v>62</v>
      </c>
      <c r="D617" s="3">
        <v>1</v>
      </c>
      <c r="E617" s="3">
        <v>9</v>
      </c>
      <c r="F617" s="6">
        <v>39363</v>
      </c>
      <c r="G617" s="5">
        <v>15</v>
      </c>
      <c r="H617" s="3" t="s">
        <v>63</v>
      </c>
      <c r="I617" s="3" t="s">
        <v>7</v>
      </c>
      <c r="J617" s="7" t="b">
        <v>1</v>
      </c>
      <c r="K617" s="7"/>
      <c r="L617" s="7"/>
      <c r="M617" s="7"/>
      <c r="N617" s="7"/>
      <c r="O617" s="7"/>
      <c r="P617" s="7"/>
      <c r="Q617" s="7"/>
    </row>
    <row r="618" spans="1:17" ht="13.9">
      <c r="A618" s="3">
        <v>51413050</v>
      </c>
      <c r="B618" s="5">
        <v>11</v>
      </c>
      <c r="C618" s="3" t="s">
        <v>60</v>
      </c>
      <c r="D618" s="3">
        <v>4</v>
      </c>
      <c r="E618" s="3"/>
      <c r="F618" s="6">
        <v>38616</v>
      </c>
      <c r="G618" s="5">
        <v>17</v>
      </c>
      <c r="H618" s="3" t="s">
        <v>61</v>
      </c>
      <c r="I618" s="3" t="s">
        <v>7</v>
      </c>
      <c r="J618" s="7" t="b">
        <v>1</v>
      </c>
      <c r="K618" s="7"/>
      <c r="L618" s="7"/>
      <c r="M618" s="7"/>
      <c r="N618" s="7"/>
      <c r="O618" s="7"/>
      <c r="P618" s="7"/>
      <c r="Q618" s="7"/>
    </row>
    <row r="619" spans="1:17" ht="13.9">
      <c r="A619" s="3">
        <v>22913185</v>
      </c>
      <c r="B619" s="3">
        <v>8</v>
      </c>
      <c r="C619" s="3" t="s">
        <v>60</v>
      </c>
      <c r="D619" s="3">
        <v>7</v>
      </c>
      <c r="E619" s="3"/>
      <c r="F619" s="6">
        <v>39892</v>
      </c>
      <c r="G619" s="5">
        <v>13</v>
      </c>
      <c r="H619" s="3" t="s">
        <v>63</v>
      </c>
      <c r="I619" s="3" t="s">
        <v>8</v>
      </c>
      <c r="J619" s="7" t="b">
        <v>1</v>
      </c>
      <c r="K619" s="7"/>
      <c r="L619" s="7"/>
      <c r="M619" s="7"/>
      <c r="N619" s="7"/>
      <c r="O619" s="7"/>
      <c r="P619" s="7"/>
      <c r="Q619" s="7"/>
    </row>
    <row r="620" spans="1:17" ht="13.9">
      <c r="A620" s="3">
        <v>2515092</v>
      </c>
      <c r="B620" s="5">
        <v>10</v>
      </c>
      <c r="C620" s="3" t="s">
        <v>60</v>
      </c>
      <c r="D620" s="5">
        <v>10</v>
      </c>
      <c r="E620" s="3">
        <v>9</v>
      </c>
      <c r="F620" s="6">
        <v>39071</v>
      </c>
      <c r="G620" s="5">
        <v>15</v>
      </c>
      <c r="H620" s="3" t="s">
        <v>63</v>
      </c>
      <c r="I620" s="3" t="s">
        <v>7</v>
      </c>
      <c r="J620" s="7" t="b">
        <v>1</v>
      </c>
      <c r="K620" s="7"/>
      <c r="L620" s="7"/>
      <c r="M620" s="7"/>
      <c r="N620" s="7"/>
      <c r="O620" s="7"/>
      <c r="P620" s="7"/>
      <c r="Q620" s="7"/>
    </row>
    <row r="621" spans="1:17" ht="13.9">
      <c r="A621" s="3">
        <v>20915013</v>
      </c>
      <c r="B621" s="3">
        <v>8</v>
      </c>
      <c r="C621" s="3" t="s">
        <v>60</v>
      </c>
      <c r="D621" s="3">
        <v>7</v>
      </c>
      <c r="E621" s="3"/>
      <c r="F621" s="6">
        <v>39981</v>
      </c>
      <c r="G621" s="5">
        <v>13</v>
      </c>
      <c r="H621" s="3" t="s">
        <v>61</v>
      </c>
      <c r="I621" s="3" t="s">
        <v>4</v>
      </c>
      <c r="J621" s="7" t="b">
        <v>1</v>
      </c>
      <c r="K621" s="7"/>
      <c r="L621" s="7"/>
      <c r="M621" s="7"/>
      <c r="N621" s="7"/>
      <c r="O621" s="7"/>
      <c r="P621" s="7"/>
      <c r="Q621" s="7"/>
    </row>
    <row r="622" spans="1:17" ht="13.9">
      <c r="A622" s="3">
        <v>15319049</v>
      </c>
      <c r="B622" s="3">
        <v>7</v>
      </c>
      <c r="C622" s="3" t="s">
        <v>65</v>
      </c>
      <c r="D622" s="5">
        <v>10</v>
      </c>
      <c r="E622" s="3">
        <v>9</v>
      </c>
      <c r="F622" s="6">
        <v>40007</v>
      </c>
      <c r="G622" s="5">
        <v>13</v>
      </c>
      <c r="H622" s="3" t="s">
        <v>63</v>
      </c>
      <c r="I622" s="3" t="s">
        <v>7</v>
      </c>
      <c r="J622" s="7" t="b">
        <v>1</v>
      </c>
      <c r="K622" s="7"/>
      <c r="L622" s="7"/>
      <c r="M622" s="7"/>
      <c r="N622" s="7"/>
      <c r="O622" s="7"/>
      <c r="P622" s="7"/>
      <c r="Q622" s="7"/>
    </row>
    <row r="623" spans="1:17" ht="13.9">
      <c r="A623" s="3" t="s">
        <v>130</v>
      </c>
      <c r="B623" s="5">
        <v>10</v>
      </c>
      <c r="C623" s="3" t="s">
        <v>64</v>
      </c>
      <c r="D623" s="3">
        <v>7</v>
      </c>
      <c r="E623" s="5">
        <v>17</v>
      </c>
      <c r="F623" s="6">
        <v>39081</v>
      </c>
      <c r="G623" s="5">
        <v>15</v>
      </c>
      <c r="H623" s="3" t="s">
        <v>63</v>
      </c>
      <c r="I623" s="3" t="s">
        <v>6</v>
      </c>
      <c r="J623" s="7" t="b">
        <v>1</v>
      </c>
      <c r="K623" s="7"/>
      <c r="L623" s="7"/>
      <c r="M623" s="7"/>
      <c r="N623" s="7"/>
      <c r="O623" s="7"/>
      <c r="P623" s="7"/>
      <c r="Q623" s="7"/>
    </row>
    <row r="624" spans="1:17" ht="13.9">
      <c r="A624" s="3">
        <v>21711585</v>
      </c>
      <c r="B624" s="5">
        <v>10</v>
      </c>
      <c r="C624" s="3" t="s">
        <v>60</v>
      </c>
      <c r="D624" s="3">
        <v>7</v>
      </c>
      <c r="E624" s="3"/>
      <c r="F624" s="6">
        <v>39033</v>
      </c>
      <c r="G624" s="5">
        <v>16</v>
      </c>
      <c r="H624" s="3" t="s">
        <v>63</v>
      </c>
      <c r="I624" s="3" t="s">
        <v>6</v>
      </c>
      <c r="J624" s="7" t="b">
        <v>1</v>
      </c>
      <c r="K624" s="7"/>
      <c r="L624" s="7"/>
      <c r="M624" s="7"/>
      <c r="N624" s="7"/>
      <c r="O624" s="7"/>
      <c r="P624" s="7"/>
      <c r="Q624" s="7"/>
    </row>
    <row r="625" spans="1:17" ht="13.9">
      <c r="A625" s="3">
        <v>22913071</v>
      </c>
      <c r="B625" s="3">
        <v>7</v>
      </c>
      <c r="C625" s="3" t="s">
        <v>60</v>
      </c>
      <c r="D625" s="5">
        <v>17</v>
      </c>
      <c r="E625" s="3"/>
      <c r="F625" s="6">
        <v>39991</v>
      </c>
      <c r="G625" s="5">
        <v>13</v>
      </c>
      <c r="H625" s="3" t="s">
        <v>63</v>
      </c>
      <c r="I625" s="3" t="s">
        <v>7</v>
      </c>
      <c r="J625" s="7" t="b">
        <v>1</v>
      </c>
      <c r="K625" s="7"/>
      <c r="L625" s="7"/>
      <c r="M625" s="7"/>
      <c r="N625" s="7"/>
      <c r="O625" s="7"/>
      <c r="P625" s="7"/>
      <c r="Q625" s="7"/>
    </row>
    <row r="626" spans="1:17" ht="13.9">
      <c r="A626" s="3">
        <v>23314061</v>
      </c>
      <c r="B626" s="3">
        <v>8</v>
      </c>
      <c r="C626" s="3" t="s">
        <v>60</v>
      </c>
      <c r="D626" s="5">
        <v>17</v>
      </c>
      <c r="E626" s="3"/>
      <c r="F626" s="6">
        <v>39646</v>
      </c>
      <c r="G626" s="5">
        <v>14</v>
      </c>
      <c r="H626" s="3" t="s">
        <v>63</v>
      </c>
      <c r="I626" s="3" t="s">
        <v>4</v>
      </c>
      <c r="J626" s="7" t="b">
        <v>1</v>
      </c>
      <c r="K626" s="7"/>
      <c r="L626" s="7"/>
      <c r="M626" s="7"/>
      <c r="N626" s="7"/>
      <c r="O626" s="7"/>
      <c r="P626" s="7"/>
      <c r="Q626" s="7"/>
    </row>
    <row r="627" spans="1:17" ht="13.9">
      <c r="A627" s="3">
        <v>16415051</v>
      </c>
      <c r="B627" s="3">
        <v>8</v>
      </c>
      <c r="C627" s="3" t="s">
        <v>60</v>
      </c>
      <c r="D627" s="3">
        <v>7</v>
      </c>
      <c r="E627" s="5">
        <v>17</v>
      </c>
      <c r="F627" s="6">
        <v>39854</v>
      </c>
      <c r="G627" s="5">
        <v>13</v>
      </c>
      <c r="H627" s="3" t="s">
        <v>63</v>
      </c>
      <c r="I627" s="3" t="s">
        <v>8</v>
      </c>
      <c r="J627" s="7" t="b">
        <v>1</v>
      </c>
      <c r="K627" s="7"/>
      <c r="L627" s="7"/>
      <c r="M627" s="7"/>
      <c r="N627" s="7"/>
      <c r="O627" s="7"/>
      <c r="P627" s="7"/>
      <c r="Q627" s="7"/>
    </row>
    <row r="628" spans="1:17" ht="13.9">
      <c r="A628" s="5">
        <v>324709879</v>
      </c>
      <c r="B628" s="5">
        <v>10</v>
      </c>
      <c r="C628" s="3" t="s">
        <v>64</v>
      </c>
      <c r="D628" s="3">
        <v>6</v>
      </c>
      <c r="E628" s="3"/>
      <c r="F628" s="6">
        <v>38882</v>
      </c>
      <c r="G628" s="5">
        <v>16</v>
      </c>
      <c r="H628" s="3" t="s">
        <v>61</v>
      </c>
      <c r="I628" s="3" t="s">
        <v>6</v>
      </c>
      <c r="J628" s="7" t="b">
        <v>1</v>
      </c>
      <c r="K628" s="7"/>
      <c r="L628" s="7"/>
      <c r="M628" s="7"/>
      <c r="N628" s="7"/>
      <c r="O628" s="7"/>
      <c r="P628" s="7"/>
      <c r="Q628" s="7"/>
    </row>
    <row r="629" spans="1:17" ht="13.9">
      <c r="A629" s="3">
        <v>21310500</v>
      </c>
      <c r="B629" s="5">
        <v>12</v>
      </c>
      <c r="C629" s="3" t="s">
        <v>60</v>
      </c>
      <c r="D629" s="5">
        <v>17</v>
      </c>
      <c r="E629" s="3">
        <v>6</v>
      </c>
      <c r="F629" s="6">
        <v>38364</v>
      </c>
      <c r="G629" s="5">
        <v>17</v>
      </c>
      <c r="H629" s="3" t="s">
        <v>61</v>
      </c>
      <c r="I629" s="3" t="s">
        <v>4</v>
      </c>
      <c r="J629" s="7" t="b">
        <v>1</v>
      </c>
      <c r="K629" s="7"/>
      <c r="L629" s="7"/>
      <c r="M629" s="7"/>
      <c r="N629" s="7"/>
      <c r="O629" s="7"/>
      <c r="P629" s="7"/>
      <c r="Q629" s="7"/>
    </row>
    <row r="630" spans="1:17" ht="13.9">
      <c r="A630" s="3">
        <v>28912071</v>
      </c>
      <c r="B630" s="5">
        <v>11</v>
      </c>
      <c r="C630" s="3" t="s">
        <v>65</v>
      </c>
      <c r="D630" s="5">
        <v>17</v>
      </c>
      <c r="E630" s="3"/>
      <c r="F630" s="6">
        <v>38575</v>
      </c>
      <c r="G630" s="5">
        <v>17</v>
      </c>
      <c r="H630" s="3" t="s">
        <v>63</v>
      </c>
      <c r="I630" s="3" t="s">
        <v>7</v>
      </c>
      <c r="J630" s="7" t="b">
        <v>1</v>
      </c>
      <c r="K630" s="7"/>
      <c r="L630" s="7"/>
      <c r="M630" s="7"/>
      <c r="N630" s="7"/>
      <c r="O630" s="7"/>
      <c r="P630" s="7"/>
      <c r="Q630" s="7"/>
    </row>
    <row r="631" spans="1:17" ht="13.9">
      <c r="A631" s="5">
        <v>601209191</v>
      </c>
      <c r="B631" s="5">
        <v>12</v>
      </c>
      <c r="C631" s="3" t="s">
        <v>60</v>
      </c>
      <c r="D631" s="3">
        <v>7</v>
      </c>
      <c r="E631" s="3"/>
      <c r="F631" s="6">
        <v>38549</v>
      </c>
      <c r="G631" s="5">
        <v>17</v>
      </c>
      <c r="H631" s="3" t="s">
        <v>63</v>
      </c>
      <c r="I631" s="3" t="s">
        <v>7</v>
      </c>
      <c r="J631" s="7" t="b">
        <v>1</v>
      </c>
      <c r="K631" s="7"/>
      <c r="L631" s="7"/>
      <c r="M631" s="7"/>
      <c r="N631" s="7"/>
      <c r="O631" s="7"/>
      <c r="P631" s="7"/>
      <c r="Q631" s="7"/>
    </row>
    <row r="632" spans="1:17" ht="13.9">
      <c r="A632" s="3">
        <v>51710170</v>
      </c>
      <c r="B632" s="5">
        <v>10</v>
      </c>
      <c r="C632" s="3" t="s">
        <v>60</v>
      </c>
      <c r="D632" s="3">
        <v>7</v>
      </c>
      <c r="E632" s="3"/>
      <c r="F632" s="6">
        <v>38826</v>
      </c>
      <c r="G632" s="5">
        <v>16</v>
      </c>
      <c r="H632" s="3" t="s">
        <v>63</v>
      </c>
      <c r="I632" s="3" t="s">
        <v>7</v>
      </c>
      <c r="J632" s="7" t="b">
        <v>1</v>
      </c>
      <c r="K632" s="7"/>
      <c r="L632" s="7"/>
      <c r="M632" s="7"/>
      <c r="N632" s="7"/>
      <c r="O632" s="7"/>
      <c r="P632" s="7"/>
      <c r="Q632" s="7"/>
    </row>
    <row r="633" spans="1:17" ht="13.9">
      <c r="A633" s="5">
        <v>630107082</v>
      </c>
      <c r="B633" s="5">
        <v>12</v>
      </c>
      <c r="C633" s="3" t="s">
        <v>64</v>
      </c>
      <c r="D633" s="5">
        <v>15</v>
      </c>
      <c r="E633" s="3"/>
      <c r="F633" s="6">
        <v>38070</v>
      </c>
      <c r="G633" s="5">
        <v>18</v>
      </c>
      <c r="H633" s="3" t="s">
        <v>63</v>
      </c>
      <c r="I633" s="3" t="s">
        <v>7</v>
      </c>
      <c r="J633" s="7" t="b">
        <v>1</v>
      </c>
      <c r="K633" s="7"/>
      <c r="L633" s="7"/>
      <c r="M633" s="7"/>
      <c r="N633" s="7"/>
      <c r="O633" s="7"/>
      <c r="P633" s="7"/>
      <c r="Q633" s="7"/>
    </row>
    <row r="634" spans="1:17" ht="13.9">
      <c r="A634" s="3">
        <v>17809100</v>
      </c>
      <c r="B634" s="5">
        <v>10</v>
      </c>
      <c r="C634" s="3" t="s">
        <v>60</v>
      </c>
      <c r="D634" s="3">
        <v>5</v>
      </c>
      <c r="E634" s="3"/>
      <c r="F634" s="9">
        <v>38491</v>
      </c>
      <c r="G634" s="5">
        <v>17</v>
      </c>
      <c r="H634" s="3" t="s">
        <v>63</v>
      </c>
      <c r="I634" s="3" t="s">
        <v>8</v>
      </c>
      <c r="J634" s="7" t="b">
        <v>1</v>
      </c>
      <c r="K634" s="7"/>
      <c r="L634" s="7"/>
      <c r="M634" s="7"/>
      <c r="N634" s="7"/>
      <c r="O634" s="7"/>
      <c r="P634" s="7"/>
      <c r="Q634" s="7"/>
    </row>
    <row r="635" spans="1:17" ht="13.9">
      <c r="A635" s="3">
        <v>22915322</v>
      </c>
      <c r="B635" s="3">
        <v>6</v>
      </c>
      <c r="C635" s="3" t="s">
        <v>60</v>
      </c>
      <c r="D635" s="3">
        <v>7</v>
      </c>
      <c r="E635" s="3"/>
      <c r="F635" s="6">
        <v>40592</v>
      </c>
      <c r="G635" s="5">
        <v>11</v>
      </c>
      <c r="H635" s="3" t="s">
        <v>61</v>
      </c>
      <c r="I635" s="3" t="s">
        <v>7</v>
      </c>
      <c r="J635" s="7" t="b">
        <v>1</v>
      </c>
      <c r="K635" s="7"/>
      <c r="L635" s="7"/>
      <c r="M635" s="7"/>
      <c r="N635" s="7"/>
      <c r="O635" s="7"/>
      <c r="P635" s="7"/>
      <c r="Q635" s="7"/>
    </row>
    <row r="636" spans="1:17" ht="13.9">
      <c r="A636" s="5">
        <v>559611019</v>
      </c>
      <c r="B636" s="5">
        <v>11</v>
      </c>
      <c r="C636" s="3" t="s">
        <v>64</v>
      </c>
      <c r="D636" s="3">
        <v>7</v>
      </c>
      <c r="E636" s="3"/>
      <c r="F636" s="9">
        <v>38495</v>
      </c>
      <c r="G636" s="5">
        <v>17</v>
      </c>
      <c r="H636" s="3" t="s">
        <v>61</v>
      </c>
      <c r="I636" s="3" t="s">
        <v>6</v>
      </c>
      <c r="J636" s="7" t="b">
        <v>1</v>
      </c>
      <c r="K636" s="7"/>
      <c r="L636" s="7"/>
      <c r="M636" s="7"/>
      <c r="N636" s="7"/>
      <c r="O636" s="7"/>
      <c r="P636" s="7"/>
      <c r="Q636" s="7"/>
    </row>
    <row r="637" spans="1:17" ht="13.9">
      <c r="A637" s="5">
        <v>405718181</v>
      </c>
      <c r="B637" s="3">
        <v>4</v>
      </c>
      <c r="C637" s="3" t="s">
        <v>64</v>
      </c>
      <c r="D637" s="3">
        <v>9</v>
      </c>
      <c r="E637" s="3"/>
      <c r="F637" s="6">
        <v>41487</v>
      </c>
      <c r="G637" s="5">
        <v>9</v>
      </c>
      <c r="H637" s="3" t="s">
        <v>63</v>
      </c>
      <c r="I637" s="3" t="s">
        <v>4</v>
      </c>
      <c r="J637" s="7" t="b">
        <v>1</v>
      </c>
      <c r="K637" s="7"/>
      <c r="L637" s="7"/>
      <c r="M637" s="7"/>
      <c r="N637" s="7"/>
      <c r="O637" s="7"/>
      <c r="P637" s="7"/>
      <c r="Q637" s="7"/>
    </row>
    <row r="638" spans="1:17" ht="13.9">
      <c r="A638" s="3">
        <v>22911125</v>
      </c>
      <c r="B638" s="5">
        <v>10</v>
      </c>
      <c r="C638" s="3" t="s">
        <v>60</v>
      </c>
      <c r="D638" s="3">
        <v>7</v>
      </c>
      <c r="E638" s="3"/>
      <c r="F638" s="6">
        <v>39034</v>
      </c>
      <c r="G638" s="5">
        <v>16</v>
      </c>
      <c r="H638" s="3" t="s">
        <v>63</v>
      </c>
      <c r="I638" s="3" t="s">
        <v>6</v>
      </c>
      <c r="J638" s="7" t="b">
        <v>1</v>
      </c>
      <c r="K638" s="7"/>
      <c r="L638" s="7"/>
      <c r="M638" s="7"/>
      <c r="N638" s="7"/>
      <c r="O638" s="7"/>
      <c r="P638" s="7"/>
      <c r="Q638" s="7"/>
    </row>
    <row r="639" spans="1:17" ht="13.9">
      <c r="A639" s="3">
        <v>17815107</v>
      </c>
      <c r="B639" s="3">
        <v>8</v>
      </c>
      <c r="C639" s="3" t="s">
        <v>60</v>
      </c>
      <c r="D639" s="5">
        <v>17</v>
      </c>
      <c r="E639" s="3"/>
      <c r="F639" s="6">
        <v>40009</v>
      </c>
      <c r="G639" s="5">
        <v>13</v>
      </c>
      <c r="H639" s="3" t="s">
        <v>63</v>
      </c>
      <c r="I639" s="3" t="s">
        <v>8</v>
      </c>
      <c r="J639" s="7" t="b">
        <v>1</v>
      </c>
      <c r="K639" s="7"/>
      <c r="L639" s="7"/>
      <c r="M639" s="7"/>
      <c r="N639" s="7"/>
      <c r="O639" s="7"/>
      <c r="P639" s="7"/>
      <c r="Q639" s="7"/>
    </row>
    <row r="640" spans="1:17" ht="13.9">
      <c r="A640" s="3">
        <v>22912190</v>
      </c>
      <c r="B640" s="3">
        <v>8</v>
      </c>
      <c r="C640" s="3" t="s">
        <v>62</v>
      </c>
      <c r="D640" s="3">
        <v>1</v>
      </c>
      <c r="E640" s="3">
        <v>9</v>
      </c>
      <c r="F640" s="6">
        <v>39883</v>
      </c>
      <c r="G640" s="5">
        <v>13</v>
      </c>
      <c r="H640" s="3" t="s">
        <v>61</v>
      </c>
      <c r="I640" s="3" t="s">
        <v>7</v>
      </c>
      <c r="J640" s="7" t="b">
        <v>1</v>
      </c>
      <c r="K640" s="7"/>
      <c r="L640" s="7"/>
      <c r="M640" s="7"/>
      <c r="N640" s="7"/>
      <c r="O640" s="7"/>
      <c r="P640" s="7"/>
      <c r="Q640" s="7"/>
    </row>
    <row r="641" spans="1:17" ht="13.9">
      <c r="A641" s="3">
        <v>31817205</v>
      </c>
      <c r="B641" s="3" t="s">
        <v>41</v>
      </c>
      <c r="C641" s="3" t="s">
        <v>60</v>
      </c>
      <c r="D641" s="3">
        <v>8</v>
      </c>
      <c r="E641" s="3"/>
      <c r="F641" s="6">
        <v>42736</v>
      </c>
      <c r="G641" s="5">
        <v>5</v>
      </c>
      <c r="H641" s="3" t="s">
        <v>63</v>
      </c>
      <c r="I641" s="3" t="s">
        <v>4</v>
      </c>
      <c r="J641" s="7" t="b">
        <v>1</v>
      </c>
      <c r="K641" s="7"/>
      <c r="L641" s="7"/>
      <c r="M641" s="7"/>
      <c r="N641" s="7"/>
      <c r="O641" s="7"/>
      <c r="P641" s="7"/>
      <c r="Q641" s="7"/>
    </row>
    <row r="642" spans="1:17" ht="13.9">
      <c r="A642" s="3">
        <v>22914246</v>
      </c>
      <c r="B642" s="3">
        <v>5</v>
      </c>
      <c r="C642" s="3" t="s">
        <v>60</v>
      </c>
      <c r="D642" s="5">
        <v>17</v>
      </c>
      <c r="E642" s="3"/>
      <c r="F642" s="6">
        <v>40706</v>
      </c>
      <c r="G642" s="5">
        <v>11</v>
      </c>
      <c r="H642" s="3" t="s">
        <v>63</v>
      </c>
      <c r="I642" s="3" t="s">
        <v>7</v>
      </c>
      <c r="J642" s="7" t="b">
        <v>1</v>
      </c>
      <c r="K642" s="7"/>
      <c r="L642" s="7"/>
      <c r="M642" s="7"/>
      <c r="N642" s="7"/>
      <c r="O642" s="7"/>
      <c r="P642" s="7"/>
      <c r="Q642" s="7"/>
    </row>
    <row r="643" spans="1:17" ht="13.9">
      <c r="A643" s="3">
        <v>54112094</v>
      </c>
      <c r="B643" s="5">
        <v>11</v>
      </c>
      <c r="C643" s="3" t="s">
        <v>60</v>
      </c>
      <c r="D643" s="5">
        <v>17</v>
      </c>
      <c r="E643" s="3"/>
      <c r="F643" s="6">
        <v>38833</v>
      </c>
      <c r="G643" s="5">
        <v>16</v>
      </c>
      <c r="H643" s="3" t="s">
        <v>63</v>
      </c>
      <c r="I643" s="3" t="s">
        <v>7</v>
      </c>
      <c r="J643" s="7" t="b">
        <v>1</v>
      </c>
      <c r="K643" s="7"/>
      <c r="L643" s="7"/>
      <c r="M643" s="7"/>
      <c r="N643" s="7"/>
      <c r="O643" s="7"/>
      <c r="P643" s="7"/>
      <c r="Q643" s="7"/>
    </row>
    <row r="644" spans="1:17" ht="13.9">
      <c r="A644" s="3">
        <v>26914083</v>
      </c>
      <c r="B644" s="3">
        <v>9</v>
      </c>
      <c r="C644" s="3" t="s">
        <v>60</v>
      </c>
      <c r="D644" s="3">
        <v>7</v>
      </c>
      <c r="E644" s="3"/>
      <c r="F644" s="6">
        <v>39618</v>
      </c>
      <c r="G644" s="5">
        <v>14</v>
      </c>
      <c r="H644" s="3" t="s">
        <v>63</v>
      </c>
      <c r="I644" s="3" t="s">
        <v>8</v>
      </c>
      <c r="J644" s="7" t="b">
        <v>1</v>
      </c>
      <c r="K644" s="7"/>
      <c r="L644" s="7"/>
      <c r="M644" s="7"/>
      <c r="N644" s="7"/>
      <c r="O644" s="7"/>
      <c r="P644" s="7"/>
      <c r="Q644" s="7"/>
    </row>
    <row r="645" spans="1:17" ht="13.9">
      <c r="A645" s="3">
        <v>22913176</v>
      </c>
      <c r="B645" s="3">
        <v>8</v>
      </c>
      <c r="C645" s="3" t="s">
        <v>60</v>
      </c>
      <c r="D645" s="3">
        <v>7</v>
      </c>
      <c r="E645" s="3"/>
      <c r="F645" s="6">
        <v>39864</v>
      </c>
      <c r="G645" s="5">
        <v>13</v>
      </c>
      <c r="H645" s="3" t="s">
        <v>61</v>
      </c>
      <c r="I645" s="3" t="s">
        <v>7</v>
      </c>
      <c r="J645" s="7" t="b">
        <v>1</v>
      </c>
      <c r="K645" s="7"/>
      <c r="L645" s="7"/>
      <c r="M645" s="7"/>
      <c r="N645" s="7"/>
      <c r="O645" s="7"/>
      <c r="P645" s="7"/>
      <c r="Q645" s="7"/>
    </row>
    <row r="646" spans="1:17" ht="13.9">
      <c r="A646" s="3">
        <v>36618048</v>
      </c>
      <c r="B646" s="3">
        <v>4</v>
      </c>
      <c r="C646" s="3" t="s">
        <v>60</v>
      </c>
      <c r="D646" s="3">
        <v>9</v>
      </c>
      <c r="E646" s="3"/>
      <c r="F646" s="6">
        <v>41158</v>
      </c>
      <c r="G646" s="5">
        <v>10</v>
      </c>
      <c r="H646" s="3" t="s">
        <v>63</v>
      </c>
      <c r="I646" s="3" t="s">
        <v>7</v>
      </c>
      <c r="J646" s="7" t="b">
        <v>1</v>
      </c>
      <c r="K646" s="7"/>
      <c r="L646" s="7"/>
      <c r="M646" s="7"/>
      <c r="N646" s="7"/>
      <c r="O646" s="7"/>
      <c r="P646" s="7"/>
      <c r="Q646" s="7"/>
    </row>
    <row r="647" spans="1:17" ht="13.9">
      <c r="A647" s="3">
        <v>22910225</v>
      </c>
      <c r="B647" s="3">
        <v>9</v>
      </c>
      <c r="C647" s="3" t="s">
        <v>62</v>
      </c>
      <c r="D647" s="5">
        <v>15</v>
      </c>
      <c r="E647" s="3">
        <v>9</v>
      </c>
      <c r="F647" s="6">
        <v>39307</v>
      </c>
      <c r="G647" s="5">
        <v>15</v>
      </c>
      <c r="H647" s="3" t="s">
        <v>61</v>
      </c>
      <c r="I647" s="3" t="s">
        <v>7</v>
      </c>
      <c r="J647" s="7" t="b">
        <v>1</v>
      </c>
      <c r="K647" s="7"/>
      <c r="L647" s="7"/>
      <c r="M647" s="7"/>
      <c r="N647" s="7"/>
      <c r="O647" s="7"/>
      <c r="P647" s="7"/>
      <c r="Q647" s="7"/>
    </row>
    <row r="648" spans="1:17" ht="13.9">
      <c r="A648" s="3">
        <v>15316043</v>
      </c>
      <c r="B648" s="3">
        <v>7</v>
      </c>
      <c r="C648" s="3" t="s">
        <v>60</v>
      </c>
      <c r="D648" s="5">
        <v>17</v>
      </c>
      <c r="E648" s="3"/>
      <c r="F648" s="6">
        <v>40060</v>
      </c>
      <c r="G648" s="5">
        <v>13</v>
      </c>
      <c r="H648" s="3" t="s">
        <v>63</v>
      </c>
      <c r="I648" s="3" t="s">
        <v>8</v>
      </c>
      <c r="J648" s="7" t="b">
        <v>1</v>
      </c>
      <c r="K648" s="7"/>
      <c r="L648" s="7"/>
      <c r="M648" s="7"/>
      <c r="N648" s="7"/>
      <c r="O648" s="7"/>
      <c r="P648" s="7"/>
      <c r="Q648" s="7"/>
    </row>
    <row r="649" spans="1:17" ht="13.9">
      <c r="A649" s="3">
        <v>15117088</v>
      </c>
      <c r="B649" s="3">
        <v>4</v>
      </c>
      <c r="C649" s="3" t="s">
        <v>60</v>
      </c>
      <c r="D649" s="3">
        <v>7</v>
      </c>
      <c r="E649" s="3"/>
      <c r="F649" s="6">
        <v>41254</v>
      </c>
      <c r="G649" s="5">
        <v>9</v>
      </c>
      <c r="H649" s="3" t="s">
        <v>61</v>
      </c>
      <c r="I649" s="3" t="s">
        <v>7</v>
      </c>
      <c r="J649" s="7" t="b">
        <v>1</v>
      </c>
      <c r="K649" s="7"/>
      <c r="L649" s="7"/>
      <c r="M649" s="7"/>
      <c r="N649" s="7"/>
      <c r="O649" s="7"/>
      <c r="P649" s="7"/>
      <c r="Q649" s="7"/>
    </row>
    <row r="650" spans="1:17" ht="13.9">
      <c r="A650" s="5">
        <v>133524002</v>
      </c>
      <c r="B650" s="5">
        <v>11</v>
      </c>
      <c r="C650" s="3" t="s">
        <v>60</v>
      </c>
      <c r="D650" s="5">
        <v>15</v>
      </c>
      <c r="E650" s="3"/>
      <c r="F650" s="9">
        <v>38854</v>
      </c>
      <c r="G650" s="5">
        <v>16</v>
      </c>
      <c r="H650" s="3" t="s">
        <v>61</v>
      </c>
      <c r="I650" s="3" t="s">
        <v>7</v>
      </c>
      <c r="J650" s="7" t="b">
        <v>1</v>
      </c>
      <c r="K650" s="7"/>
      <c r="L650" s="7"/>
      <c r="M650" s="7"/>
      <c r="N650" s="7"/>
      <c r="O650" s="7"/>
      <c r="P650" s="7"/>
      <c r="Q650" s="7"/>
    </row>
    <row r="651" spans="1:17" ht="13.9">
      <c r="A651" s="3">
        <v>15420041</v>
      </c>
      <c r="B651" s="3">
        <v>3</v>
      </c>
      <c r="C651" s="3" t="s">
        <v>60</v>
      </c>
      <c r="D651" s="3">
        <v>9</v>
      </c>
      <c r="E651" s="3"/>
      <c r="F651" s="6">
        <v>41664</v>
      </c>
      <c r="G651" s="5">
        <v>8</v>
      </c>
      <c r="H651" s="3" t="s">
        <v>63</v>
      </c>
      <c r="I651" s="3" t="s">
        <v>7</v>
      </c>
      <c r="J651" s="7" t="b">
        <v>1</v>
      </c>
      <c r="K651" s="7"/>
      <c r="L651" s="7"/>
      <c r="M651" s="7"/>
      <c r="N651" s="7"/>
      <c r="O651" s="7"/>
      <c r="P651" s="7"/>
      <c r="Q651" s="7"/>
    </row>
    <row r="652" spans="1:17" ht="13.9">
      <c r="A652" s="5">
        <v>273311043</v>
      </c>
      <c r="B652" s="5">
        <v>12</v>
      </c>
      <c r="C652" s="3" t="s">
        <v>64</v>
      </c>
      <c r="D652" s="5">
        <v>15</v>
      </c>
      <c r="E652" s="3"/>
      <c r="F652" s="9">
        <v>38483</v>
      </c>
      <c r="G652" s="5">
        <v>17</v>
      </c>
      <c r="H652" s="3" t="s">
        <v>63</v>
      </c>
      <c r="I652" s="3" t="s">
        <v>7</v>
      </c>
      <c r="J652" s="7" t="b">
        <v>1</v>
      </c>
      <c r="K652" s="7"/>
      <c r="L652" s="7"/>
      <c r="M652" s="7"/>
      <c r="N652" s="7"/>
      <c r="O652" s="7"/>
      <c r="P652" s="7"/>
      <c r="Q652" s="7"/>
    </row>
    <row r="653" spans="1:17" ht="13.9">
      <c r="A653" s="5">
        <v>535111024</v>
      </c>
      <c r="B653" s="5">
        <v>11</v>
      </c>
      <c r="C653" s="3" t="s">
        <v>64</v>
      </c>
      <c r="D653" s="5">
        <v>10</v>
      </c>
      <c r="E653" s="3"/>
      <c r="F653" s="6">
        <v>38397</v>
      </c>
      <c r="G653" s="5">
        <v>17</v>
      </c>
      <c r="H653" s="3" t="s">
        <v>61</v>
      </c>
      <c r="I653" s="3" t="s">
        <v>6</v>
      </c>
      <c r="J653" s="7" t="b">
        <v>1</v>
      </c>
      <c r="K653" s="7"/>
      <c r="L653" s="7"/>
      <c r="M653" s="7"/>
      <c r="N653" s="7"/>
      <c r="O653" s="7"/>
      <c r="P653" s="7"/>
      <c r="Q653" s="7"/>
    </row>
    <row r="654" spans="1:17" ht="13.9">
      <c r="A654" s="3">
        <v>31817100</v>
      </c>
      <c r="B654" s="3">
        <v>3</v>
      </c>
      <c r="C654" s="3" t="s">
        <v>60</v>
      </c>
      <c r="D654" s="3">
        <v>6</v>
      </c>
      <c r="E654" s="5">
        <v>17</v>
      </c>
      <c r="F654" s="6">
        <v>41372</v>
      </c>
      <c r="G654" s="5">
        <v>9</v>
      </c>
      <c r="H654" s="3" t="s">
        <v>61</v>
      </c>
      <c r="I654" s="3" t="s">
        <v>7</v>
      </c>
      <c r="J654" s="7" t="b">
        <v>1</v>
      </c>
      <c r="K654" s="7"/>
      <c r="L654" s="7"/>
      <c r="M654" s="7"/>
      <c r="N654" s="7"/>
      <c r="O654" s="7"/>
      <c r="P654" s="7"/>
      <c r="Q654" s="7"/>
    </row>
    <row r="655" spans="1:17" ht="13.9">
      <c r="A655" s="3">
        <v>35717227</v>
      </c>
      <c r="B655" s="3">
        <v>2</v>
      </c>
      <c r="C655" s="3" t="s">
        <v>62</v>
      </c>
      <c r="D655" s="5">
        <v>11</v>
      </c>
      <c r="E655" s="3">
        <v>9</v>
      </c>
      <c r="F655" s="6">
        <v>41906</v>
      </c>
      <c r="G655" s="5">
        <v>8</v>
      </c>
      <c r="H655" s="3" t="s">
        <v>61</v>
      </c>
      <c r="I655" s="3" t="s">
        <v>7</v>
      </c>
      <c r="J655" s="7" t="b">
        <v>1</v>
      </c>
      <c r="K655" s="7"/>
      <c r="L655" s="7"/>
      <c r="M655" s="7"/>
      <c r="N655" s="7"/>
      <c r="O655" s="7"/>
      <c r="P655" s="7"/>
      <c r="Q655" s="7"/>
    </row>
    <row r="656" spans="1:17" ht="13.9">
      <c r="A656" s="3">
        <v>9509503</v>
      </c>
      <c r="B656" s="5">
        <v>10</v>
      </c>
      <c r="C656" s="3" t="s">
        <v>60</v>
      </c>
      <c r="D656" s="3">
        <v>7</v>
      </c>
      <c r="E656" s="3"/>
      <c r="F656" s="6">
        <v>39107</v>
      </c>
      <c r="G656" s="5">
        <v>15</v>
      </c>
      <c r="H656" s="3" t="s">
        <v>63</v>
      </c>
      <c r="I656" s="3" t="s">
        <v>7</v>
      </c>
      <c r="J656" s="7" t="b">
        <v>1</v>
      </c>
      <c r="K656" s="7"/>
      <c r="L656" s="7"/>
      <c r="M656" s="7"/>
      <c r="N656" s="7"/>
      <c r="O656" s="7"/>
      <c r="P656" s="7"/>
      <c r="Q656" s="7"/>
    </row>
    <row r="657" spans="1:17" ht="13.9">
      <c r="A657" s="3">
        <v>14110018</v>
      </c>
      <c r="B657" s="5">
        <v>12</v>
      </c>
      <c r="C657" s="3" t="s">
        <v>60</v>
      </c>
      <c r="D657" s="5">
        <v>17</v>
      </c>
      <c r="E657" s="3"/>
      <c r="F657" s="6">
        <v>38513</v>
      </c>
      <c r="G657" s="5">
        <v>17</v>
      </c>
      <c r="H657" s="3" t="s">
        <v>61</v>
      </c>
      <c r="I657" s="3" t="s">
        <v>7</v>
      </c>
      <c r="J657" s="7" t="b">
        <v>1</v>
      </c>
      <c r="K657" s="7"/>
      <c r="L657" s="7"/>
      <c r="M657" s="7"/>
      <c r="N657" s="7"/>
      <c r="O657" s="7"/>
      <c r="P657" s="7"/>
      <c r="Q657" s="7"/>
    </row>
    <row r="658" spans="1:17" ht="13.9">
      <c r="A658" s="3">
        <v>27515032</v>
      </c>
      <c r="B658" s="3">
        <v>8</v>
      </c>
      <c r="C658" s="3" t="s">
        <v>60</v>
      </c>
      <c r="D658" s="3">
        <v>7</v>
      </c>
      <c r="E658" s="3"/>
      <c r="F658" s="6">
        <v>39716</v>
      </c>
      <c r="G658" s="5">
        <v>14</v>
      </c>
      <c r="H658" s="3" t="s">
        <v>61</v>
      </c>
      <c r="I658" s="3" t="s">
        <v>6</v>
      </c>
      <c r="J658" s="7" t="b">
        <v>1</v>
      </c>
      <c r="K658" s="7"/>
      <c r="L658" s="7"/>
      <c r="M658" s="7"/>
      <c r="N658" s="7"/>
      <c r="O658" s="7"/>
      <c r="P658" s="7"/>
      <c r="Q658" s="7"/>
    </row>
    <row r="659" spans="1:17" ht="13.9">
      <c r="A659" s="5">
        <v>527515043</v>
      </c>
      <c r="B659" s="3">
        <v>5</v>
      </c>
      <c r="C659" s="3" t="s">
        <v>62</v>
      </c>
      <c r="D659" s="5">
        <v>11</v>
      </c>
      <c r="E659" s="3">
        <v>9</v>
      </c>
      <c r="F659" s="6">
        <v>40905</v>
      </c>
      <c r="G659" s="5">
        <v>10</v>
      </c>
      <c r="H659" s="3" t="s">
        <v>63</v>
      </c>
      <c r="I659" s="3" t="s">
        <v>4</v>
      </c>
      <c r="J659" s="7" t="b">
        <v>1</v>
      </c>
      <c r="K659" s="7"/>
      <c r="L659" s="7"/>
      <c r="M659" s="7"/>
      <c r="N659" s="7"/>
      <c r="O659" s="7"/>
      <c r="P659" s="7"/>
      <c r="Q659" s="7"/>
    </row>
    <row r="660" spans="1:17" ht="13.9">
      <c r="A660" s="5">
        <v>832717071</v>
      </c>
      <c r="B660" s="3">
        <v>5</v>
      </c>
      <c r="C660" s="3" t="s">
        <v>64</v>
      </c>
      <c r="D660" s="5">
        <v>17</v>
      </c>
      <c r="E660" s="3"/>
      <c r="F660" s="6">
        <v>40806</v>
      </c>
      <c r="G660" s="5">
        <v>11</v>
      </c>
      <c r="H660" s="3" t="s">
        <v>63</v>
      </c>
      <c r="I660" s="3" t="s">
        <v>7</v>
      </c>
      <c r="J660" s="7" t="b">
        <v>1</v>
      </c>
      <c r="K660" s="7"/>
      <c r="L660" s="7"/>
      <c r="M660" s="7"/>
      <c r="N660" s="7"/>
      <c r="O660" s="7"/>
      <c r="P660" s="7"/>
      <c r="Q660" s="7"/>
    </row>
    <row r="661" spans="1:17" ht="13.9">
      <c r="A661" s="3">
        <v>25310007</v>
      </c>
      <c r="B661" s="5">
        <v>11</v>
      </c>
      <c r="C661" s="3" t="s">
        <v>65</v>
      </c>
      <c r="D661" s="3">
        <v>6</v>
      </c>
      <c r="E661" s="3"/>
      <c r="F661" s="6">
        <v>38559</v>
      </c>
      <c r="G661" s="5">
        <v>17</v>
      </c>
      <c r="H661" s="3" t="s">
        <v>63</v>
      </c>
      <c r="I661" s="3" t="s">
        <v>6</v>
      </c>
      <c r="J661" s="7" t="b">
        <v>1</v>
      </c>
      <c r="K661" s="7"/>
      <c r="L661" s="7"/>
      <c r="M661" s="7"/>
      <c r="N661" s="7"/>
      <c r="O661" s="7"/>
      <c r="P661" s="7"/>
      <c r="Q661" s="7"/>
    </row>
    <row r="662" spans="1:17" ht="13.9">
      <c r="A662" s="5">
        <v>689312103</v>
      </c>
      <c r="B662" s="3">
        <v>9</v>
      </c>
      <c r="C662" s="3" t="s">
        <v>64</v>
      </c>
      <c r="D662" s="3">
        <v>6</v>
      </c>
      <c r="E662" s="3"/>
      <c r="F662" s="6">
        <v>39077</v>
      </c>
      <c r="G662" s="5">
        <v>15</v>
      </c>
      <c r="H662" s="3" t="s">
        <v>63</v>
      </c>
      <c r="I662" s="3" t="s">
        <v>8</v>
      </c>
      <c r="J662" s="7" t="b">
        <v>1</v>
      </c>
      <c r="K662" s="7"/>
      <c r="L662" s="7"/>
      <c r="M662" s="7"/>
      <c r="N662" s="7"/>
      <c r="O662" s="7"/>
      <c r="P662" s="7"/>
      <c r="Q662" s="7"/>
    </row>
    <row r="663" spans="1:17" ht="13.9">
      <c r="A663" s="3">
        <v>22911133</v>
      </c>
      <c r="B663" s="3">
        <v>9</v>
      </c>
      <c r="C663" s="3" t="s">
        <v>62</v>
      </c>
      <c r="D663" s="5">
        <v>11</v>
      </c>
      <c r="E663" s="3">
        <v>9</v>
      </c>
      <c r="F663" s="6">
        <v>39461</v>
      </c>
      <c r="G663" s="5">
        <v>14</v>
      </c>
      <c r="H663" s="3" t="s">
        <v>63</v>
      </c>
      <c r="I663" s="3" t="s">
        <v>4</v>
      </c>
      <c r="J663" s="7" t="b">
        <v>1</v>
      </c>
      <c r="K663" s="7"/>
      <c r="L663" s="7"/>
      <c r="M663" s="7"/>
      <c r="N663" s="7"/>
      <c r="O663" s="7"/>
      <c r="P663" s="7"/>
      <c r="Q663" s="7"/>
    </row>
    <row r="664" spans="1:17" ht="13.9">
      <c r="A664" s="3">
        <v>31814032</v>
      </c>
      <c r="B664" s="3">
        <v>5</v>
      </c>
      <c r="C664" s="3" t="s">
        <v>65</v>
      </c>
      <c r="D664" s="5">
        <v>17</v>
      </c>
      <c r="E664" s="3">
        <v>9</v>
      </c>
      <c r="F664" s="6">
        <v>40730</v>
      </c>
      <c r="G664" s="5">
        <v>11</v>
      </c>
      <c r="H664" s="3" t="s">
        <v>63</v>
      </c>
      <c r="I664" s="3" t="s">
        <v>6</v>
      </c>
      <c r="J664" s="7" t="b">
        <v>1</v>
      </c>
      <c r="K664" s="7"/>
      <c r="L664" s="7"/>
      <c r="M664" s="7"/>
      <c r="N664" s="7"/>
      <c r="O664" s="7"/>
      <c r="P664" s="7"/>
      <c r="Q664" s="7"/>
    </row>
    <row r="665" spans="1:17" ht="13.9">
      <c r="A665" s="5">
        <v>560311173</v>
      </c>
      <c r="B665" s="5">
        <v>11</v>
      </c>
      <c r="C665" s="3" t="s">
        <v>64</v>
      </c>
      <c r="D665" s="5">
        <v>15</v>
      </c>
      <c r="E665" s="3"/>
      <c r="F665" s="6">
        <v>38791</v>
      </c>
      <c r="G665" s="5">
        <v>16</v>
      </c>
      <c r="H665" s="3" t="s">
        <v>61</v>
      </c>
      <c r="I665" s="3" t="s">
        <v>8</v>
      </c>
      <c r="J665" s="7" t="b">
        <v>1</v>
      </c>
      <c r="K665" s="7"/>
      <c r="L665" s="7"/>
      <c r="M665" s="7"/>
      <c r="N665" s="7"/>
      <c r="O665" s="7"/>
      <c r="P665" s="7"/>
      <c r="Q665" s="7"/>
    </row>
    <row r="666" spans="1:17" ht="13.9">
      <c r="A666" s="3">
        <v>23919041</v>
      </c>
      <c r="B666" s="3">
        <v>4</v>
      </c>
      <c r="C666" s="3" t="s">
        <v>60</v>
      </c>
      <c r="D666" s="3">
        <v>9</v>
      </c>
      <c r="E666" s="3"/>
      <c r="F666" s="6">
        <v>41184</v>
      </c>
      <c r="G666" s="5">
        <v>10</v>
      </c>
      <c r="H666" s="3" t="s">
        <v>63</v>
      </c>
      <c r="I666" s="3" t="s">
        <v>7</v>
      </c>
      <c r="J666" s="7" t="b">
        <v>1</v>
      </c>
      <c r="K666" s="7"/>
      <c r="L666" s="7"/>
      <c r="M666" s="7"/>
      <c r="N666" s="7"/>
      <c r="O666" s="7"/>
      <c r="P666" s="7"/>
      <c r="Q666" s="7"/>
    </row>
    <row r="667" spans="1:17" ht="13.9">
      <c r="A667" s="3" t="s">
        <v>131</v>
      </c>
      <c r="B667" s="3">
        <v>6</v>
      </c>
      <c r="C667" s="3" t="s">
        <v>60</v>
      </c>
      <c r="D667" s="3">
        <v>7</v>
      </c>
      <c r="E667" s="3"/>
      <c r="F667" s="6">
        <v>40382</v>
      </c>
      <c r="G667" s="5">
        <v>12</v>
      </c>
      <c r="H667" s="3" t="s">
        <v>63</v>
      </c>
      <c r="I667" s="3" t="s">
        <v>7</v>
      </c>
      <c r="J667" s="7" t="b">
        <v>1</v>
      </c>
      <c r="K667" s="7"/>
      <c r="L667" s="7"/>
      <c r="M667" s="7"/>
      <c r="N667" s="7"/>
      <c r="O667" s="7"/>
      <c r="P667" s="7"/>
      <c r="Q667" s="7"/>
    </row>
    <row r="668" spans="1:17" ht="13.9">
      <c r="A668" s="3">
        <v>22911088</v>
      </c>
      <c r="B668" s="3">
        <v>9</v>
      </c>
      <c r="C668" s="3" t="s">
        <v>65</v>
      </c>
      <c r="D668" s="5">
        <v>17</v>
      </c>
      <c r="E668" s="3"/>
      <c r="F668" s="6">
        <v>39451</v>
      </c>
      <c r="G668" s="5">
        <v>14</v>
      </c>
      <c r="H668" s="3" t="s">
        <v>63</v>
      </c>
      <c r="I668" s="3" t="s">
        <v>7</v>
      </c>
      <c r="J668" s="7" t="b">
        <v>1</v>
      </c>
      <c r="K668" s="7"/>
      <c r="L668" s="7"/>
      <c r="M668" s="7"/>
      <c r="N668" s="7"/>
      <c r="O668" s="7"/>
      <c r="P668" s="7"/>
      <c r="Q668" s="7"/>
    </row>
    <row r="669" spans="1:17" ht="13.9">
      <c r="A669" s="3" t="s">
        <v>132</v>
      </c>
      <c r="B669" s="3">
        <v>3</v>
      </c>
      <c r="C669" s="3" t="s">
        <v>65</v>
      </c>
      <c r="D669" s="3">
        <v>7</v>
      </c>
      <c r="E669" s="3"/>
      <c r="F669" s="9">
        <v>41781</v>
      </c>
      <c r="G669" s="5">
        <v>8</v>
      </c>
      <c r="H669" s="3" t="s">
        <v>63</v>
      </c>
      <c r="I669" s="3" t="s">
        <v>8</v>
      </c>
      <c r="J669" s="7" t="b">
        <v>1</v>
      </c>
      <c r="K669" s="7"/>
      <c r="L669" s="7"/>
      <c r="M669" s="7"/>
      <c r="N669" s="7"/>
      <c r="O669" s="7"/>
      <c r="P669" s="7"/>
      <c r="Q669" s="7"/>
    </row>
    <row r="670" spans="1:17" ht="13.9">
      <c r="A670" s="5">
        <v>810314088</v>
      </c>
      <c r="B670" s="3">
        <v>9</v>
      </c>
      <c r="C670" s="3" t="s">
        <v>64</v>
      </c>
      <c r="D670" s="5">
        <v>17</v>
      </c>
      <c r="E670" s="3"/>
      <c r="F670" s="6">
        <v>39417</v>
      </c>
      <c r="G670" s="5">
        <v>15</v>
      </c>
      <c r="H670" s="3" t="s">
        <v>63</v>
      </c>
      <c r="I670" s="3" t="s">
        <v>7</v>
      </c>
      <c r="J670" s="7" t="b">
        <v>1</v>
      </c>
      <c r="K670" s="7"/>
      <c r="L670" s="7"/>
      <c r="M670" s="7"/>
      <c r="N670" s="7"/>
      <c r="O670" s="7"/>
      <c r="P670" s="7"/>
      <c r="Q670" s="7"/>
    </row>
    <row r="671" spans="1:17" ht="13.9">
      <c r="A671" s="3">
        <v>29115019</v>
      </c>
      <c r="B671" s="3">
        <v>8</v>
      </c>
      <c r="C671" s="3" t="s">
        <v>60</v>
      </c>
      <c r="D671" s="3">
        <v>7</v>
      </c>
      <c r="E671" s="3"/>
      <c r="F671" s="9">
        <v>39950</v>
      </c>
      <c r="G671" s="5">
        <v>13</v>
      </c>
      <c r="H671" s="3" t="s">
        <v>61</v>
      </c>
      <c r="I671" s="3" t="s">
        <v>7</v>
      </c>
      <c r="J671" s="7" t="b">
        <v>1</v>
      </c>
      <c r="K671" s="7"/>
      <c r="L671" s="7"/>
      <c r="M671" s="7"/>
      <c r="N671" s="7"/>
      <c r="O671" s="7"/>
      <c r="P671" s="7"/>
      <c r="Q671" s="7"/>
    </row>
    <row r="672" spans="1:17" ht="13.9">
      <c r="A672" s="3">
        <v>22920415</v>
      </c>
      <c r="B672" s="3" t="s">
        <v>41</v>
      </c>
      <c r="C672" s="3" t="s">
        <v>60</v>
      </c>
      <c r="D672" s="3">
        <v>9</v>
      </c>
      <c r="E672" s="3"/>
      <c r="F672" s="6">
        <v>42542</v>
      </c>
      <c r="G672" s="5">
        <v>6</v>
      </c>
      <c r="H672" s="3" t="s">
        <v>63</v>
      </c>
      <c r="I672" s="3" t="s">
        <v>7</v>
      </c>
      <c r="J672" s="7" t="b">
        <v>1</v>
      </c>
      <c r="K672" s="7"/>
      <c r="L672" s="7"/>
      <c r="M672" s="7"/>
      <c r="N672" s="7"/>
      <c r="O672" s="7"/>
      <c r="P672" s="7"/>
      <c r="Q672" s="7"/>
    </row>
    <row r="673" spans="1:17" ht="13.9">
      <c r="A673" s="3">
        <v>14111503</v>
      </c>
      <c r="B673" s="5">
        <v>11</v>
      </c>
      <c r="C673" s="3" t="s">
        <v>60</v>
      </c>
      <c r="D673" s="3">
        <v>7</v>
      </c>
      <c r="E673" s="3"/>
      <c r="F673" s="6">
        <v>38736</v>
      </c>
      <c r="G673" s="5">
        <v>16</v>
      </c>
      <c r="H673" s="3" t="s">
        <v>63</v>
      </c>
      <c r="I673" s="3" t="s">
        <v>4</v>
      </c>
      <c r="J673" s="7" t="b">
        <v>1</v>
      </c>
      <c r="K673" s="7"/>
      <c r="L673" s="7"/>
      <c r="M673" s="7"/>
      <c r="N673" s="7"/>
      <c r="O673" s="7"/>
      <c r="P673" s="7"/>
      <c r="Q673" s="7"/>
    </row>
    <row r="674" spans="1:17" ht="13.9">
      <c r="A674" s="3">
        <v>31806045</v>
      </c>
      <c r="B674" s="5">
        <v>13</v>
      </c>
      <c r="C674" s="3" t="s">
        <v>60</v>
      </c>
      <c r="D674" s="5">
        <v>11</v>
      </c>
      <c r="E674" s="3"/>
      <c r="F674" s="6">
        <v>37662</v>
      </c>
      <c r="G674" s="5">
        <v>19</v>
      </c>
      <c r="H674" s="3" t="s">
        <v>61</v>
      </c>
      <c r="I674" s="3" t="s">
        <v>7</v>
      </c>
      <c r="J674" s="7" t="b">
        <v>1</v>
      </c>
      <c r="K674" s="7"/>
      <c r="L674" s="7"/>
      <c r="M674" s="7"/>
      <c r="N674" s="7"/>
      <c r="O674" s="7"/>
      <c r="P674" s="7"/>
      <c r="Q674" s="7"/>
    </row>
    <row r="675" spans="1:17" ht="13.9">
      <c r="A675" s="3">
        <v>3709561</v>
      </c>
      <c r="B675" s="3">
        <v>4</v>
      </c>
      <c r="C675" s="3" t="s">
        <v>60</v>
      </c>
      <c r="D675" s="3">
        <v>7</v>
      </c>
      <c r="E675" s="3"/>
      <c r="F675" s="6">
        <v>41293</v>
      </c>
      <c r="G675" s="5">
        <v>9</v>
      </c>
      <c r="H675" s="3" t="s">
        <v>63</v>
      </c>
      <c r="I675" s="3" t="s">
        <v>7</v>
      </c>
      <c r="J675" s="7" t="b">
        <v>1</v>
      </c>
      <c r="K675" s="7"/>
      <c r="L675" s="7"/>
      <c r="M675" s="7"/>
      <c r="N675" s="7"/>
      <c r="O675" s="7"/>
      <c r="P675" s="7"/>
      <c r="Q675" s="7"/>
    </row>
    <row r="676" spans="1:17" ht="13.9">
      <c r="A676" s="3">
        <v>27317047</v>
      </c>
      <c r="B676" s="3">
        <v>6</v>
      </c>
      <c r="C676" s="3" t="s">
        <v>60</v>
      </c>
      <c r="D676" s="3">
        <v>5</v>
      </c>
      <c r="E676" s="3"/>
      <c r="F676" s="6">
        <v>40577</v>
      </c>
      <c r="G676" s="5">
        <v>11</v>
      </c>
      <c r="H676" s="3" t="s">
        <v>61</v>
      </c>
      <c r="I676" s="3" t="s">
        <v>7</v>
      </c>
      <c r="J676" s="7" t="b">
        <v>1</v>
      </c>
      <c r="K676" s="7"/>
      <c r="L676" s="7"/>
      <c r="M676" s="7"/>
      <c r="N676" s="7"/>
      <c r="O676" s="7"/>
      <c r="P676" s="7"/>
      <c r="Q676" s="7"/>
    </row>
    <row r="677" spans="1:17" ht="13.9">
      <c r="A677" s="3">
        <v>35419073</v>
      </c>
      <c r="B677" s="3">
        <v>3</v>
      </c>
      <c r="C677" s="3" t="s">
        <v>60</v>
      </c>
      <c r="D677" s="3">
        <v>7</v>
      </c>
      <c r="E677" s="3">
        <v>9</v>
      </c>
      <c r="F677" s="6">
        <v>41704</v>
      </c>
      <c r="G677" s="5">
        <v>8</v>
      </c>
      <c r="H677" s="3" t="s">
        <v>63</v>
      </c>
      <c r="I677" s="3" t="s">
        <v>7</v>
      </c>
      <c r="J677" s="7" t="b">
        <v>1</v>
      </c>
      <c r="K677" s="7"/>
      <c r="L677" s="7"/>
      <c r="M677" s="7"/>
      <c r="N677" s="7"/>
      <c r="O677" s="7"/>
      <c r="P677" s="7"/>
      <c r="Q677" s="7"/>
    </row>
    <row r="678" spans="1:17" ht="13.9">
      <c r="A678" s="3">
        <v>26918078</v>
      </c>
      <c r="B678" s="3">
        <v>8</v>
      </c>
      <c r="C678" s="3" t="s">
        <v>60</v>
      </c>
      <c r="D678" s="3">
        <v>7</v>
      </c>
      <c r="E678" s="3"/>
      <c r="F678" s="6">
        <v>39765</v>
      </c>
      <c r="G678" s="5">
        <v>14</v>
      </c>
      <c r="H678" s="3" t="s">
        <v>61</v>
      </c>
      <c r="I678" s="3" t="s">
        <v>8</v>
      </c>
      <c r="J678" s="7" t="b">
        <v>1</v>
      </c>
      <c r="K678" s="7"/>
      <c r="L678" s="7"/>
      <c r="M678" s="7"/>
      <c r="N678" s="7"/>
      <c r="O678" s="7"/>
      <c r="P678" s="7"/>
      <c r="Q678" s="7"/>
    </row>
    <row r="679" spans="1:17" ht="13.9">
      <c r="A679" s="3">
        <v>31812708</v>
      </c>
      <c r="B679" s="3">
        <v>8</v>
      </c>
      <c r="C679" s="3" t="s">
        <v>60</v>
      </c>
      <c r="D679" s="5">
        <v>10</v>
      </c>
      <c r="E679" s="5">
        <v>17</v>
      </c>
      <c r="F679" s="6">
        <v>39851</v>
      </c>
      <c r="G679" s="5">
        <v>13</v>
      </c>
      <c r="H679" s="3" t="s">
        <v>63</v>
      </c>
      <c r="I679" s="3" t="s">
        <v>7</v>
      </c>
      <c r="J679" s="7" t="b">
        <v>1</v>
      </c>
      <c r="K679" s="7"/>
      <c r="L679" s="7"/>
      <c r="M679" s="7"/>
      <c r="N679" s="7"/>
      <c r="O679" s="7"/>
      <c r="P679" s="7"/>
      <c r="Q679" s="7"/>
    </row>
    <row r="680" spans="1:17" ht="13.9">
      <c r="A680" s="3">
        <v>31809023</v>
      </c>
      <c r="B680" s="5">
        <v>11</v>
      </c>
      <c r="C680" s="3" t="s">
        <v>62</v>
      </c>
      <c r="D680" s="3">
        <v>1</v>
      </c>
      <c r="E680" s="3"/>
      <c r="F680" s="6">
        <v>38818</v>
      </c>
      <c r="G680" s="5">
        <v>16</v>
      </c>
      <c r="H680" s="3" t="s">
        <v>61</v>
      </c>
      <c r="I680" s="3" t="s">
        <v>7</v>
      </c>
      <c r="J680" s="7" t="b">
        <v>1</v>
      </c>
      <c r="K680" s="7"/>
      <c r="L680" s="7"/>
      <c r="M680" s="7"/>
      <c r="N680" s="7"/>
      <c r="O680" s="7"/>
      <c r="P680" s="7"/>
      <c r="Q680" s="7"/>
    </row>
    <row r="681" spans="1:17" ht="13.9">
      <c r="A681" s="3">
        <v>8919658</v>
      </c>
      <c r="B681" s="3">
        <v>1</v>
      </c>
      <c r="C681" s="3" t="s">
        <v>60</v>
      </c>
      <c r="D681" s="5">
        <v>10</v>
      </c>
      <c r="E681" s="3">
        <v>9</v>
      </c>
      <c r="F681" s="6">
        <v>41724</v>
      </c>
      <c r="G681" s="5">
        <v>8</v>
      </c>
      <c r="H681" s="3" t="s">
        <v>61</v>
      </c>
      <c r="I681" s="3" t="s">
        <v>7</v>
      </c>
      <c r="J681" s="7" t="b">
        <v>1</v>
      </c>
      <c r="K681" s="7"/>
      <c r="L681" s="7"/>
      <c r="M681" s="7"/>
      <c r="N681" s="7"/>
      <c r="O681" s="7"/>
      <c r="P681" s="7"/>
      <c r="Q681" s="7"/>
    </row>
    <row r="682" spans="1:17" ht="13.9">
      <c r="A682" s="3">
        <v>22919162</v>
      </c>
      <c r="B682" s="3">
        <v>3</v>
      </c>
      <c r="C682" s="3" t="s">
        <v>60</v>
      </c>
      <c r="D682" s="3">
        <v>7</v>
      </c>
      <c r="E682" s="3"/>
      <c r="F682" s="6">
        <v>41576</v>
      </c>
      <c r="G682" s="5">
        <v>9</v>
      </c>
      <c r="H682" s="3" t="s">
        <v>61</v>
      </c>
      <c r="I682" s="3" t="s">
        <v>8</v>
      </c>
      <c r="J682" s="7" t="b">
        <v>1</v>
      </c>
      <c r="K682" s="7"/>
      <c r="L682" s="7"/>
      <c r="M682" s="7"/>
      <c r="N682" s="7"/>
      <c r="O682" s="7"/>
      <c r="P682" s="7"/>
      <c r="Q682" s="7"/>
    </row>
    <row r="683" spans="1:17" ht="13.9">
      <c r="A683" s="3">
        <v>8913547</v>
      </c>
      <c r="B683" s="3">
        <v>9</v>
      </c>
      <c r="C683" s="3" t="s">
        <v>60</v>
      </c>
      <c r="D683" s="3">
        <v>7</v>
      </c>
      <c r="E683" s="3"/>
      <c r="F683" s="6">
        <v>39345</v>
      </c>
      <c r="G683" s="5">
        <v>15</v>
      </c>
      <c r="H683" s="3" t="s">
        <v>63</v>
      </c>
      <c r="I683" s="3" t="s">
        <v>7</v>
      </c>
      <c r="J683" s="7" t="b">
        <v>1</v>
      </c>
      <c r="K683" s="7"/>
      <c r="L683" s="7"/>
      <c r="M683" s="7"/>
      <c r="N683" s="7"/>
      <c r="O683" s="7"/>
      <c r="P683" s="7"/>
      <c r="Q683" s="7"/>
    </row>
    <row r="684" spans="1:17" ht="13.9">
      <c r="A684" s="3">
        <v>21711331</v>
      </c>
      <c r="B684" s="5">
        <v>12</v>
      </c>
      <c r="C684" s="3" t="s">
        <v>60</v>
      </c>
      <c r="D684" s="3">
        <v>7</v>
      </c>
      <c r="E684" s="3"/>
      <c r="F684" s="6">
        <v>38409</v>
      </c>
      <c r="G684" s="5">
        <v>17</v>
      </c>
      <c r="H684" s="3" t="s">
        <v>63</v>
      </c>
      <c r="I684" s="3" t="s">
        <v>4</v>
      </c>
      <c r="J684" s="7" t="b">
        <v>1</v>
      </c>
      <c r="K684" s="7"/>
      <c r="L684" s="7"/>
      <c r="M684" s="7"/>
      <c r="N684" s="7"/>
      <c r="O684" s="7"/>
      <c r="P684" s="7"/>
      <c r="Q684" s="7"/>
    </row>
    <row r="685" spans="1:17" ht="13.9">
      <c r="A685" s="3">
        <v>4109404</v>
      </c>
      <c r="B685" s="3">
        <v>8</v>
      </c>
      <c r="C685" s="3" t="s">
        <v>65</v>
      </c>
      <c r="D685" s="3">
        <v>5</v>
      </c>
      <c r="E685" s="3"/>
      <c r="F685" s="6">
        <v>39844</v>
      </c>
      <c r="G685" s="5">
        <v>13</v>
      </c>
      <c r="H685" s="3" t="s">
        <v>63</v>
      </c>
      <c r="I685" s="3" t="s">
        <v>7</v>
      </c>
      <c r="J685" s="7" t="b">
        <v>1</v>
      </c>
      <c r="K685" s="7"/>
      <c r="L685" s="7"/>
      <c r="M685" s="7"/>
      <c r="N685" s="7"/>
      <c r="O685" s="7"/>
      <c r="P685" s="7"/>
      <c r="Q685" s="7"/>
    </row>
    <row r="686" spans="1:17" ht="13.9">
      <c r="A686" s="3">
        <v>22913184</v>
      </c>
      <c r="B686" s="3">
        <v>7</v>
      </c>
      <c r="C686" s="3" t="s">
        <v>60</v>
      </c>
      <c r="D686" s="3">
        <v>7</v>
      </c>
      <c r="E686" s="3"/>
      <c r="F686" s="6">
        <v>40029</v>
      </c>
      <c r="G686" s="5">
        <v>13</v>
      </c>
      <c r="H686" s="3" t="s">
        <v>63</v>
      </c>
      <c r="I686" s="3" t="s">
        <v>6</v>
      </c>
      <c r="J686" s="7" t="b">
        <v>1</v>
      </c>
      <c r="K686" s="7"/>
      <c r="L686" s="7"/>
      <c r="M686" s="7"/>
      <c r="N686" s="7"/>
      <c r="O686" s="7"/>
      <c r="P686" s="7"/>
      <c r="Q686" s="7"/>
    </row>
    <row r="687" spans="1:17" ht="13.9">
      <c r="A687" s="3">
        <v>18619054</v>
      </c>
      <c r="B687" s="3">
        <v>4</v>
      </c>
      <c r="C687" s="3" t="s">
        <v>60</v>
      </c>
      <c r="D687" s="5">
        <v>15</v>
      </c>
      <c r="E687" s="3">
        <v>9</v>
      </c>
      <c r="F687" s="6">
        <v>41171</v>
      </c>
      <c r="G687" s="5">
        <v>10</v>
      </c>
      <c r="H687" s="3" t="s">
        <v>63</v>
      </c>
      <c r="I687" s="3" t="s">
        <v>7</v>
      </c>
      <c r="J687" s="7" t="b">
        <v>1</v>
      </c>
      <c r="K687" s="7"/>
      <c r="L687" s="7"/>
      <c r="M687" s="7"/>
      <c r="N687" s="7"/>
      <c r="O687" s="7"/>
      <c r="P687" s="7"/>
      <c r="Q687" s="7"/>
    </row>
    <row r="688" spans="1:17" ht="13.9">
      <c r="A688" s="3" t="s">
        <v>133</v>
      </c>
      <c r="B688" s="3">
        <v>2</v>
      </c>
      <c r="C688" s="3" t="s">
        <v>64</v>
      </c>
      <c r="D688" s="3">
        <v>9</v>
      </c>
      <c r="E688" s="3"/>
      <c r="F688" s="6">
        <v>41858</v>
      </c>
      <c r="G688" s="5">
        <v>8</v>
      </c>
      <c r="H688" s="3" t="s">
        <v>63</v>
      </c>
      <c r="I688" s="3" t="s">
        <v>7</v>
      </c>
      <c r="J688" s="7" t="b">
        <v>1</v>
      </c>
      <c r="K688" s="7"/>
      <c r="L688" s="7"/>
      <c r="M688" s="7"/>
      <c r="N688" s="7"/>
      <c r="O688" s="7"/>
      <c r="P688" s="7"/>
      <c r="Q688" s="7"/>
    </row>
    <row r="689" spans="1:17" ht="13.9">
      <c r="A689" s="5">
        <v>758505126</v>
      </c>
      <c r="B689" s="5">
        <v>12</v>
      </c>
      <c r="C689" s="3" t="s">
        <v>62</v>
      </c>
      <c r="D689" s="5">
        <v>11</v>
      </c>
      <c r="E689" s="3"/>
      <c r="F689" s="6">
        <v>37225</v>
      </c>
      <c r="G689" s="5">
        <v>21</v>
      </c>
      <c r="H689" s="3" t="s">
        <v>63</v>
      </c>
      <c r="I689" s="3" t="s">
        <v>7</v>
      </c>
      <c r="J689" s="7" t="b">
        <v>1</v>
      </c>
      <c r="K689" s="7"/>
      <c r="L689" s="7"/>
      <c r="M689" s="7"/>
      <c r="N689" s="7"/>
      <c r="O689" s="7"/>
      <c r="P689" s="7"/>
      <c r="Q689" s="7"/>
    </row>
    <row r="690" spans="1:17" ht="13.9">
      <c r="A690" s="3">
        <v>22915315</v>
      </c>
      <c r="B690" s="3">
        <v>7</v>
      </c>
      <c r="C690" s="3" t="s">
        <v>60</v>
      </c>
      <c r="D690" s="3">
        <v>7</v>
      </c>
      <c r="E690" s="3"/>
      <c r="F690" s="6">
        <v>40200</v>
      </c>
      <c r="G690" s="5">
        <v>12</v>
      </c>
      <c r="H690" s="3" t="s">
        <v>63</v>
      </c>
      <c r="I690" s="3" t="s">
        <v>7</v>
      </c>
      <c r="J690" s="7" t="b">
        <v>1</v>
      </c>
      <c r="K690" s="7"/>
      <c r="L690" s="7"/>
      <c r="M690" s="7"/>
      <c r="N690" s="7"/>
      <c r="O690" s="7"/>
      <c r="P690" s="7"/>
      <c r="Q690" s="7"/>
    </row>
    <row r="691" spans="1:17" ht="13.9">
      <c r="A691" s="3">
        <v>15116039</v>
      </c>
      <c r="B691" s="3">
        <v>5</v>
      </c>
      <c r="C691" s="3" t="s">
        <v>60</v>
      </c>
      <c r="D691" s="3">
        <v>7</v>
      </c>
      <c r="E691" s="3">
        <v>9</v>
      </c>
      <c r="F691" s="6">
        <v>40924</v>
      </c>
      <c r="G691" s="5">
        <v>10</v>
      </c>
      <c r="H691" s="3" t="s">
        <v>63</v>
      </c>
      <c r="I691" s="3" t="s">
        <v>4</v>
      </c>
      <c r="J691" s="7" t="b">
        <v>1</v>
      </c>
      <c r="K691" s="7"/>
      <c r="L691" s="7"/>
      <c r="M691" s="7"/>
      <c r="N691" s="7"/>
      <c r="O691" s="7"/>
      <c r="P691" s="7"/>
      <c r="Q691" s="7"/>
    </row>
    <row r="692" spans="1:17" ht="13.9">
      <c r="A692" s="3">
        <v>9619032</v>
      </c>
      <c r="B692" s="3">
        <v>2</v>
      </c>
      <c r="C692" s="3" t="s">
        <v>71</v>
      </c>
      <c r="D692" s="3">
        <v>1</v>
      </c>
      <c r="E692" s="3">
        <v>9</v>
      </c>
      <c r="F692" s="6">
        <v>41647</v>
      </c>
      <c r="G692" s="5">
        <v>8</v>
      </c>
      <c r="H692" s="3" t="s">
        <v>61</v>
      </c>
      <c r="I692" s="3" t="s">
        <v>7</v>
      </c>
      <c r="J692" s="7" t="b">
        <v>1</v>
      </c>
      <c r="K692" s="7"/>
      <c r="L692" s="7"/>
      <c r="M692" s="7"/>
      <c r="N692" s="7"/>
      <c r="O692" s="7"/>
      <c r="P692" s="7"/>
      <c r="Q692" s="7"/>
    </row>
    <row r="693" spans="1:17" ht="13.9">
      <c r="A693" s="3">
        <v>9616041</v>
      </c>
      <c r="B693" s="3">
        <v>6</v>
      </c>
      <c r="C693" s="3" t="s">
        <v>60</v>
      </c>
      <c r="D693" s="3">
        <v>7</v>
      </c>
      <c r="E693" s="3"/>
      <c r="F693" s="6">
        <v>40278</v>
      </c>
      <c r="G693" s="5">
        <v>12</v>
      </c>
      <c r="H693" s="3" t="s">
        <v>63</v>
      </c>
      <c r="I693" s="3" t="s">
        <v>7</v>
      </c>
      <c r="J693" s="7" t="b">
        <v>1</v>
      </c>
      <c r="K693" s="7"/>
      <c r="L693" s="7"/>
      <c r="M693" s="7"/>
      <c r="N693" s="7"/>
      <c r="O693" s="7"/>
      <c r="P693" s="7"/>
      <c r="Q693" s="7"/>
    </row>
    <row r="694" spans="1:17" ht="13.9">
      <c r="A694" s="3">
        <v>35417096</v>
      </c>
      <c r="B694" s="3">
        <v>5</v>
      </c>
      <c r="C694" s="3" t="s">
        <v>60</v>
      </c>
      <c r="D694" s="3">
        <v>7</v>
      </c>
      <c r="E694" s="3">
        <v>9</v>
      </c>
      <c r="F694" s="9">
        <v>41046</v>
      </c>
      <c r="G694" s="5">
        <v>10</v>
      </c>
      <c r="H694" s="3" t="s">
        <v>63</v>
      </c>
      <c r="I694" s="3" t="s">
        <v>7</v>
      </c>
      <c r="J694" s="7" t="b">
        <v>1</v>
      </c>
      <c r="K694" s="7"/>
      <c r="L694" s="7"/>
      <c r="M694" s="7"/>
      <c r="N694" s="7"/>
      <c r="O694" s="7"/>
      <c r="P694" s="7"/>
      <c r="Q694" s="7"/>
    </row>
    <row r="695" spans="1:17" ht="13.9">
      <c r="A695" s="3">
        <v>27018015</v>
      </c>
      <c r="B695" s="3">
        <v>4</v>
      </c>
      <c r="C695" s="3" t="s">
        <v>60</v>
      </c>
      <c r="D695" s="5">
        <v>17</v>
      </c>
      <c r="E695" s="3"/>
      <c r="F695" s="6">
        <v>40877</v>
      </c>
      <c r="G695" s="5">
        <v>11</v>
      </c>
      <c r="H695" s="3" t="s">
        <v>61</v>
      </c>
      <c r="I695" s="3" t="s">
        <v>7</v>
      </c>
      <c r="J695" s="7" t="b">
        <v>1</v>
      </c>
      <c r="K695" s="7"/>
      <c r="L695" s="7"/>
      <c r="M695" s="7"/>
      <c r="N695" s="7"/>
      <c r="O695" s="7"/>
      <c r="P695" s="7"/>
      <c r="Q695" s="7"/>
    </row>
    <row r="696" spans="1:17" ht="13.9">
      <c r="A696" s="3">
        <v>9520107</v>
      </c>
      <c r="B696" s="3">
        <v>2</v>
      </c>
      <c r="C696" s="3" t="s">
        <v>60</v>
      </c>
      <c r="D696" s="3">
        <v>7</v>
      </c>
      <c r="E696" s="3"/>
      <c r="F696" s="9">
        <v>41780</v>
      </c>
      <c r="G696" s="5">
        <v>8</v>
      </c>
      <c r="H696" s="3" t="s">
        <v>61</v>
      </c>
      <c r="I696" s="3" t="s">
        <v>7</v>
      </c>
      <c r="J696" s="7" t="b">
        <v>1</v>
      </c>
      <c r="K696" s="7"/>
      <c r="L696" s="7"/>
      <c r="M696" s="7"/>
      <c r="N696" s="7"/>
      <c r="O696" s="7"/>
      <c r="P696" s="7"/>
      <c r="Q696" s="7"/>
    </row>
    <row r="697" spans="1:17" ht="13.9">
      <c r="A697" s="3">
        <v>31810036</v>
      </c>
      <c r="B697" s="3">
        <v>9</v>
      </c>
      <c r="C697" s="3" t="s">
        <v>62</v>
      </c>
      <c r="D697" s="5">
        <v>11</v>
      </c>
      <c r="E697" s="3">
        <v>9</v>
      </c>
      <c r="F697" s="6">
        <v>39354</v>
      </c>
      <c r="G697" s="5">
        <v>15</v>
      </c>
      <c r="H697" s="3" t="s">
        <v>63</v>
      </c>
      <c r="I697" s="3" t="s">
        <v>4</v>
      </c>
      <c r="J697" s="7" t="b">
        <v>1</v>
      </c>
      <c r="K697" s="7"/>
      <c r="L697" s="7"/>
      <c r="M697" s="7"/>
      <c r="N697" s="7"/>
      <c r="O697" s="7"/>
      <c r="P697" s="7"/>
      <c r="Q697" s="7"/>
    </row>
    <row r="698" spans="1:17" ht="13.9">
      <c r="A698" s="3">
        <v>26920088</v>
      </c>
      <c r="B698" s="3">
        <v>5</v>
      </c>
      <c r="C698" s="3" t="s">
        <v>62</v>
      </c>
      <c r="D698" s="5">
        <v>11</v>
      </c>
      <c r="E698" s="3">
        <v>9</v>
      </c>
      <c r="F698" s="6">
        <v>41115</v>
      </c>
      <c r="G698" s="5">
        <v>10</v>
      </c>
      <c r="H698" s="3" t="s">
        <v>63</v>
      </c>
      <c r="I698" s="3" t="s">
        <v>4</v>
      </c>
      <c r="J698" s="7" t="b">
        <v>1</v>
      </c>
      <c r="K698" s="7"/>
      <c r="L698" s="7"/>
      <c r="M698" s="7"/>
      <c r="N698" s="7"/>
      <c r="O698" s="7"/>
      <c r="P698" s="7"/>
      <c r="Q698" s="7"/>
    </row>
    <row r="699" spans="1:17" ht="13.9">
      <c r="A699" s="3">
        <v>23922019</v>
      </c>
      <c r="B699" s="3">
        <v>3</v>
      </c>
      <c r="C699" s="3" t="s">
        <v>60</v>
      </c>
      <c r="D699" s="3">
        <v>7</v>
      </c>
      <c r="E699" s="3"/>
      <c r="F699" s="6">
        <v>41591</v>
      </c>
      <c r="G699" s="5">
        <v>9</v>
      </c>
      <c r="H699" s="3" t="s">
        <v>61</v>
      </c>
      <c r="I699" s="3" t="s">
        <v>4</v>
      </c>
      <c r="J699" s="7" t="b">
        <v>1</v>
      </c>
      <c r="K699" s="7"/>
      <c r="L699" s="7"/>
      <c r="M699" s="7"/>
      <c r="N699" s="7"/>
      <c r="O699" s="7"/>
      <c r="P699" s="7"/>
      <c r="Q699" s="7"/>
    </row>
    <row r="700" spans="1:17" ht="13.9">
      <c r="A700" s="3">
        <v>13715081</v>
      </c>
      <c r="B700" s="3">
        <v>7</v>
      </c>
      <c r="C700" s="3" t="s">
        <v>60</v>
      </c>
      <c r="D700" s="5">
        <v>10</v>
      </c>
      <c r="E700" s="3">
        <v>9</v>
      </c>
      <c r="F700" s="6">
        <v>40160</v>
      </c>
      <c r="G700" s="5">
        <v>12</v>
      </c>
      <c r="H700" s="3" t="s">
        <v>63</v>
      </c>
      <c r="I700" s="3" t="s">
        <v>4</v>
      </c>
      <c r="J700" s="7" t="b">
        <v>1</v>
      </c>
      <c r="K700" s="7"/>
      <c r="L700" s="7"/>
      <c r="M700" s="7"/>
      <c r="N700" s="7"/>
      <c r="O700" s="7"/>
      <c r="P700" s="7"/>
      <c r="Q700" s="7"/>
    </row>
    <row r="701" spans="1:17" ht="13.9">
      <c r="A701" s="3">
        <v>2022011</v>
      </c>
      <c r="B701" s="3">
        <v>1</v>
      </c>
      <c r="C701" s="3" t="s">
        <v>60</v>
      </c>
      <c r="D701" s="3">
        <v>9</v>
      </c>
      <c r="E701" s="3"/>
      <c r="F701" s="6">
        <v>42075</v>
      </c>
      <c r="G701" s="5">
        <v>7</v>
      </c>
      <c r="H701" s="3" t="s">
        <v>63</v>
      </c>
      <c r="I701" s="3" t="s">
        <v>7</v>
      </c>
      <c r="J701" s="7" t="b">
        <v>1</v>
      </c>
      <c r="K701" s="7"/>
      <c r="L701" s="7"/>
      <c r="M701" s="7"/>
      <c r="N701" s="7"/>
      <c r="O701" s="7"/>
      <c r="P701" s="7"/>
      <c r="Q701" s="7"/>
    </row>
    <row r="702" spans="1:17" ht="13.9">
      <c r="A702" s="3">
        <v>20913018</v>
      </c>
      <c r="B702" s="5">
        <v>10</v>
      </c>
      <c r="C702" s="3" t="s">
        <v>60</v>
      </c>
      <c r="D702" s="5">
        <v>17</v>
      </c>
      <c r="E702" s="3"/>
      <c r="F702" s="6">
        <v>39196</v>
      </c>
      <c r="G702" s="5">
        <v>15</v>
      </c>
      <c r="H702" s="3" t="s">
        <v>61</v>
      </c>
      <c r="I702" s="3" t="s">
        <v>7</v>
      </c>
      <c r="J702" s="7" t="b">
        <v>1</v>
      </c>
      <c r="K702" s="7"/>
      <c r="L702" s="7"/>
      <c r="M702" s="7"/>
      <c r="N702" s="7"/>
      <c r="O702" s="7"/>
      <c r="P702" s="7"/>
      <c r="Q702" s="7"/>
    </row>
    <row r="703" spans="1:17" ht="13.9">
      <c r="A703" s="3">
        <v>24917056</v>
      </c>
      <c r="B703" s="3">
        <v>5</v>
      </c>
      <c r="C703" s="3" t="s">
        <v>60</v>
      </c>
      <c r="D703" s="3">
        <v>7</v>
      </c>
      <c r="E703" s="3"/>
      <c r="F703" s="6">
        <v>40947</v>
      </c>
      <c r="G703" s="5">
        <v>10</v>
      </c>
      <c r="H703" s="3" t="s">
        <v>61</v>
      </c>
      <c r="I703" s="3" t="s">
        <v>4</v>
      </c>
      <c r="J703" s="7" t="b">
        <v>1</v>
      </c>
      <c r="K703" s="7"/>
      <c r="L703" s="7"/>
      <c r="M703" s="7"/>
      <c r="N703" s="7"/>
      <c r="O703" s="7"/>
      <c r="P703" s="7"/>
      <c r="Q703" s="7"/>
    </row>
    <row r="704" spans="1:17" ht="13.9">
      <c r="A704" s="3">
        <v>35417115</v>
      </c>
      <c r="B704" s="3">
        <v>5</v>
      </c>
      <c r="C704" s="3" t="s">
        <v>60</v>
      </c>
      <c r="D704" s="3">
        <v>7</v>
      </c>
      <c r="E704" s="3"/>
      <c r="F704" s="6">
        <v>40866</v>
      </c>
      <c r="G704" s="5">
        <v>11</v>
      </c>
      <c r="H704" s="3" t="s">
        <v>63</v>
      </c>
      <c r="I704" s="3" t="s">
        <v>7</v>
      </c>
      <c r="J704" s="7" t="b">
        <v>1</v>
      </c>
      <c r="K704" s="7"/>
      <c r="L704" s="7"/>
      <c r="M704" s="7"/>
      <c r="N704" s="7"/>
      <c r="O704" s="7"/>
      <c r="P704" s="7"/>
      <c r="Q704" s="7"/>
    </row>
    <row r="705" spans="1:17" ht="13.9">
      <c r="A705" s="3">
        <v>26915069</v>
      </c>
      <c r="B705" s="3">
        <v>8</v>
      </c>
      <c r="C705" s="3" t="s">
        <v>60</v>
      </c>
      <c r="D705" s="3">
        <v>7</v>
      </c>
      <c r="E705" s="3">
        <v>9</v>
      </c>
      <c r="F705" s="6">
        <v>39655</v>
      </c>
      <c r="G705" s="5">
        <v>14</v>
      </c>
      <c r="H705" s="3" t="s">
        <v>61</v>
      </c>
      <c r="I705" s="3" t="s">
        <v>7</v>
      </c>
      <c r="J705" s="7" t="b">
        <v>1</v>
      </c>
      <c r="K705" s="7"/>
      <c r="L705" s="7"/>
      <c r="M705" s="7"/>
      <c r="N705" s="7"/>
      <c r="O705" s="7"/>
      <c r="P705" s="7"/>
      <c r="Q705" s="7"/>
    </row>
    <row r="706" spans="1:17" ht="13.9">
      <c r="A706" s="3">
        <v>22913434</v>
      </c>
      <c r="B706" s="3">
        <v>7</v>
      </c>
      <c r="C706" s="3" t="s">
        <v>60</v>
      </c>
      <c r="D706" s="3">
        <v>7</v>
      </c>
      <c r="E706" s="3"/>
      <c r="F706" s="9">
        <v>40301</v>
      </c>
      <c r="G706" s="5">
        <v>12</v>
      </c>
      <c r="H706" s="3" t="s">
        <v>63</v>
      </c>
      <c r="I706" s="3" t="s">
        <v>8</v>
      </c>
      <c r="J706" s="7" t="b">
        <v>1</v>
      </c>
      <c r="K706" s="7"/>
      <c r="L706" s="7"/>
      <c r="M706" s="7"/>
      <c r="N706" s="7"/>
      <c r="O706" s="7"/>
      <c r="P706" s="7"/>
      <c r="Q706" s="7"/>
    </row>
    <row r="707" spans="1:17" ht="13.9">
      <c r="A707" s="3" t="s">
        <v>134</v>
      </c>
      <c r="B707" s="3">
        <v>2</v>
      </c>
      <c r="C707" s="3" t="s">
        <v>62</v>
      </c>
      <c r="D707" s="5">
        <v>17</v>
      </c>
      <c r="E707" s="3"/>
      <c r="F707" s="9">
        <v>42153</v>
      </c>
      <c r="G707" s="5">
        <v>7</v>
      </c>
      <c r="H707" s="3" t="s">
        <v>63</v>
      </c>
      <c r="I707" s="3" t="s">
        <v>7</v>
      </c>
      <c r="J707" s="7" t="b">
        <v>1</v>
      </c>
      <c r="K707" s="7"/>
      <c r="L707" s="7"/>
      <c r="M707" s="7"/>
      <c r="N707" s="7"/>
      <c r="O707" s="7"/>
      <c r="P707" s="7"/>
      <c r="Q707" s="7"/>
    </row>
    <row r="708" spans="1:17" ht="13.9">
      <c r="A708" s="3">
        <v>22913474</v>
      </c>
      <c r="B708" s="3">
        <v>6</v>
      </c>
      <c r="C708" s="3" t="s">
        <v>60</v>
      </c>
      <c r="D708" s="5">
        <v>17</v>
      </c>
      <c r="E708" s="3"/>
      <c r="F708" s="6">
        <v>40484</v>
      </c>
      <c r="G708" s="5">
        <v>12</v>
      </c>
      <c r="H708" s="3" t="s">
        <v>63</v>
      </c>
      <c r="I708" s="3" t="s">
        <v>4</v>
      </c>
      <c r="J708" s="7" t="b">
        <v>1</v>
      </c>
      <c r="K708" s="7"/>
      <c r="L708" s="7"/>
      <c r="M708" s="7"/>
      <c r="N708" s="7"/>
      <c r="O708" s="7"/>
      <c r="P708" s="7"/>
      <c r="Q708" s="7"/>
    </row>
    <row r="709" spans="1:17" ht="13.9">
      <c r="A709" s="3">
        <v>22111520</v>
      </c>
      <c r="B709" s="5">
        <v>12</v>
      </c>
      <c r="C709" s="3" t="s">
        <v>65</v>
      </c>
      <c r="D709" s="5">
        <v>11</v>
      </c>
      <c r="E709" s="3">
        <v>9</v>
      </c>
      <c r="F709" s="9">
        <v>38487</v>
      </c>
      <c r="G709" s="5">
        <v>17</v>
      </c>
      <c r="H709" s="3" t="s">
        <v>61</v>
      </c>
      <c r="I709" s="3" t="s">
        <v>6</v>
      </c>
      <c r="J709" s="7" t="b">
        <v>1</v>
      </c>
      <c r="K709" s="7"/>
      <c r="L709" s="7"/>
      <c r="M709" s="7"/>
      <c r="N709" s="7"/>
      <c r="O709" s="7"/>
      <c r="P709" s="7"/>
      <c r="Q709" s="7"/>
    </row>
    <row r="710" spans="1:17" ht="13.9">
      <c r="A710" s="3">
        <v>7708522</v>
      </c>
      <c r="B710" s="5">
        <v>12</v>
      </c>
      <c r="C710" s="3" t="s">
        <v>62</v>
      </c>
      <c r="D710" s="5">
        <v>11</v>
      </c>
      <c r="E710" s="3"/>
      <c r="F710" s="6">
        <v>38251</v>
      </c>
      <c r="G710" s="5">
        <v>18</v>
      </c>
      <c r="H710" s="3" t="s">
        <v>63</v>
      </c>
      <c r="I710" s="3" t="s">
        <v>8</v>
      </c>
      <c r="J710" s="7" t="b">
        <v>1</v>
      </c>
      <c r="K710" s="7"/>
      <c r="L710" s="7"/>
      <c r="M710" s="7"/>
      <c r="N710" s="7"/>
      <c r="O710" s="7"/>
      <c r="P710" s="7"/>
      <c r="Q710" s="7"/>
    </row>
    <row r="711" spans="1:17" ht="13.9">
      <c r="A711" s="3">
        <v>8316072</v>
      </c>
      <c r="B711" s="3">
        <v>7</v>
      </c>
      <c r="C711" s="3" t="s">
        <v>65</v>
      </c>
      <c r="D711" s="3">
        <v>7</v>
      </c>
      <c r="E711" s="5">
        <v>17</v>
      </c>
      <c r="F711" s="6">
        <v>40135</v>
      </c>
      <c r="G711" s="5">
        <v>13</v>
      </c>
      <c r="H711" s="3" t="s">
        <v>63</v>
      </c>
      <c r="I711" s="3" t="s">
        <v>4</v>
      </c>
      <c r="J711" s="7" t="b">
        <v>1</v>
      </c>
      <c r="K711" s="7"/>
      <c r="L711" s="7"/>
      <c r="M711" s="7"/>
      <c r="N711" s="7"/>
      <c r="O711" s="7"/>
      <c r="P711" s="7"/>
      <c r="Q711" s="7"/>
    </row>
    <row r="712" spans="1:17" ht="13.9">
      <c r="A712" s="3">
        <v>22918397</v>
      </c>
      <c r="B712" s="3">
        <v>3</v>
      </c>
      <c r="C712" s="3" t="s">
        <v>60</v>
      </c>
      <c r="D712" s="3">
        <v>7</v>
      </c>
      <c r="E712" s="3">
        <v>9</v>
      </c>
      <c r="F712" s="6">
        <v>41588</v>
      </c>
      <c r="G712" s="5">
        <v>9</v>
      </c>
      <c r="H712" s="3" t="s">
        <v>61</v>
      </c>
      <c r="I712" s="3" t="s">
        <v>4</v>
      </c>
      <c r="J712" s="7" t="b">
        <v>1</v>
      </c>
      <c r="K712" s="7"/>
      <c r="L712" s="7"/>
      <c r="M712" s="7"/>
      <c r="N712" s="7"/>
      <c r="O712" s="7"/>
      <c r="P712" s="7"/>
      <c r="Q712" s="7"/>
    </row>
    <row r="713" spans="1:17" ht="13.9">
      <c r="A713" s="3">
        <v>8715131</v>
      </c>
      <c r="B713" s="3">
        <v>7</v>
      </c>
      <c r="C713" s="3" t="s">
        <v>60</v>
      </c>
      <c r="D713" s="3">
        <v>5</v>
      </c>
      <c r="E713" s="3"/>
      <c r="F713" s="6">
        <v>40155</v>
      </c>
      <c r="G713" s="5">
        <v>12</v>
      </c>
      <c r="H713" s="3" t="s">
        <v>63</v>
      </c>
      <c r="I713" s="3" t="s">
        <v>7</v>
      </c>
      <c r="J713" s="7" t="b">
        <v>1</v>
      </c>
      <c r="K713" s="7"/>
      <c r="L713" s="7"/>
      <c r="M713" s="7"/>
      <c r="N713" s="7"/>
      <c r="O713" s="7"/>
      <c r="P713" s="7"/>
      <c r="Q713" s="7"/>
    </row>
    <row r="714" spans="1:17" ht="13.9">
      <c r="A714" s="3">
        <v>31812709</v>
      </c>
      <c r="B714" s="3">
        <v>8</v>
      </c>
      <c r="C714" s="3" t="s">
        <v>60</v>
      </c>
      <c r="D714" s="3">
        <v>7</v>
      </c>
      <c r="E714" s="3"/>
      <c r="F714" s="6">
        <v>39854</v>
      </c>
      <c r="G714" s="5">
        <v>13</v>
      </c>
      <c r="H714" s="3" t="s">
        <v>63</v>
      </c>
      <c r="I714" s="3" t="s">
        <v>6</v>
      </c>
      <c r="J714" s="7" t="b">
        <v>1</v>
      </c>
      <c r="K714" s="7"/>
      <c r="L714" s="7"/>
      <c r="M714" s="7"/>
      <c r="N714" s="7"/>
      <c r="O714" s="7"/>
      <c r="P714" s="7"/>
      <c r="Q714" s="7"/>
    </row>
    <row r="715" spans="1:17" ht="13.9">
      <c r="A715" s="3">
        <v>8715908</v>
      </c>
      <c r="B715" s="3">
        <v>5</v>
      </c>
      <c r="C715" s="3" t="s">
        <v>60</v>
      </c>
      <c r="D715" s="3">
        <v>7</v>
      </c>
      <c r="E715" s="3">
        <v>9</v>
      </c>
      <c r="F715" s="6">
        <v>40606</v>
      </c>
      <c r="G715" s="5">
        <v>11</v>
      </c>
      <c r="H715" s="3" t="s">
        <v>61</v>
      </c>
      <c r="I715" s="3" t="s">
        <v>8</v>
      </c>
      <c r="J715" s="7" t="b">
        <v>1</v>
      </c>
      <c r="K715" s="7"/>
      <c r="L715" s="7"/>
      <c r="M715" s="7"/>
      <c r="N715" s="7"/>
      <c r="O715" s="7"/>
      <c r="P715" s="7"/>
      <c r="Q715" s="7"/>
    </row>
    <row r="716" spans="1:17" ht="13.9">
      <c r="A716" s="3">
        <v>36918010</v>
      </c>
      <c r="B716" s="3">
        <v>5</v>
      </c>
      <c r="C716" s="3" t="s">
        <v>60</v>
      </c>
      <c r="D716" s="3">
        <v>9</v>
      </c>
      <c r="E716" s="3"/>
      <c r="F716" s="6">
        <v>40723</v>
      </c>
      <c r="G716" s="5">
        <v>11</v>
      </c>
      <c r="H716" s="3" t="s">
        <v>63</v>
      </c>
      <c r="I716" s="3" t="s">
        <v>7</v>
      </c>
      <c r="J716" s="7" t="b">
        <v>1</v>
      </c>
      <c r="K716" s="7"/>
      <c r="L716" s="7"/>
      <c r="M716" s="7"/>
      <c r="N716" s="7"/>
      <c r="O716" s="7"/>
      <c r="P716" s="7"/>
      <c r="Q716" s="7"/>
    </row>
    <row r="717" spans="1:17" ht="13.9">
      <c r="A717" s="3">
        <v>6819096</v>
      </c>
      <c r="B717" s="3" t="s">
        <v>41</v>
      </c>
      <c r="C717" s="3" t="s">
        <v>60</v>
      </c>
      <c r="D717" s="3">
        <v>9</v>
      </c>
      <c r="E717" s="3"/>
      <c r="F717" s="6">
        <v>42560</v>
      </c>
      <c r="G717" s="5">
        <v>6</v>
      </c>
      <c r="H717" s="3" t="s">
        <v>63</v>
      </c>
      <c r="I717" s="3" t="s">
        <v>7</v>
      </c>
      <c r="J717" s="7" t="b">
        <v>1</v>
      </c>
      <c r="K717" s="7"/>
      <c r="L717" s="7"/>
      <c r="M717" s="7"/>
      <c r="N717" s="7"/>
      <c r="O717" s="7"/>
      <c r="P717" s="7"/>
      <c r="Q717" s="7"/>
    </row>
    <row r="718" spans="1:17" ht="13.9">
      <c r="A718" s="3">
        <v>2016088</v>
      </c>
      <c r="B718" s="3">
        <v>5</v>
      </c>
      <c r="C718" s="3" t="s">
        <v>60</v>
      </c>
      <c r="D718" s="3">
        <v>7</v>
      </c>
      <c r="E718" s="3">
        <v>9</v>
      </c>
      <c r="F718" s="6">
        <v>40791</v>
      </c>
      <c r="G718" s="5">
        <v>11</v>
      </c>
      <c r="H718" s="3" t="s">
        <v>63</v>
      </c>
      <c r="I718" s="3" t="s">
        <v>7</v>
      </c>
      <c r="J718" s="7" t="b">
        <v>1</v>
      </c>
      <c r="K718" s="7"/>
      <c r="L718" s="7"/>
      <c r="M718" s="7"/>
      <c r="N718" s="7"/>
      <c r="O718" s="7"/>
      <c r="P718" s="7"/>
      <c r="Q718" s="7"/>
    </row>
    <row r="719" spans="1:17" ht="13.9">
      <c r="A719" s="3">
        <v>31815042</v>
      </c>
      <c r="B719" s="3">
        <v>4</v>
      </c>
      <c r="C719" s="3" t="s">
        <v>60</v>
      </c>
      <c r="D719" s="3">
        <v>7</v>
      </c>
      <c r="E719" s="3">
        <v>9</v>
      </c>
      <c r="F719" s="6">
        <v>41187</v>
      </c>
      <c r="G719" s="5">
        <v>10</v>
      </c>
      <c r="H719" s="3" t="s">
        <v>63</v>
      </c>
      <c r="I719" s="3" t="s">
        <v>4</v>
      </c>
      <c r="J719" s="7" t="b">
        <v>1</v>
      </c>
      <c r="K719" s="7"/>
      <c r="L719" s="7"/>
      <c r="M719" s="7"/>
      <c r="N719" s="7"/>
      <c r="O719" s="7"/>
      <c r="P719" s="7"/>
      <c r="Q719" s="7"/>
    </row>
    <row r="720" spans="1:17" ht="13.9">
      <c r="A720" s="3">
        <v>28123002</v>
      </c>
      <c r="B720" s="3" t="s">
        <v>41</v>
      </c>
      <c r="C720" s="3" t="s">
        <v>60</v>
      </c>
      <c r="D720" s="3">
        <v>9</v>
      </c>
      <c r="E720" s="3"/>
      <c r="F720" s="6">
        <v>42727</v>
      </c>
      <c r="G720" s="5">
        <v>5</v>
      </c>
      <c r="H720" s="3" t="s">
        <v>63</v>
      </c>
      <c r="I720" s="3" t="s">
        <v>4</v>
      </c>
      <c r="J720" s="7" t="b">
        <v>1</v>
      </c>
      <c r="K720" s="7"/>
      <c r="L720" s="7"/>
      <c r="M720" s="7"/>
      <c r="N720" s="7"/>
      <c r="O720" s="7"/>
      <c r="P720" s="7"/>
      <c r="Q720" s="7"/>
    </row>
    <row r="721" spans="1:17" ht="13.9">
      <c r="A721" s="3">
        <v>24106114</v>
      </c>
      <c r="B721" s="5">
        <v>13</v>
      </c>
      <c r="C721" s="3" t="s">
        <v>65</v>
      </c>
      <c r="D721" s="5">
        <v>11</v>
      </c>
      <c r="E721" s="3">
        <v>9</v>
      </c>
      <c r="F721" s="6">
        <v>37473</v>
      </c>
      <c r="G721" s="5">
        <v>20</v>
      </c>
      <c r="H721" s="3" t="s">
        <v>61</v>
      </c>
      <c r="I721" s="3" t="s">
        <v>7</v>
      </c>
      <c r="J721" s="7" t="b">
        <v>1</v>
      </c>
      <c r="K721" s="7"/>
      <c r="L721" s="7"/>
      <c r="M721" s="7"/>
      <c r="N721" s="7"/>
      <c r="O721" s="7"/>
      <c r="P721" s="7"/>
      <c r="Q721" s="7"/>
    </row>
    <row r="722" spans="1:17" ht="13.9">
      <c r="A722" s="3">
        <v>22910013</v>
      </c>
      <c r="B722" s="5">
        <v>10</v>
      </c>
      <c r="C722" s="3" t="s">
        <v>60</v>
      </c>
      <c r="D722" s="5">
        <v>15</v>
      </c>
      <c r="E722" s="3"/>
      <c r="F722" s="6">
        <v>39247</v>
      </c>
      <c r="G722" s="5">
        <v>15</v>
      </c>
      <c r="H722" s="3" t="s">
        <v>63</v>
      </c>
      <c r="I722" s="3" t="s">
        <v>7</v>
      </c>
      <c r="J722" s="7" t="b">
        <v>1</v>
      </c>
      <c r="K722" s="7"/>
      <c r="L722" s="7"/>
      <c r="M722" s="7"/>
      <c r="N722" s="7"/>
      <c r="O722" s="7"/>
      <c r="P722" s="7"/>
      <c r="Q722" s="7"/>
    </row>
    <row r="723" spans="1:17" ht="13.9">
      <c r="A723" s="3">
        <v>51308517</v>
      </c>
      <c r="B723" s="5">
        <v>10</v>
      </c>
      <c r="C723" s="3" t="s">
        <v>62</v>
      </c>
      <c r="D723" s="3">
        <v>1</v>
      </c>
      <c r="E723" s="3">
        <v>9</v>
      </c>
      <c r="F723" s="6">
        <v>38378</v>
      </c>
      <c r="G723" s="5">
        <v>17</v>
      </c>
      <c r="H723" s="3" t="s">
        <v>61</v>
      </c>
      <c r="I723" s="3" t="s">
        <v>7</v>
      </c>
      <c r="J723" s="7" t="b">
        <v>1</v>
      </c>
      <c r="K723" s="7"/>
      <c r="L723" s="7"/>
      <c r="M723" s="7"/>
      <c r="N723" s="7"/>
      <c r="O723" s="7"/>
      <c r="P723" s="7"/>
      <c r="Q723" s="7"/>
    </row>
    <row r="724" spans="1:17" ht="13.9">
      <c r="A724" s="3">
        <v>16422039</v>
      </c>
      <c r="B724" s="3">
        <v>1</v>
      </c>
      <c r="C724" s="3" t="s">
        <v>60</v>
      </c>
      <c r="D724" s="5">
        <v>17</v>
      </c>
      <c r="E724" s="3"/>
      <c r="F724" s="6">
        <v>42392</v>
      </c>
      <c r="G724" s="5">
        <v>6</v>
      </c>
      <c r="H724" s="3" t="s">
        <v>61</v>
      </c>
      <c r="I724" s="3" t="s">
        <v>7</v>
      </c>
      <c r="J724" s="7" t="b">
        <v>1</v>
      </c>
      <c r="K724" s="7"/>
      <c r="L724" s="7"/>
      <c r="M724" s="7"/>
      <c r="N724" s="7"/>
      <c r="O724" s="7"/>
      <c r="P724" s="7"/>
      <c r="Q724" s="7"/>
    </row>
    <row r="725" spans="1:17" ht="13.9">
      <c r="A725" s="5">
        <v>307717012</v>
      </c>
      <c r="B725" s="3">
        <v>6</v>
      </c>
      <c r="C725" s="3" t="s">
        <v>60</v>
      </c>
      <c r="D725" s="3">
        <v>7</v>
      </c>
      <c r="E725" s="3"/>
      <c r="F725" s="6">
        <v>40378</v>
      </c>
      <c r="G725" s="5">
        <v>12</v>
      </c>
      <c r="H725" s="3" t="s">
        <v>63</v>
      </c>
      <c r="I725" s="3" t="s">
        <v>7</v>
      </c>
      <c r="J725" s="7" t="b">
        <v>1</v>
      </c>
      <c r="K725" s="7"/>
      <c r="L725" s="7"/>
      <c r="M725" s="7"/>
      <c r="N725" s="7"/>
      <c r="O725" s="7"/>
      <c r="P725" s="7"/>
      <c r="Q725" s="7"/>
    </row>
    <row r="726" spans="1:17" ht="13.9">
      <c r="A726" s="3">
        <v>15111357</v>
      </c>
      <c r="B726" s="5">
        <v>10</v>
      </c>
      <c r="C726" s="3" t="s">
        <v>60</v>
      </c>
      <c r="D726" s="5">
        <v>17</v>
      </c>
      <c r="E726" s="3"/>
      <c r="F726" s="6">
        <v>39134</v>
      </c>
      <c r="G726" s="5">
        <v>15</v>
      </c>
      <c r="H726" s="3" t="s">
        <v>63</v>
      </c>
      <c r="I726" s="3" t="s">
        <v>8</v>
      </c>
      <c r="J726" s="7" t="b">
        <v>1</v>
      </c>
      <c r="K726" s="7"/>
      <c r="L726" s="7"/>
      <c r="M726" s="7"/>
      <c r="N726" s="7"/>
      <c r="O726" s="7"/>
      <c r="P726" s="7"/>
      <c r="Q726" s="7"/>
    </row>
    <row r="727" spans="1:17" ht="13.9">
      <c r="A727" s="3">
        <v>15321047</v>
      </c>
      <c r="B727" s="3">
        <v>1</v>
      </c>
      <c r="C727" s="3" t="s">
        <v>65</v>
      </c>
      <c r="D727" s="5">
        <v>11</v>
      </c>
      <c r="E727" s="3">
        <v>9</v>
      </c>
      <c r="F727" s="6">
        <v>42547</v>
      </c>
      <c r="G727" s="5">
        <v>6</v>
      </c>
      <c r="H727" s="3" t="s">
        <v>63</v>
      </c>
      <c r="I727" s="3" t="s">
        <v>4</v>
      </c>
      <c r="J727" s="7" t="b">
        <v>1</v>
      </c>
      <c r="K727" s="7"/>
      <c r="L727" s="7"/>
      <c r="M727" s="7"/>
      <c r="N727" s="7"/>
      <c r="O727" s="7"/>
      <c r="P727" s="7"/>
      <c r="Q727" s="7"/>
    </row>
    <row r="728" spans="1:17" ht="13.9">
      <c r="A728" s="3">
        <v>28914059</v>
      </c>
      <c r="B728" s="3">
        <v>9</v>
      </c>
      <c r="C728" s="3" t="s">
        <v>60</v>
      </c>
      <c r="D728" s="3">
        <v>7</v>
      </c>
      <c r="E728" s="3"/>
      <c r="F728" s="6">
        <v>39275</v>
      </c>
      <c r="G728" s="5">
        <v>15</v>
      </c>
      <c r="H728" s="3" t="s">
        <v>63</v>
      </c>
      <c r="I728" s="3" t="s">
        <v>7</v>
      </c>
      <c r="J728" s="7" t="b">
        <v>1</v>
      </c>
      <c r="K728" s="7"/>
      <c r="L728" s="7"/>
      <c r="M728" s="7"/>
      <c r="N728" s="7"/>
      <c r="O728" s="7"/>
      <c r="P728" s="7"/>
      <c r="Q728" s="7"/>
    </row>
    <row r="729" spans="1:17" ht="13.9">
      <c r="A729" s="3">
        <v>2022132</v>
      </c>
      <c r="B729" s="3" t="s">
        <v>41</v>
      </c>
      <c r="C729" s="3" t="s">
        <v>60</v>
      </c>
      <c r="D729" s="3">
        <v>9</v>
      </c>
      <c r="E729" s="3"/>
      <c r="F729" s="6">
        <v>42923</v>
      </c>
      <c r="G729" s="5">
        <v>5</v>
      </c>
      <c r="H729" s="3" t="s">
        <v>61</v>
      </c>
      <c r="I729" s="3" t="s">
        <v>7</v>
      </c>
      <c r="J729" s="7" t="b">
        <v>1</v>
      </c>
      <c r="K729" s="7"/>
      <c r="L729" s="7"/>
      <c r="M729" s="7"/>
      <c r="N729" s="7"/>
      <c r="O729" s="7"/>
      <c r="P729" s="7"/>
      <c r="Q729" s="7"/>
    </row>
    <row r="730" spans="1:17" ht="13.9">
      <c r="A730" s="3">
        <v>22912130</v>
      </c>
      <c r="B730" s="3">
        <v>8</v>
      </c>
      <c r="C730" s="3" t="s">
        <v>60</v>
      </c>
      <c r="D730" s="3">
        <v>9</v>
      </c>
      <c r="E730" s="3"/>
      <c r="F730" s="6">
        <v>39760</v>
      </c>
      <c r="G730" s="5">
        <v>14</v>
      </c>
      <c r="H730" s="3" t="s">
        <v>63</v>
      </c>
      <c r="I730" s="3" t="s">
        <v>6</v>
      </c>
      <c r="J730" s="7" t="b">
        <v>1</v>
      </c>
      <c r="K730" s="7"/>
      <c r="L730" s="7"/>
      <c r="M730" s="7"/>
      <c r="N730" s="7"/>
      <c r="O730" s="7"/>
      <c r="P730" s="7"/>
      <c r="Q730" s="7"/>
    </row>
    <row r="731" spans="1:17" ht="13.9">
      <c r="A731" s="5">
        <v>810410911</v>
      </c>
      <c r="B731" s="3">
        <v>9</v>
      </c>
      <c r="C731" s="3" t="s">
        <v>64</v>
      </c>
      <c r="D731" s="5">
        <v>17</v>
      </c>
      <c r="E731" s="3">
        <v>7</v>
      </c>
      <c r="F731" s="6">
        <v>39253</v>
      </c>
      <c r="G731" s="5">
        <v>15</v>
      </c>
      <c r="H731" s="3" t="s">
        <v>61</v>
      </c>
      <c r="I731" s="3" t="s">
        <v>7</v>
      </c>
      <c r="J731" s="7" t="b">
        <v>1</v>
      </c>
      <c r="K731" s="7"/>
      <c r="L731" s="7"/>
      <c r="M731" s="7"/>
      <c r="N731" s="7"/>
      <c r="O731" s="7"/>
      <c r="P731" s="7"/>
      <c r="Q731" s="7"/>
    </row>
    <row r="732" spans="1:17" ht="13.9">
      <c r="A732" s="5">
        <v>133535006</v>
      </c>
      <c r="B732" s="3" t="s">
        <v>41</v>
      </c>
      <c r="C732" s="3" t="s">
        <v>60</v>
      </c>
      <c r="D732" s="3">
        <v>8</v>
      </c>
      <c r="E732" s="3">
        <v>9</v>
      </c>
      <c r="F732" s="6">
        <v>42799</v>
      </c>
      <c r="G732" s="5">
        <v>5</v>
      </c>
      <c r="H732" s="3" t="s">
        <v>63</v>
      </c>
      <c r="I732" s="3" t="s">
        <v>7</v>
      </c>
      <c r="J732" s="7" t="b">
        <v>1</v>
      </c>
      <c r="K732" s="7"/>
      <c r="L732" s="7"/>
      <c r="M732" s="7"/>
      <c r="N732" s="7"/>
      <c r="O732" s="7"/>
      <c r="P732" s="7"/>
      <c r="Q732" s="7"/>
    </row>
    <row r="733" spans="1:17" ht="13.9">
      <c r="A733" s="3">
        <v>51309202</v>
      </c>
      <c r="B733" s="5">
        <v>11</v>
      </c>
      <c r="C733" s="3" t="s">
        <v>60</v>
      </c>
      <c r="D733" s="3">
        <v>2</v>
      </c>
      <c r="E733" s="3"/>
      <c r="F733" s="6">
        <v>38704</v>
      </c>
      <c r="G733" s="5">
        <v>16</v>
      </c>
      <c r="H733" s="3" t="s">
        <v>61</v>
      </c>
      <c r="I733" s="3" t="s">
        <v>7</v>
      </c>
      <c r="J733" s="7" t="b">
        <v>1</v>
      </c>
      <c r="K733" s="7"/>
      <c r="L733" s="7"/>
      <c r="M733" s="7"/>
      <c r="N733" s="7"/>
      <c r="O733" s="7"/>
      <c r="P733" s="7"/>
      <c r="Q733" s="7"/>
    </row>
    <row r="734" spans="1:17" ht="13.9">
      <c r="A734" s="3">
        <v>35714172</v>
      </c>
      <c r="B734" s="3">
        <v>5</v>
      </c>
      <c r="C734" s="3" t="s">
        <v>60</v>
      </c>
      <c r="D734" s="5">
        <v>15</v>
      </c>
      <c r="E734" s="3">
        <v>9</v>
      </c>
      <c r="F734" s="6">
        <v>40785</v>
      </c>
      <c r="G734" s="5">
        <v>11</v>
      </c>
      <c r="H734" s="3" t="s">
        <v>63</v>
      </c>
      <c r="I734" s="3" t="s">
        <v>7</v>
      </c>
      <c r="J734" s="7" t="b">
        <v>1</v>
      </c>
      <c r="K734" s="7"/>
      <c r="L734" s="7"/>
      <c r="M734" s="7"/>
      <c r="N734" s="7"/>
      <c r="O734" s="7"/>
      <c r="P734" s="7"/>
      <c r="Q734" s="7"/>
    </row>
    <row r="735" spans="1:17" ht="13.9">
      <c r="A735" s="3">
        <v>36918040</v>
      </c>
      <c r="B735" s="3">
        <v>5</v>
      </c>
      <c r="C735" s="3" t="s">
        <v>60</v>
      </c>
      <c r="D735" s="3">
        <v>7</v>
      </c>
      <c r="E735" s="3"/>
      <c r="F735" s="6">
        <v>41075</v>
      </c>
      <c r="G735" s="5">
        <v>10</v>
      </c>
      <c r="H735" s="3" t="s">
        <v>63</v>
      </c>
      <c r="I735" s="3" t="s">
        <v>7</v>
      </c>
      <c r="J735" s="7" t="b">
        <v>1</v>
      </c>
      <c r="K735" s="7"/>
      <c r="L735" s="7"/>
      <c r="M735" s="7"/>
      <c r="N735" s="7"/>
      <c r="O735" s="7"/>
      <c r="P735" s="7"/>
      <c r="Q735" s="7"/>
    </row>
    <row r="736" spans="1:17" ht="13.9">
      <c r="A736" s="3">
        <v>10123029</v>
      </c>
      <c r="B736" s="3">
        <v>9</v>
      </c>
      <c r="C736" s="3" t="s">
        <v>60</v>
      </c>
      <c r="D736" s="3">
        <v>9</v>
      </c>
      <c r="E736" s="3"/>
      <c r="F736" s="6">
        <v>39601</v>
      </c>
      <c r="G736" s="5">
        <v>14</v>
      </c>
      <c r="H736" s="3" t="s">
        <v>63</v>
      </c>
      <c r="I736" s="3" t="s">
        <v>7</v>
      </c>
      <c r="J736" s="7" t="b">
        <v>1</v>
      </c>
      <c r="K736" s="7"/>
      <c r="L736" s="7"/>
      <c r="M736" s="7"/>
      <c r="N736" s="7"/>
      <c r="O736" s="7"/>
      <c r="P736" s="7"/>
      <c r="Q736" s="7"/>
    </row>
    <row r="737" spans="1:17" ht="13.9">
      <c r="A737" s="3" t="s">
        <v>135</v>
      </c>
      <c r="B737" s="5">
        <v>12</v>
      </c>
      <c r="C737" s="3" t="s">
        <v>64</v>
      </c>
      <c r="D737" s="5">
        <v>17</v>
      </c>
      <c r="E737" s="3"/>
      <c r="F737" s="6">
        <v>38248</v>
      </c>
      <c r="G737" s="5">
        <v>18</v>
      </c>
      <c r="H737" s="3" t="s">
        <v>63</v>
      </c>
      <c r="I737" s="3" t="s">
        <v>7</v>
      </c>
      <c r="J737" s="7" t="b">
        <v>1</v>
      </c>
      <c r="K737" s="7"/>
      <c r="L737" s="7"/>
      <c r="M737" s="7"/>
      <c r="N737" s="7"/>
      <c r="O737" s="7"/>
      <c r="P737" s="7"/>
      <c r="Q737" s="7"/>
    </row>
    <row r="738" spans="1:17" ht="13.9">
      <c r="A738" s="3">
        <v>18917002</v>
      </c>
      <c r="B738" s="3">
        <v>6</v>
      </c>
      <c r="C738" s="3" t="s">
        <v>60</v>
      </c>
      <c r="D738" s="3">
        <v>7</v>
      </c>
      <c r="E738" s="3"/>
      <c r="F738" s="6">
        <v>40508</v>
      </c>
      <c r="G738" s="5">
        <v>12</v>
      </c>
      <c r="H738" s="3" t="s">
        <v>61</v>
      </c>
      <c r="I738" s="3" t="s">
        <v>6</v>
      </c>
      <c r="J738" s="7" t="b">
        <v>1</v>
      </c>
      <c r="K738" s="7"/>
      <c r="L738" s="7"/>
      <c r="M738" s="7"/>
      <c r="N738" s="7"/>
      <c r="O738" s="7"/>
      <c r="P738" s="7"/>
      <c r="Q738" s="7"/>
    </row>
    <row r="739" spans="1:17" ht="13.9">
      <c r="A739" s="5">
        <v>434616127</v>
      </c>
      <c r="B739" s="3">
        <v>4</v>
      </c>
      <c r="C739" s="3" t="s">
        <v>64</v>
      </c>
      <c r="D739" s="3">
        <v>9</v>
      </c>
      <c r="E739" s="3"/>
      <c r="F739" s="6">
        <v>41298</v>
      </c>
      <c r="G739" s="5">
        <v>9</v>
      </c>
      <c r="H739" s="3" t="s">
        <v>63</v>
      </c>
      <c r="I739" s="3" t="s">
        <v>7</v>
      </c>
      <c r="J739" s="7" t="b">
        <v>1</v>
      </c>
      <c r="K739" s="7"/>
      <c r="L739" s="7"/>
      <c r="M739" s="7"/>
      <c r="N739" s="7"/>
      <c r="O739" s="7"/>
      <c r="P739" s="7"/>
      <c r="Q739" s="7"/>
    </row>
    <row r="740" spans="1:17" ht="13.9">
      <c r="A740" s="3">
        <v>22918022</v>
      </c>
      <c r="B740" s="3">
        <v>4</v>
      </c>
      <c r="C740" s="3" t="s">
        <v>60</v>
      </c>
      <c r="D740" s="5">
        <v>15</v>
      </c>
      <c r="E740" s="3"/>
      <c r="F740" s="6">
        <v>41188</v>
      </c>
      <c r="G740" s="5">
        <v>10</v>
      </c>
      <c r="H740" s="3" t="s">
        <v>63</v>
      </c>
      <c r="I740" s="3" t="s">
        <v>7</v>
      </c>
      <c r="J740" s="7" t="b">
        <v>1</v>
      </c>
      <c r="K740" s="7"/>
      <c r="L740" s="7"/>
      <c r="M740" s="7"/>
      <c r="N740" s="7"/>
      <c r="O740" s="7"/>
      <c r="P740" s="7"/>
      <c r="Q740" s="7"/>
    </row>
    <row r="741" spans="1:17" ht="13.9">
      <c r="A741" s="3">
        <v>22915372</v>
      </c>
      <c r="B741" s="3">
        <v>4</v>
      </c>
      <c r="C741" s="3" t="s">
        <v>60</v>
      </c>
      <c r="D741" s="5">
        <v>10</v>
      </c>
      <c r="E741" s="3"/>
      <c r="F741" s="6">
        <v>41182</v>
      </c>
      <c r="G741" s="5">
        <v>10</v>
      </c>
      <c r="H741" s="3" t="s">
        <v>61</v>
      </c>
      <c r="I741" s="3" t="s">
        <v>4</v>
      </c>
      <c r="J741" s="7" t="b">
        <v>1</v>
      </c>
      <c r="K741" s="7"/>
      <c r="L741" s="7"/>
      <c r="M741" s="7"/>
      <c r="N741" s="7"/>
      <c r="O741" s="7"/>
      <c r="P741" s="7"/>
      <c r="Q741" s="7"/>
    </row>
    <row r="742" spans="1:17" ht="13.9">
      <c r="A742" s="3" t="s">
        <v>136</v>
      </c>
      <c r="B742" s="3">
        <v>4</v>
      </c>
      <c r="C742" s="3" t="s">
        <v>64</v>
      </c>
      <c r="D742" s="3">
        <v>7</v>
      </c>
      <c r="E742" s="3"/>
      <c r="F742" s="6">
        <v>40863</v>
      </c>
      <c r="G742" s="5">
        <v>11</v>
      </c>
      <c r="H742" s="3" t="s">
        <v>61</v>
      </c>
      <c r="I742" s="3" t="s">
        <v>7</v>
      </c>
      <c r="J742" s="7" t="b">
        <v>1</v>
      </c>
      <c r="K742" s="7"/>
      <c r="L742" s="7"/>
      <c r="M742" s="7"/>
      <c r="N742" s="7"/>
      <c r="O742" s="7"/>
      <c r="P742" s="7"/>
      <c r="Q742" s="7"/>
    </row>
    <row r="743" spans="1:17" ht="13.9">
      <c r="A743" s="3">
        <v>22909628</v>
      </c>
      <c r="B743" s="5">
        <v>11</v>
      </c>
      <c r="C743" s="3" t="s">
        <v>62</v>
      </c>
      <c r="D743" s="3">
        <v>1</v>
      </c>
      <c r="E743" s="3">
        <v>2</v>
      </c>
      <c r="F743" s="6">
        <v>38770</v>
      </c>
      <c r="G743" s="5">
        <v>16</v>
      </c>
      <c r="H743" s="3" t="s">
        <v>63</v>
      </c>
      <c r="I743" s="3" t="s">
        <v>4</v>
      </c>
      <c r="J743" s="7" t="b">
        <v>1</v>
      </c>
      <c r="K743" s="7"/>
      <c r="L743" s="7"/>
      <c r="M743" s="7"/>
      <c r="N743" s="7"/>
      <c r="O743" s="7"/>
      <c r="P743" s="7"/>
      <c r="Q743" s="7"/>
    </row>
    <row r="744" spans="1:17" ht="13.9">
      <c r="A744" s="3">
        <v>22913473</v>
      </c>
      <c r="B744" s="3">
        <v>7</v>
      </c>
      <c r="C744" s="3" t="s">
        <v>60</v>
      </c>
      <c r="D744" s="5">
        <v>17</v>
      </c>
      <c r="E744" s="3"/>
      <c r="F744" s="6">
        <v>40205</v>
      </c>
      <c r="G744" s="5">
        <v>12</v>
      </c>
      <c r="H744" s="3" t="s">
        <v>61</v>
      </c>
      <c r="I744" s="3" t="s">
        <v>7</v>
      </c>
      <c r="J744" s="7" t="b">
        <v>1</v>
      </c>
      <c r="K744" s="7"/>
      <c r="L744" s="7"/>
      <c r="M744" s="7"/>
      <c r="N744" s="7"/>
      <c r="O744" s="7"/>
      <c r="P744" s="7"/>
      <c r="Q744" s="7"/>
    </row>
    <row r="745" spans="1:17" ht="13.9">
      <c r="A745" s="3">
        <v>9518030</v>
      </c>
      <c r="B745" s="3">
        <v>3</v>
      </c>
      <c r="C745" s="3" t="s">
        <v>60</v>
      </c>
      <c r="D745" s="3">
        <v>9</v>
      </c>
      <c r="E745" s="3"/>
      <c r="F745" s="6">
        <v>41485</v>
      </c>
      <c r="G745" s="5">
        <v>9</v>
      </c>
      <c r="H745" s="3" t="s">
        <v>63</v>
      </c>
      <c r="I745" s="3" t="s">
        <v>7</v>
      </c>
      <c r="J745" s="7" t="b">
        <v>1</v>
      </c>
      <c r="K745" s="7"/>
      <c r="L745" s="7"/>
      <c r="M745" s="7"/>
      <c r="N745" s="7"/>
      <c r="O745" s="7"/>
      <c r="P745" s="7"/>
      <c r="Q745" s="7"/>
    </row>
    <row r="746" spans="1:17" ht="13.9">
      <c r="A746" s="5">
        <v>246611511</v>
      </c>
      <c r="B746" s="3">
        <v>8</v>
      </c>
      <c r="C746" s="3" t="s">
        <v>64</v>
      </c>
      <c r="D746" s="5">
        <v>15</v>
      </c>
      <c r="E746" s="3">
        <v>9</v>
      </c>
      <c r="F746" s="6">
        <v>39816</v>
      </c>
      <c r="G746" s="5">
        <v>13</v>
      </c>
      <c r="H746" s="3" t="s">
        <v>63</v>
      </c>
      <c r="I746" s="3" t="s">
        <v>7</v>
      </c>
      <c r="J746" s="7" t="b">
        <v>1</v>
      </c>
      <c r="K746" s="7"/>
      <c r="L746" s="7"/>
      <c r="M746" s="7"/>
      <c r="N746" s="7"/>
      <c r="O746" s="7"/>
      <c r="P746" s="7"/>
      <c r="Q746" s="7"/>
    </row>
    <row r="747" spans="1:17" ht="13.9">
      <c r="A747" s="3">
        <v>31816028</v>
      </c>
      <c r="B747" s="3">
        <v>3</v>
      </c>
      <c r="C747" s="3" t="s">
        <v>60</v>
      </c>
      <c r="D747" s="3">
        <v>9</v>
      </c>
      <c r="E747" s="3"/>
      <c r="F747" s="6">
        <v>41478</v>
      </c>
      <c r="G747" s="5">
        <v>9</v>
      </c>
      <c r="H747" s="3" t="s">
        <v>61</v>
      </c>
      <c r="I747" s="3" t="s">
        <v>7</v>
      </c>
      <c r="J747" s="7" t="b">
        <v>1</v>
      </c>
      <c r="K747" s="7"/>
      <c r="L747" s="7"/>
      <c r="M747" s="7"/>
      <c r="N747" s="7"/>
      <c r="O747" s="7"/>
      <c r="P747" s="7"/>
      <c r="Q747" s="7"/>
    </row>
    <row r="748" spans="1:17" ht="13.9">
      <c r="A748" s="3">
        <v>22920103</v>
      </c>
      <c r="B748" s="3">
        <v>2</v>
      </c>
      <c r="C748" s="3" t="s">
        <v>60</v>
      </c>
      <c r="D748" s="3">
        <v>9</v>
      </c>
      <c r="E748" s="3"/>
      <c r="F748" s="6">
        <v>42195</v>
      </c>
      <c r="G748" s="5">
        <v>7</v>
      </c>
      <c r="H748" s="3" t="s">
        <v>63</v>
      </c>
      <c r="I748" s="3" t="s">
        <v>7</v>
      </c>
      <c r="J748" s="7" t="b">
        <v>1</v>
      </c>
      <c r="K748" s="7"/>
      <c r="L748" s="7"/>
      <c r="M748" s="7"/>
      <c r="N748" s="7"/>
      <c r="O748" s="7"/>
      <c r="P748" s="7"/>
      <c r="Q748" s="7"/>
    </row>
    <row r="749" spans="1:17" ht="13.9">
      <c r="A749" s="3">
        <v>28115002</v>
      </c>
      <c r="B749" s="3">
        <v>8</v>
      </c>
      <c r="C749" s="3" t="s">
        <v>60</v>
      </c>
      <c r="D749" s="3">
        <v>7</v>
      </c>
      <c r="E749" s="3"/>
      <c r="F749" s="6">
        <v>39845</v>
      </c>
      <c r="G749" s="5">
        <v>13</v>
      </c>
      <c r="H749" s="3" t="s">
        <v>61</v>
      </c>
      <c r="I749" s="3" t="s">
        <v>7</v>
      </c>
      <c r="J749" s="7" t="b">
        <v>1</v>
      </c>
      <c r="K749" s="7"/>
      <c r="L749" s="7"/>
      <c r="M749" s="7"/>
      <c r="N749" s="7"/>
      <c r="O749" s="7"/>
      <c r="P749" s="7"/>
      <c r="Q749" s="7"/>
    </row>
    <row r="750" spans="1:17" ht="13.9">
      <c r="A750" s="3">
        <v>36322029</v>
      </c>
      <c r="B750" s="3">
        <v>1</v>
      </c>
      <c r="C750" s="3" t="s">
        <v>60</v>
      </c>
      <c r="D750" s="3">
        <v>8</v>
      </c>
      <c r="E750" s="3">
        <v>9</v>
      </c>
      <c r="F750" s="6">
        <v>42186</v>
      </c>
      <c r="G750" s="5">
        <v>7</v>
      </c>
      <c r="H750" s="3" t="s">
        <v>63</v>
      </c>
      <c r="I750" s="3" t="s">
        <v>8</v>
      </c>
      <c r="J750" s="7" t="b">
        <v>1</v>
      </c>
      <c r="K750" s="7"/>
      <c r="L750" s="7"/>
      <c r="M750" s="7"/>
      <c r="N750" s="7"/>
      <c r="O750" s="7"/>
      <c r="P750" s="7"/>
      <c r="Q750" s="7"/>
    </row>
    <row r="751" spans="1:17" ht="13.9">
      <c r="A751" s="5">
        <v>247411049</v>
      </c>
      <c r="B751" s="5">
        <v>11</v>
      </c>
      <c r="C751" s="3" t="s">
        <v>64</v>
      </c>
      <c r="D751" s="5">
        <v>17</v>
      </c>
      <c r="E751" s="3"/>
      <c r="F751" s="6">
        <v>38657</v>
      </c>
      <c r="G751" s="5">
        <v>17</v>
      </c>
      <c r="H751" s="3" t="s">
        <v>63</v>
      </c>
      <c r="I751" s="3" t="s">
        <v>8</v>
      </c>
      <c r="J751" s="7" t="b">
        <v>1</v>
      </c>
      <c r="K751" s="7"/>
      <c r="L751" s="7"/>
      <c r="M751" s="7"/>
      <c r="N751" s="7"/>
      <c r="O751" s="7"/>
      <c r="P751" s="7"/>
      <c r="Q751" s="7"/>
    </row>
    <row r="752" spans="1:17" ht="13.9">
      <c r="A752" s="3">
        <v>7922008</v>
      </c>
      <c r="B752" s="3">
        <v>7</v>
      </c>
      <c r="C752" s="3" t="s">
        <v>65</v>
      </c>
      <c r="D752" s="3">
        <v>7</v>
      </c>
      <c r="E752" s="3"/>
      <c r="F752" s="6">
        <v>40205</v>
      </c>
      <c r="G752" s="5">
        <v>12</v>
      </c>
      <c r="H752" s="3" t="s">
        <v>63</v>
      </c>
      <c r="I752" s="3" t="s">
        <v>7</v>
      </c>
      <c r="J752" s="7" t="b">
        <v>1</v>
      </c>
      <c r="K752" s="7"/>
      <c r="L752" s="7"/>
      <c r="M752" s="7"/>
      <c r="N752" s="7"/>
      <c r="O752" s="7"/>
      <c r="P752" s="7"/>
      <c r="Q752" s="7"/>
    </row>
    <row r="753" spans="1:17" ht="13.9">
      <c r="A753" s="3">
        <v>22917018</v>
      </c>
      <c r="B753" s="3">
        <v>3</v>
      </c>
      <c r="C753" s="3" t="s">
        <v>60</v>
      </c>
      <c r="D753" s="5">
        <v>17</v>
      </c>
      <c r="E753" s="3">
        <v>9</v>
      </c>
      <c r="F753" s="6">
        <v>41684</v>
      </c>
      <c r="G753" s="5">
        <v>8</v>
      </c>
      <c r="H753" s="3" t="s">
        <v>63</v>
      </c>
      <c r="I753" s="3" t="s">
        <v>7</v>
      </c>
      <c r="J753" s="7" t="b">
        <v>1</v>
      </c>
      <c r="K753" s="7"/>
      <c r="L753" s="7"/>
      <c r="M753" s="7"/>
      <c r="N753" s="7"/>
      <c r="O753" s="7"/>
      <c r="P753" s="7"/>
      <c r="Q753" s="7"/>
    </row>
    <row r="754" spans="1:17" ht="13.9">
      <c r="A754" s="3">
        <v>22922126</v>
      </c>
      <c r="B754" s="3" t="s">
        <v>41</v>
      </c>
      <c r="C754" s="3" t="s">
        <v>60</v>
      </c>
      <c r="D754" s="3">
        <v>9</v>
      </c>
      <c r="E754" s="3"/>
      <c r="F754" s="6">
        <v>42927</v>
      </c>
      <c r="G754" s="5">
        <v>5</v>
      </c>
      <c r="H754" s="3" t="s">
        <v>63</v>
      </c>
      <c r="I754" s="3" t="s">
        <v>4</v>
      </c>
      <c r="J754" s="7" t="b">
        <v>1</v>
      </c>
      <c r="K754" s="7"/>
      <c r="L754" s="7"/>
      <c r="M754" s="7"/>
      <c r="N754" s="7"/>
      <c r="O754" s="7"/>
      <c r="P754" s="7"/>
      <c r="Q754" s="7"/>
    </row>
    <row r="755" spans="1:17" ht="13.9">
      <c r="A755" s="3">
        <v>22120012</v>
      </c>
      <c r="B755" s="3">
        <v>3</v>
      </c>
      <c r="C755" s="3" t="s">
        <v>60</v>
      </c>
      <c r="D755" s="3">
        <v>9</v>
      </c>
      <c r="E755" s="3"/>
      <c r="F755" s="6">
        <v>41469</v>
      </c>
      <c r="G755" s="5">
        <v>9</v>
      </c>
      <c r="H755" s="3" t="s">
        <v>63</v>
      </c>
      <c r="I755" s="3" t="s">
        <v>7</v>
      </c>
      <c r="J755" s="7" t="b">
        <v>1</v>
      </c>
      <c r="K755" s="7"/>
      <c r="L755" s="7"/>
      <c r="M755" s="7"/>
      <c r="N755" s="7"/>
      <c r="O755" s="7"/>
      <c r="P755" s="7"/>
      <c r="Q755" s="7"/>
    </row>
    <row r="756" spans="1:17" ht="13.9">
      <c r="A756" s="3" t="s">
        <v>137</v>
      </c>
      <c r="B756" s="5">
        <v>12</v>
      </c>
      <c r="C756" s="3" t="s">
        <v>60</v>
      </c>
      <c r="D756" s="3">
        <v>7</v>
      </c>
      <c r="E756" s="3"/>
      <c r="F756" s="6">
        <v>38387</v>
      </c>
      <c r="G756" s="5">
        <v>17</v>
      </c>
      <c r="H756" s="3" t="s">
        <v>63</v>
      </c>
      <c r="I756" s="3" t="s">
        <v>7</v>
      </c>
      <c r="J756" s="7" t="b">
        <v>1</v>
      </c>
      <c r="K756" s="7"/>
      <c r="L756" s="7"/>
      <c r="M756" s="7"/>
      <c r="N756" s="7"/>
      <c r="O756" s="7"/>
      <c r="P756" s="7"/>
      <c r="Q756" s="7"/>
    </row>
    <row r="757" spans="1:17" ht="13.9">
      <c r="A757" s="3">
        <v>7221147</v>
      </c>
      <c r="B757" s="3">
        <v>3</v>
      </c>
      <c r="C757" s="3" t="s">
        <v>60</v>
      </c>
      <c r="D757" s="5">
        <v>17</v>
      </c>
      <c r="E757" s="3"/>
      <c r="F757" s="6">
        <v>41320</v>
      </c>
      <c r="G757" s="5">
        <v>9</v>
      </c>
      <c r="H757" s="3" t="s">
        <v>63</v>
      </c>
      <c r="I757" s="3" t="s">
        <v>7</v>
      </c>
      <c r="J757" s="7" t="b">
        <v>1</v>
      </c>
      <c r="K757" s="7"/>
      <c r="L757" s="7"/>
      <c r="M757" s="7"/>
      <c r="N757" s="7"/>
      <c r="O757" s="7"/>
      <c r="P757" s="7"/>
      <c r="Q757" s="7"/>
    </row>
    <row r="758" spans="1:17" ht="13.9">
      <c r="A758" s="3">
        <v>24915030</v>
      </c>
      <c r="B758" s="3">
        <v>6</v>
      </c>
      <c r="C758" s="3" t="s">
        <v>62</v>
      </c>
      <c r="D758" s="5">
        <v>11</v>
      </c>
      <c r="E758" s="3">
        <v>9</v>
      </c>
      <c r="F758" s="6">
        <v>40197</v>
      </c>
      <c r="G758" s="5">
        <v>12</v>
      </c>
      <c r="H758" s="3" t="s">
        <v>63</v>
      </c>
      <c r="I758" s="3" t="s">
        <v>6</v>
      </c>
      <c r="J758" s="7" t="b">
        <v>1</v>
      </c>
      <c r="K758" s="7"/>
      <c r="L758" s="7"/>
      <c r="M758" s="7"/>
      <c r="N758" s="7"/>
      <c r="O758" s="7"/>
      <c r="P758" s="7"/>
      <c r="Q758" s="7"/>
    </row>
    <row r="759" spans="1:17" ht="13.9">
      <c r="A759" s="3">
        <v>22111528</v>
      </c>
      <c r="B759" s="5">
        <v>12</v>
      </c>
      <c r="C759" s="3" t="s">
        <v>60</v>
      </c>
      <c r="D759" s="3">
        <v>7</v>
      </c>
      <c r="E759" s="3"/>
      <c r="F759" s="6">
        <v>38321</v>
      </c>
      <c r="G759" s="5">
        <v>18</v>
      </c>
      <c r="H759" s="3" t="s">
        <v>63</v>
      </c>
      <c r="I759" s="3" t="s">
        <v>7</v>
      </c>
      <c r="J759" s="7" t="b">
        <v>1</v>
      </c>
      <c r="K759" s="7"/>
      <c r="L759" s="7"/>
      <c r="M759" s="7"/>
      <c r="N759" s="7"/>
      <c r="O759" s="7"/>
      <c r="P759" s="7"/>
      <c r="Q759" s="7"/>
    </row>
    <row r="760" spans="1:17" ht="13.9">
      <c r="A760" s="3">
        <v>62910010</v>
      </c>
      <c r="B760" s="5">
        <v>11</v>
      </c>
      <c r="C760" s="3" t="s">
        <v>60</v>
      </c>
      <c r="D760" s="3">
        <v>7</v>
      </c>
      <c r="E760" s="3"/>
      <c r="F760" s="6">
        <v>38800</v>
      </c>
      <c r="G760" s="5">
        <v>16</v>
      </c>
      <c r="H760" s="3" t="s">
        <v>63</v>
      </c>
      <c r="I760" s="3" t="s">
        <v>8</v>
      </c>
      <c r="J760" s="7" t="b">
        <v>1</v>
      </c>
      <c r="K760" s="7"/>
      <c r="L760" s="7"/>
      <c r="M760" s="7"/>
      <c r="N760" s="7"/>
      <c r="O760" s="7"/>
      <c r="P760" s="7"/>
      <c r="Q760" s="7"/>
    </row>
    <row r="761" spans="1:17" ht="13.9">
      <c r="A761" s="3">
        <v>15116024</v>
      </c>
      <c r="B761" s="3">
        <v>5</v>
      </c>
      <c r="C761" s="3" t="s">
        <v>60</v>
      </c>
      <c r="D761" s="3">
        <v>7</v>
      </c>
      <c r="E761" s="3">
        <v>9</v>
      </c>
      <c r="F761" s="6">
        <v>40820</v>
      </c>
      <c r="G761" s="5">
        <v>11</v>
      </c>
      <c r="H761" s="3" t="s">
        <v>61</v>
      </c>
      <c r="I761" s="3" t="s">
        <v>7</v>
      </c>
      <c r="J761" s="7" t="b">
        <v>1</v>
      </c>
      <c r="K761" s="7"/>
      <c r="L761" s="7"/>
      <c r="M761" s="7"/>
      <c r="N761" s="7"/>
      <c r="O761" s="7"/>
      <c r="P761" s="7"/>
      <c r="Q761" s="7"/>
    </row>
    <row r="762" spans="1:17" ht="13.9">
      <c r="A762" s="5">
        <v>539550273</v>
      </c>
      <c r="B762" s="3">
        <v>8</v>
      </c>
      <c r="C762" s="3" t="s">
        <v>64</v>
      </c>
      <c r="D762" s="3">
        <v>2</v>
      </c>
      <c r="E762" s="3"/>
      <c r="F762" s="6">
        <v>39809</v>
      </c>
      <c r="G762" s="5">
        <v>13</v>
      </c>
      <c r="H762" s="3" t="s">
        <v>63</v>
      </c>
      <c r="I762" s="3" t="s">
        <v>4</v>
      </c>
      <c r="J762" s="7" t="b">
        <v>1</v>
      </c>
      <c r="K762" s="7"/>
      <c r="L762" s="7"/>
      <c r="M762" s="7"/>
      <c r="N762" s="7"/>
      <c r="O762" s="7"/>
      <c r="P762" s="7"/>
      <c r="Q762" s="7"/>
    </row>
    <row r="763" spans="1:17" ht="13.9">
      <c r="A763" s="3">
        <v>22915494</v>
      </c>
      <c r="B763" s="3">
        <v>3</v>
      </c>
      <c r="C763" s="3" t="s">
        <v>60</v>
      </c>
      <c r="D763" s="5">
        <v>10</v>
      </c>
      <c r="E763" s="3">
        <v>9</v>
      </c>
      <c r="F763" s="6">
        <v>41389</v>
      </c>
      <c r="G763" s="5">
        <v>9</v>
      </c>
      <c r="H763" s="3" t="s">
        <v>63</v>
      </c>
      <c r="I763" s="3" t="s">
        <v>7</v>
      </c>
      <c r="J763" s="7" t="b">
        <v>1</v>
      </c>
      <c r="K763" s="7"/>
      <c r="L763" s="7"/>
      <c r="M763" s="7"/>
      <c r="N763" s="7"/>
      <c r="O763" s="7"/>
      <c r="P763" s="7"/>
      <c r="Q763" s="7"/>
    </row>
    <row r="764" spans="1:17" ht="13.9">
      <c r="A764" s="3">
        <v>23317063</v>
      </c>
      <c r="B764" s="3">
        <v>6</v>
      </c>
      <c r="C764" s="3" t="s">
        <v>60</v>
      </c>
      <c r="D764" s="5">
        <v>17</v>
      </c>
      <c r="E764" s="3">
        <v>7</v>
      </c>
      <c r="F764" s="6">
        <v>40729</v>
      </c>
      <c r="G764" s="5">
        <v>11</v>
      </c>
      <c r="H764" s="3" t="s">
        <v>63</v>
      </c>
      <c r="I764" s="3" t="s">
        <v>6</v>
      </c>
      <c r="J764" s="7" t="b">
        <v>1</v>
      </c>
      <c r="K764" s="7"/>
      <c r="L764" s="7"/>
      <c r="M764" s="7"/>
      <c r="N764" s="7"/>
      <c r="O764" s="7"/>
      <c r="P764" s="7"/>
      <c r="Q764" s="7"/>
    </row>
    <row r="765" spans="1:17" ht="13.9">
      <c r="A765" s="5">
        <v>857514069</v>
      </c>
      <c r="B765" s="3">
        <v>7</v>
      </c>
      <c r="C765" s="3" t="s">
        <v>60</v>
      </c>
      <c r="D765" s="3">
        <v>6</v>
      </c>
      <c r="E765" s="3"/>
      <c r="F765" s="6">
        <v>40086</v>
      </c>
      <c r="G765" s="5">
        <v>13</v>
      </c>
      <c r="H765" s="3" t="s">
        <v>63</v>
      </c>
      <c r="I765" s="3" t="s">
        <v>7</v>
      </c>
      <c r="J765" s="7" t="b">
        <v>1</v>
      </c>
      <c r="K765" s="7"/>
      <c r="L765" s="7"/>
      <c r="M765" s="7"/>
      <c r="N765" s="7"/>
      <c r="O765" s="7"/>
      <c r="P765" s="7"/>
      <c r="Q765" s="7"/>
    </row>
    <row r="766" spans="1:17" ht="13.9">
      <c r="A766" s="3">
        <v>24912058</v>
      </c>
      <c r="B766" s="5">
        <v>10</v>
      </c>
      <c r="C766" s="3" t="s">
        <v>60</v>
      </c>
      <c r="D766" s="3">
        <v>7</v>
      </c>
      <c r="E766" s="3"/>
      <c r="F766" s="6">
        <v>39024</v>
      </c>
      <c r="G766" s="5">
        <v>16</v>
      </c>
      <c r="H766" s="3" t="s">
        <v>61</v>
      </c>
      <c r="I766" s="3" t="s">
        <v>4</v>
      </c>
      <c r="J766" s="7" t="b">
        <v>1</v>
      </c>
      <c r="K766" s="7"/>
      <c r="L766" s="7"/>
      <c r="M766" s="7"/>
      <c r="N766" s="7"/>
      <c r="O766" s="7"/>
      <c r="P766" s="7"/>
      <c r="Q766" s="7"/>
    </row>
    <row r="767" spans="1:17" ht="13.9">
      <c r="A767" s="3">
        <v>14917004</v>
      </c>
      <c r="B767" s="3">
        <v>6</v>
      </c>
      <c r="C767" s="3" t="s">
        <v>60</v>
      </c>
      <c r="D767" s="3">
        <v>7</v>
      </c>
      <c r="E767" s="3"/>
      <c r="F767" s="6">
        <v>40429</v>
      </c>
      <c r="G767" s="5">
        <v>12</v>
      </c>
      <c r="H767" s="3" t="s">
        <v>63</v>
      </c>
      <c r="I767" s="3" t="s">
        <v>8</v>
      </c>
      <c r="J767" s="7" t="b">
        <v>1</v>
      </c>
      <c r="K767" s="7"/>
      <c r="L767" s="7"/>
      <c r="M767" s="7"/>
      <c r="N767" s="7"/>
      <c r="O767" s="7"/>
      <c r="P767" s="7"/>
      <c r="Q767" s="7"/>
    </row>
    <row r="768" spans="1:17" ht="13.9">
      <c r="A768" s="3">
        <v>18916028</v>
      </c>
      <c r="B768" s="3">
        <v>7</v>
      </c>
      <c r="C768" s="3" t="s">
        <v>60</v>
      </c>
      <c r="D768" s="3">
        <v>7</v>
      </c>
      <c r="E768" s="3"/>
      <c r="F768" s="6">
        <v>40222</v>
      </c>
      <c r="G768" s="5">
        <v>12</v>
      </c>
      <c r="H768" s="3" t="s">
        <v>61</v>
      </c>
      <c r="I768" s="3" t="s">
        <v>8</v>
      </c>
      <c r="J768" s="7" t="b">
        <v>1</v>
      </c>
      <c r="K768" s="7"/>
      <c r="L768" s="7"/>
      <c r="M768" s="7"/>
      <c r="N768" s="7"/>
      <c r="O768" s="7"/>
      <c r="P768" s="7"/>
      <c r="Q768" s="7"/>
    </row>
    <row r="769" spans="1:17" ht="13.9">
      <c r="A769" s="3">
        <v>22914324</v>
      </c>
      <c r="B769" s="3">
        <v>6</v>
      </c>
      <c r="C769" s="3" t="s">
        <v>60</v>
      </c>
      <c r="D769" s="5">
        <v>17</v>
      </c>
      <c r="E769" s="3">
        <v>9</v>
      </c>
      <c r="F769" s="6">
        <v>40711</v>
      </c>
      <c r="G769" s="5">
        <v>11</v>
      </c>
      <c r="H769" s="3" t="s">
        <v>63</v>
      </c>
      <c r="I769" s="3" t="s">
        <v>6</v>
      </c>
      <c r="J769" s="7" t="b">
        <v>1</v>
      </c>
      <c r="K769" s="7"/>
      <c r="L769" s="7"/>
      <c r="M769" s="7"/>
      <c r="N769" s="7"/>
      <c r="O769" s="7"/>
      <c r="P769" s="7"/>
      <c r="Q769" s="7"/>
    </row>
    <row r="770" spans="1:17" ht="13.9">
      <c r="A770" s="3" t="s">
        <v>138</v>
      </c>
      <c r="B770" s="3">
        <v>5</v>
      </c>
      <c r="C770" s="3" t="s">
        <v>60</v>
      </c>
      <c r="D770" s="5">
        <v>15</v>
      </c>
      <c r="E770" s="3">
        <v>9</v>
      </c>
      <c r="F770" s="6">
        <v>40776</v>
      </c>
      <c r="G770" s="5">
        <v>11</v>
      </c>
      <c r="H770" s="3" t="s">
        <v>63</v>
      </c>
      <c r="I770" s="3" t="s">
        <v>7</v>
      </c>
      <c r="J770" s="7" t="b">
        <v>1</v>
      </c>
      <c r="K770" s="7"/>
      <c r="L770" s="7"/>
      <c r="M770" s="7"/>
      <c r="N770" s="7"/>
      <c r="O770" s="7"/>
      <c r="P770" s="7"/>
      <c r="Q770" s="7"/>
    </row>
    <row r="771" spans="1:17" ht="13.9">
      <c r="A771" s="3">
        <v>22910764</v>
      </c>
      <c r="B771" s="5">
        <v>10</v>
      </c>
      <c r="C771" s="3" t="s">
        <v>60</v>
      </c>
      <c r="D771" s="3">
        <v>5</v>
      </c>
      <c r="E771" s="3">
        <v>2</v>
      </c>
      <c r="F771" s="6">
        <v>39058</v>
      </c>
      <c r="G771" s="5">
        <v>15</v>
      </c>
      <c r="H771" s="3" t="s">
        <v>61</v>
      </c>
      <c r="I771" s="3" t="s">
        <v>8</v>
      </c>
      <c r="J771" s="7" t="b">
        <v>1</v>
      </c>
      <c r="K771" s="7"/>
      <c r="L771" s="7"/>
      <c r="M771" s="7"/>
      <c r="N771" s="7"/>
      <c r="O771" s="7"/>
      <c r="P771" s="7"/>
      <c r="Q771" s="7"/>
    </row>
    <row r="772" spans="1:17" ht="13.9">
      <c r="A772" s="5">
        <v>919712030</v>
      </c>
      <c r="B772" s="5">
        <v>10</v>
      </c>
      <c r="C772" s="3" t="s">
        <v>60</v>
      </c>
      <c r="D772" s="3">
        <v>7</v>
      </c>
      <c r="E772" s="3"/>
      <c r="F772" s="6">
        <v>38897</v>
      </c>
      <c r="G772" s="5">
        <v>16</v>
      </c>
      <c r="H772" s="3" t="s">
        <v>61</v>
      </c>
      <c r="I772" s="3" t="s">
        <v>7</v>
      </c>
      <c r="J772" s="7" t="b">
        <v>1</v>
      </c>
      <c r="K772" s="7"/>
      <c r="L772" s="7"/>
      <c r="M772" s="7"/>
      <c r="N772" s="7"/>
      <c r="O772" s="7"/>
      <c r="P772" s="7"/>
      <c r="Q772" s="7"/>
    </row>
    <row r="773" spans="1:17" ht="13.9">
      <c r="A773" s="3">
        <v>27015092</v>
      </c>
      <c r="B773" s="3">
        <v>8</v>
      </c>
      <c r="C773" s="3" t="s">
        <v>65</v>
      </c>
      <c r="D773" s="5">
        <v>10</v>
      </c>
      <c r="E773" s="3"/>
      <c r="F773" s="6">
        <v>39717</v>
      </c>
      <c r="G773" s="5">
        <v>14</v>
      </c>
      <c r="H773" s="3" t="s">
        <v>63</v>
      </c>
      <c r="I773" s="3" t="s">
        <v>4</v>
      </c>
      <c r="J773" s="7" t="b">
        <v>1</v>
      </c>
      <c r="K773" s="7"/>
      <c r="L773" s="7"/>
      <c r="M773" s="7"/>
      <c r="N773" s="7"/>
      <c r="O773" s="7"/>
      <c r="P773" s="7"/>
      <c r="Q773" s="7"/>
    </row>
    <row r="774" spans="1:17" ht="13.9">
      <c r="A774" s="3">
        <v>22904678</v>
      </c>
      <c r="B774" s="5">
        <v>13</v>
      </c>
      <c r="C774" s="3" t="s">
        <v>62</v>
      </c>
      <c r="D774" s="3">
        <v>1</v>
      </c>
      <c r="E774" s="3">
        <v>9</v>
      </c>
      <c r="F774" s="6">
        <v>36978</v>
      </c>
      <c r="G774" s="5">
        <v>21</v>
      </c>
      <c r="H774" s="3" t="s">
        <v>61</v>
      </c>
      <c r="I774" s="3" t="s">
        <v>7</v>
      </c>
      <c r="J774" s="7" t="b">
        <v>1</v>
      </c>
      <c r="K774" s="7"/>
      <c r="L774" s="7"/>
      <c r="M774" s="7"/>
      <c r="N774" s="7"/>
      <c r="O774" s="7"/>
      <c r="P774" s="7"/>
      <c r="Q774" s="7"/>
    </row>
    <row r="775" spans="1:17" ht="13.9">
      <c r="A775" s="3">
        <v>14912012</v>
      </c>
      <c r="B775" s="5">
        <v>10</v>
      </c>
      <c r="C775" s="3" t="s">
        <v>60</v>
      </c>
      <c r="D775" s="3">
        <v>7</v>
      </c>
      <c r="E775" s="3"/>
      <c r="F775" s="6">
        <v>38937</v>
      </c>
      <c r="G775" s="5">
        <v>16</v>
      </c>
      <c r="H775" s="3" t="s">
        <v>63</v>
      </c>
      <c r="I775" s="3" t="s">
        <v>6</v>
      </c>
      <c r="J775" s="7" t="b">
        <v>1</v>
      </c>
      <c r="K775" s="7"/>
      <c r="L775" s="7"/>
      <c r="M775" s="7"/>
      <c r="N775" s="7"/>
      <c r="O775" s="7"/>
      <c r="P775" s="7"/>
      <c r="Q775" s="7"/>
    </row>
    <row r="776" spans="1:17" ht="13.9">
      <c r="A776" s="3">
        <v>8313154</v>
      </c>
      <c r="B776" s="5">
        <v>10</v>
      </c>
      <c r="C776" s="3" t="s">
        <v>60</v>
      </c>
      <c r="D776" s="3">
        <v>7</v>
      </c>
      <c r="E776" s="3"/>
      <c r="F776" s="6">
        <v>38955</v>
      </c>
      <c r="G776" s="5">
        <v>16</v>
      </c>
      <c r="H776" s="3" t="s">
        <v>61</v>
      </c>
      <c r="I776" s="3" t="s">
        <v>6</v>
      </c>
      <c r="J776" s="7" t="b">
        <v>1</v>
      </c>
      <c r="K776" s="7"/>
      <c r="L776" s="7"/>
      <c r="M776" s="7"/>
      <c r="N776" s="7"/>
      <c r="O776" s="7"/>
      <c r="P776" s="7"/>
      <c r="Q776" s="7"/>
    </row>
    <row r="777" spans="1:17" ht="13.9">
      <c r="A777" s="3">
        <v>9621504</v>
      </c>
      <c r="B777" s="3" t="s">
        <v>41</v>
      </c>
      <c r="C777" s="3" t="s">
        <v>60</v>
      </c>
      <c r="D777" s="3">
        <v>9</v>
      </c>
      <c r="E777" s="3"/>
      <c r="F777" s="6">
        <v>42609</v>
      </c>
      <c r="G777" s="5">
        <v>6</v>
      </c>
      <c r="H777" s="3" t="s">
        <v>63</v>
      </c>
      <c r="I777" s="3" t="s">
        <v>6</v>
      </c>
      <c r="J777" s="7" t="b">
        <v>1</v>
      </c>
      <c r="K777" s="7"/>
      <c r="L777" s="7"/>
      <c r="M777" s="7"/>
      <c r="N777" s="7"/>
      <c r="O777" s="7"/>
      <c r="P777" s="7"/>
      <c r="Q777" s="7"/>
    </row>
    <row r="778" spans="1:17" ht="13.9">
      <c r="A778" s="3">
        <v>31012077</v>
      </c>
      <c r="B778" s="5">
        <v>11</v>
      </c>
      <c r="C778" s="3" t="s">
        <v>60</v>
      </c>
      <c r="D778" s="3">
        <v>7</v>
      </c>
      <c r="E778" s="3"/>
      <c r="F778" s="6">
        <v>38870</v>
      </c>
      <c r="G778" s="5">
        <v>16</v>
      </c>
      <c r="H778" s="3" t="s">
        <v>61</v>
      </c>
      <c r="I778" s="3" t="s">
        <v>8</v>
      </c>
      <c r="J778" s="7" t="b">
        <v>1</v>
      </c>
      <c r="K778" s="7"/>
      <c r="L778" s="7"/>
      <c r="M778" s="7"/>
      <c r="N778" s="7"/>
      <c r="O778" s="7"/>
      <c r="P778" s="7"/>
      <c r="Q778" s="7"/>
    </row>
    <row r="779" spans="1:17" ht="13.9">
      <c r="A779" s="3">
        <v>22910747</v>
      </c>
      <c r="B779" s="5">
        <v>10</v>
      </c>
      <c r="C779" s="3" t="s">
        <v>60</v>
      </c>
      <c r="D779" s="3">
        <v>7</v>
      </c>
      <c r="E779" s="3">
        <v>9</v>
      </c>
      <c r="F779" s="6">
        <v>38826</v>
      </c>
      <c r="G779" s="5">
        <v>16</v>
      </c>
      <c r="H779" s="3" t="s">
        <v>63</v>
      </c>
      <c r="I779" s="3" t="s">
        <v>7</v>
      </c>
      <c r="J779" s="7" t="b">
        <v>1</v>
      </c>
      <c r="K779" s="7"/>
      <c r="L779" s="7"/>
      <c r="M779" s="7"/>
      <c r="N779" s="7"/>
      <c r="O779" s="7"/>
      <c r="P779" s="7"/>
      <c r="Q779" s="7"/>
    </row>
    <row r="780" spans="1:17" ht="13.9">
      <c r="A780" s="5">
        <v>901418441</v>
      </c>
      <c r="B780" s="3">
        <v>2</v>
      </c>
      <c r="C780" s="3" t="s">
        <v>60</v>
      </c>
      <c r="D780" s="3">
        <v>8</v>
      </c>
      <c r="E780" s="3">
        <v>9</v>
      </c>
      <c r="F780" s="6">
        <v>42054</v>
      </c>
      <c r="G780" s="5">
        <v>7</v>
      </c>
      <c r="H780" s="3" t="s">
        <v>61</v>
      </c>
      <c r="I780" s="3" t="s">
        <v>7</v>
      </c>
      <c r="J780" s="7" t="b">
        <v>1</v>
      </c>
      <c r="K780" s="7"/>
      <c r="L780" s="7"/>
      <c r="M780" s="7"/>
      <c r="N780" s="7"/>
      <c r="O780" s="7"/>
      <c r="P780" s="7"/>
      <c r="Q780" s="7"/>
    </row>
    <row r="781" spans="1:17" ht="13.9">
      <c r="A781" s="3">
        <v>24116008</v>
      </c>
      <c r="B781" s="3">
        <v>6</v>
      </c>
      <c r="C781" s="3" t="s">
        <v>60</v>
      </c>
      <c r="D781" s="3">
        <v>5</v>
      </c>
      <c r="E781" s="3"/>
      <c r="F781" s="6">
        <v>40623</v>
      </c>
      <c r="G781" s="5">
        <v>11</v>
      </c>
      <c r="H781" s="3" t="s">
        <v>63</v>
      </c>
      <c r="I781" s="3" t="s">
        <v>4</v>
      </c>
      <c r="J781" s="7" t="b">
        <v>1</v>
      </c>
      <c r="K781" s="7"/>
      <c r="L781" s="7"/>
      <c r="M781" s="7"/>
      <c r="N781" s="7"/>
      <c r="O781" s="7"/>
      <c r="P781" s="7"/>
      <c r="Q781" s="7"/>
    </row>
    <row r="782" spans="1:17" ht="13.9">
      <c r="A782" s="3">
        <v>22916297</v>
      </c>
      <c r="B782" s="3">
        <v>3</v>
      </c>
      <c r="C782" s="3" t="s">
        <v>60</v>
      </c>
      <c r="D782" s="3">
        <v>9</v>
      </c>
      <c r="E782" s="3"/>
      <c r="F782" s="6">
        <v>41645</v>
      </c>
      <c r="G782" s="5">
        <v>8</v>
      </c>
      <c r="H782" s="3" t="s">
        <v>63</v>
      </c>
      <c r="I782" s="3" t="s">
        <v>6</v>
      </c>
      <c r="J782" s="7" t="b">
        <v>1</v>
      </c>
      <c r="K782" s="7"/>
      <c r="L782" s="7"/>
      <c r="M782" s="7"/>
      <c r="N782" s="7"/>
      <c r="O782" s="7"/>
      <c r="P782" s="7"/>
      <c r="Q782" s="7"/>
    </row>
    <row r="783" spans="1:17" ht="13.9">
      <c r="A783" s="3">
        <v>9519101</v>
      </c>
      <c r="B783" s="3">
        <v>4</v>
      </c>
      <c r="C783" s="3" t="s">
        <v>60</v>
      </c>
      <c r="D783" s="3">
        <v>9</v>
      </c>
      <c r="E783" s="3"/>
      <c r="F783" s="6">
        <v>41344</v>
      </c>
      <c r="G783" s="5">
        <v>9</v>
      </c>
      <c r="H783" s="3" t="s">
        <v>63</v>
      </c>
      <c r="I783" s="3" t="s">
        <v>7</v>
      </c>
      <c r="J783" s="7" t="b">
        <v>1</v>
      </c>
      <c r="K783" s="7"/>
      <c r="L783" s="7"/>
      <c r="M783" s="7"/>
      <c r="N783" s="7"/>
      <c r="O783" s="7"/>
      <c r="P783" s="7"/>
      <c r="Q783" s="7"/>
    </row>
    <row r="784" spans="1:17" ht="13.9">
      <c r="A784" s="3">
        <v>13717014</v>
      </c>
      <c r="B784" s="3">
        <v>6</v>
      </c>
      <c r="C784" s="3" t="s">
        <v>60</v>
      </c>
      <c r="D784" s="3">
        <v>7</v>
      </c>
      <c r="E784" s="3">
        <v>9</v>
      </c>
      <c r="F784" s="6">
        <v>40736</v>
      </c>
      <c r="G784" s="5">
        <v>11</v>
      </c>
      <c r="H784" s="3" t="s">
        <v>63</v>
      </c>
      <c r="I784" s="3" t="s">
        <v>6</v>
      </c>
      <c r="J784" s="7" t="b">
        <v>1</v>
      </c>
      <c r="K784" s="7"/>
      <c r="L784" s="7"/>
      <c r="M784" s="7"/>
      <c r="N784" s="7"/>
      <c r="O784" s="7"/>
      <c r="P784" s="7"/>
      <c r="Q784" s="7"/>
    </row>
    <row r="785" spans="1:17" ht="13.9">
      <c r="A785" s="3">
        <v>32315045</v>
      </c>
      <c r="B785" s="3">
        <v>8</v>
      </c>
      <c r="C785" s="3" t="s">
        <v>60</v>
      </c>
      <c r="D785" s="5">
        <v>17</v>
      </c>
      <c r="E785" s="3"/>
      <c r="F785" s="6">
        <v>39875</v>
      </c>
      <c r="G785" s="5">
        <v>13</v>
      </c>
      <c r="H785" s="3" t="s">
        <v>61</v>
      </c>
      <c r="I785" s="3" t="s">
        <v>7</v>
      </c>
      <c r="J785" s="7" t="b">
        <v>1</v>
      </c>
      <c r="K785" s="7"/>
      <c r="L785" s="7"/>
      <c r="M785" s="7"/>
      <c r="N785" s="7"/>
      <c r="O785" s="7"/>
      <c r="P785" s="7"/>
      <c r="Q785" s="7"/>
    </row>
    <row r="786" spans="1:17" ht="13.9">
      <c r="A786" s="3" t="s">
        <v>139</v>
      </c>
      <c r="B786" s="3">
        <v>5</v>
      </c>
      <c r="C786" s="3" t="s">
        <v>60</v>
      </c>
      <c r="D786" s="5">
        <v>17</v>
      </c>
      <c r="E786" s="3"/>
      <c r="F786" s="9">
        <v>40687</v>
      </c>
      <c r="G786" s="5">
        <v>11</v>
      </c>
      <c r="H786" s="3" t="s">
        <v>63</v>
      </c>
      <c r="I786" s="3" t="s">
        <v>4</v>
      </c>
      <c r="J786" s="7" t="b">
        <v>1</v>
      </c>
      <c r="K786" s="7"/>
      <c r="L786" s="7"/>
      <c r="M786" s="7"/>
      <c r="N786" s="7"/>
      <c r="O786" s="7"/>
      <c r="P786" s="7"/>
      <c r="Q786" s="7"/>
    </row>
    <row r="787" spans="1:17" ht="13.9">
      <c r="A787" s="3">
        <v>14911533</v>
      </c>
      <c r="B787" s="5">
        <v>11</v>
      </c>
      <c r="C787" s="3" t="s">
        <v>60</v>
      </c>
      <c r="D787" s="3">
        <v>7</v>
      </c>
      <c r="E787" s="3"/>
      <c r="F787" s="6">
        <v>38224</v>
      </c>
      <c r="G787" s="5">
        <v>18</v>
      </c>
      <c r="H787" s="3" t="s">
        <v>63</v>
      </c>
      <c r="I787" s="3" t="s">
        <v>6</v>
      </c>
      <c r="J787" s="7" t="b">
        <v>1</v>
      </c>
      <c r="K787" s="7"/>
      <c r="L787" s="7"/>
      <c r="M787" s="7"/>
      <c r="N787" s="7"/>
      <c r="O787" s="7"/>
      <c r="P787" s="7"/>
      <c r="Q787" s="7"/>
    </row>
    <row r="788" spans="1:17" ht="13.9">
      <c r="A788" s="3">
        <v>31017097</v>
      </c>
      <c r="B788" s="3">
        <v>6</v>
      </c>
      <c r="C788" s="3" t="s">
        <v>60</v>
      </c>
      <c r="D788" s="3">
        <v>6</v>
      </c>
      <c r="E788" s="3"/>
      <c r="F788" s="6">
        <v>40564</v>
      </c>
      <c r="G788" s="5">
        <v>11</v>
      </c>
      <c r="H788" s="3" t="s">
        <v>63</v>
      </c>
      <c r="I788" s="3" t="s">
        <v>4</v>
      </c>
      <c r="J788" s="7" t="b">
        <v>1</v>
      </c>
      <c r="K788" s="7"/>
      <c r="L788" s="7"/>
      <c r="M788" s="7"/>
      <c r="N788" s="7"/>
      <c r="O788" s="7"/>
      <c r="P788" s="7"/>
      <c r="Q788" s="7"/>
    </row>
    <row r="789" spans="1:17" ht="13.9">
      <c r="A789" s="3">
        <v>9515052</v>
      </c>
      <c r="B789" s="3">
        <v>7</v>
      </c>
      <c r="C789" s="3" t="s">
        <v>60</v>
      </c>
      <c r="D789" s="3">
        <v>7</v>
      </c>
      <c r="E789" s="3"/>
      <c r="F789" s="6">
        <v>40254</v>
      </c>
      <c r="G789" s="5">
        <v>12</v>
      </c>
      <c r="H789" s="3" t="s">
        <v>63</v>
      </c>
      <c r="I789" s="3" t="s">
        <v>7</v>
      </c>
      <c r="J789" s="7" t="b">
        <v>1</v>
      </c>
      <c r="K789" s="7"/>
      <c r="L789" s="7"/>
      <c r="M789" s="7"/>
      <c r="N789" s="7"/>
      <c r="O789" s="7"/>
      <c r="P789" s="7"/>
      <c r="Q789" s="7"/>
    </row>
    <row r="790" spans="1:17" ht="13.9">
      <c r="A790" s="3">
        <v>8715129</v>
      </c>
      <c r="B790" s="5">
        <v>12</v>
      </c>
      <c r="C790" s="3" t="s">
        <v>60</v>
      </c>
      <c r="D790" s="3">
        <v>7</v>
      </c>
      <c r="E790" s="3"/>
      <c r="F790" s="6">
        <v>38086</v>
      </c>
      <c r="G790" s="5">
        <v>18</v>
      </c>
      <c r="H790" s="3" t="s">
        <v>61</v>
      </c>
      <c r="I790" s="3" t="s">
        <v>7</v>
      </c>
      <c r="J790" s="7" t="b">
        <v>1</v>
      </c>
      <c r="K790" s="7"/>
      <c r="L790" s="7"/>
      <c r="M790" s="7"/>
      <c r="N790" s="7"/>
      <c r="O790" s="7"/>
      <c r="P790" s="7"/>
      <c r="Q790" s="7"/>
    </row>
    <row r="791" spans="1:17" ht="13.9">
      <c r="A791" s="3">
        <v>9521222</v>
      </c>
      <c r="B791" s="3" t="s">
        <v>41</v>
      </c>
      <c r="C791" s="3" t="s">
        <v>60</v>
      </c>
      <c r="D791" s="5">
        <v>15</v>
      </c>
      <c r="E791" s="3">
        <v>9</v>
      </c>
      <c r="F791" s="6">
        <v>42907</v>
      </c>
      <c r="G791" s="5">
        <v>5</v>
      </c>
      <c r="H791" s="3" t="s">
        <v>63</v>
      </c>
      <c r="I791" s="3" t="s">
        <v>7</v>
      </c>
      <c r="J791" s="7" t="b">
        <v>1</v>
      </c>
      <c r="K791" s="7"/>
      <c r="L791" s="7"/>
      <c r="M791" s="7"/>
      <c r="N791" s="7"/>
      <c r="O791" s="7"/>
      <c r="P791" s="7"/>
      <c r="Q791" s="7"/>
    </row>
    <row r="792" spans="1:17" ht="13.9">
      <c r="A792" s="5">
        <v>919711031</v>
      </c>
      <c r="B792" s="5">
        <v>12</v>
      </c>
      <c r="C792" s="3" t="s">
        <v>60</v>
      </c>
      <c r="D792" s="3">
        <v>7</v>
      </c>
      <c r="E792" s="3"/>
      <c r="F792" s="6">
        <v>38295</v>
      </c>
      <c r="G792" s="5">
        <v>18</v>
      </c>
      <c r="H792" s="3" t="s">
        <v>61</v>
      </c>
      <c r="I792" s="3" t="s">
        <v>7</v>
      </c>
      <c r="J792" s="7" t="b">
        <v>1</v>
      </c>
      <c r="K792" s="7"/>
      <c r="L792" s="7"/>
      <c r="M792" s="7"/>
      <c r="N792" s="7"/>
      <c r="O792" s="7"/>
      <c r="P792" s="7"/>
      <c r="Q792" s="7"/>
    </row>
    <row r="793" spans="1:17" ht="13.9">
      <c r="A793" s="3">
        <v>54113090</v>
      </c>
      <c r="B793" s="5">
        <v>11</v>
      </c>
      <c r="C793" s="3" t="s">
        <v>60</v>
      </c>
      <c r="D793" s="3">
        <v>5</v>
      </c>
      <c r="E793" s="3"/>
      <c r="F793" s="6">
        <v>38577</v>
      </c>
      <c r="G793" s="5">
        <v>17</v>
      </c>
      <c r="H793" s="3" t="s">
        <v>61</v>
      </c>
      <c r="I793" s="3" t="s">
        <v>7</v>
      </c>
      <c r="J793" s="7" t="b">
        <v>1</v>
      </c>
      <c r="K793" s="7"/>
      <c r="L793" s="7"/>
      <c r="M793" s="7"/>
      <c r="N793" s="7"/>
      <c r="O793" s="7"/>
      <c r="P793" s="7"/>
      <c r="Q793" s="7"/>
    </row>
    <row r="794" spans="1:17" ht="13.9">
      <c r="A794" s="3">
        <v>13712047</v>
      </c>
      <c r="B794" s="5">
        <v>10</v>
      </c>
      <c r="C794" s="3" t="s">
        <v>60</v>
      </c>
      <c r="D794" s="3">
        <v>7</v>
      </c>
      <c r="E794" s="3"/>
      <c r="F794" s="6">
        <v>39155</v>
      </c>
      <c r="G794" s="5">
        <v>15</v>
      </c>
      <c r="H794" s="3" t="s">
        <v>61</v>
      </c>
      <c r="I794" s="3" t="s">
        <v>4</v>
      </c>
      <c r="J794" s="7" t="b">
        <v>1</v>
      </c>
      <c r="K794" s="7"/>
      <c r="L794" s="7"/>
      <c r="M794" s="7"/>
      <c r="N794" s="7"/>
      <c r="O794" s="7"/>
      <c r="P794" s="7"/>
      <c r="Q794" s="7"/>
    </row>
    <row r="795" spans="1:17" ht="13.9">
      <c r="A795" s="3">
        <v>27316052</v>
      </c>
      <c r="B795" s="3">
        <v>7</v>
      </c>
      <c r="C795" s="3" t="s">
        <v>60</v>
      </c>
      <c r="D795" s="3">
        <v>7</v>
      </c>
      <c r="E795" s="3"/>
      <c r="F795" s="6">
        <v>40176</v>
      </c>
      <c r="G795" s="5">
        <v>12</v>
      </c>
      <c r="H795" s="3" t="s">
        <v>61</v>
      </c>
      <c r="I795" s="3" t="s">
        <v>4</v>
      </c>
      <c r="J795" s="7" t="b">
        <v>1</v>
      </c>
      <c r="K795" s="7"/>
      <c r="L795" s="7"/>
      <c r="M795" s="7"/>
      <c r="N795" s="7"/>
      <c r="O795" s="7"/>
      <c r="P795" s="7"/>
      <c r="Q795" s="7"/>
    </row>
    <row r="796" spans="1:17" ht="13.9">
      <c r="A796" s="3">
        <v>9416503</v>
      </c>
      <c r="B796" s="3">
        <v>2</v>
      </c>
      <c r="C796" s="3" t="s">
        <v>62</v>
      </c>
      <c r="D796" s="5">
        <v>10</v>
      </c>
      <c r="E796" s="3">
        <v>9</v>
      </c>
      <c r="F796" s="6">
        <v>41656</v>
      </c>
      <c r="G796" s="5">
        <v>8</v>
      </c>
      <c r="H796" s="3" t="s">
        <v>63</v>
      </c>
      <c r="I796" s="3" t="s">
        <v>7</v>
      </c>
      <c r="J796" s="7" t="b">
        <v>1</v>
      </c>
      <c r="K796" s="7"/>
      <c r="L796" s="7"/>
      <c r="M796" s="7"/>
      <c r="N796" s="7"/>
      <c r="O796" s="7"/>
      <c r="P796" s="7"/>
      <c r="Q796" s="7"/>
    </row>
    <row r="797" spans="1:17" ht="13.9">
      <c r="A797" s="3">
        <v>28913063</v>
      </c>
      <c r="B797" s="3">
        <v>9</v>
      </c>
      <c r="C797" s="3" t="s">
        <v>60</v>
      </c>
      <c r="D797" s="3">
        <v>7</v>
      </c>
      <c r="E797" s="3"/>
      <c r="F797" s="9">
        <v>39233</v>
      </c>
      <c r="G797" s="5">
        <v>15</v>
      </c>
      <c r="H797" s="3" t="s">
        <v>63</v>
      </c>
      <c r="I797" s="3" t="s">
        <v>7</v>
      </c>
      <c r="J797" s="7" t="b">
        <v>1</v>
      </c>
      <c r="K797" s="7"/>
      <c r="L797" s="7"/>
      <c r="M797" s="7"/>
      <c r="N797" s="7"/>
      <c r="O797" s="7"/>
      <c r="P797" s="7"/>
      <c r="Q797" s="7"/>
    </row>
    <row r="798" spans="1:17" ht="13.9">
      <c r="A798" s="3">
        <v>22912278</v>
      </c>
      <c r="B798" s="5">
        <v>10</v>
      </c>
      <c r="C798" s="3" t="s">
        <v>60</v>
      </c>
      <c r="D798" s="3">
        <v>7</v>
      </c>
      <c r="E798" s="3">
        <v>9</v>
      </c>
      <c r="F798" s="6">
        <v>38971</v>
      </c>
      <c r="G798" s="5">
        <v>16</v>
      </c>
      <c r="H798" s="3" t="s">
        <v>63</v>
      </c>
      <c r="I798" s="3" t="s">
        <v>7</v>
      </c>
      <c r="J798" s="7" t="b">
        <v>1</v>
      </c>
      <c r="K798" s="7"/>
      <c r="L798" s="7"/>
      <c r="M798" s="7"/>
      <c r="N798" s="7"/>
      <c r="O798" s="7"/>
      <c r="P798" s="7"/>
      <c r="Q798" s="7"/>
    </row>
    <row r="799" spans="1:17" ht="13.9">
      <c r="A799" s="3">
        <v>9417036</v>
      </c>
      <c r="B799" s="3">
        <v>5</v>
      </c>
      <c r="C799" s="3" t="s">
        <v>60</v>
      </c>
      <c r="D799" s="3">
        <v>7</v>
      </c>
      <c r="E799" s="3">
        <v>9</v>
      </c>
      <c r="F799" s="6">
        <v>40709</v>
      </c>
      <c r="G799" s="5">
        <v>11</v>
      </c>
      <c r="H799" s="3" t="s">
        <v>63</v>
      </c>
      <c r="I799" s="3" t="s">
        <v>7</v>
      </c>
      <c r="J799" s="7" t="b">
        <v>1</v>
      </c>
      <c r="K799" s="7"/>
      <c r="L799" s="7"/>
      <c r="M799" s="7"/>
      <c r="N799" s="7"/>
      <c r="O799" s="7"/>
      <c r="P799" s="7"/>
      <c r="Q799" s="7"/>
    </row>
    <row r="800" spans="1:17" ht="13.9">
      <c r="A800" s="3">
        <v>28118041</v>
      </c>
      <c r="B800" s="3">
        <v>5</v>
      </c>
      <c r="C800" s="3" t="s">
        <v>60</v>
      </c>
      <c r="D800" s="5">
        <v>17</v>
      </c>
      <c r="E800" s="3"/>
      <c r="F800" s="6">
        <v>41091</v>
      </c>
      <c r="G800" s="5">
        <v>10</v>
      </c>
      <c r="H800" s="3" t="s">
        <v>61</v>
      </c>
      <c r="I800" s="3" t="s">
        <v>7</v>
      </c>
      <c r="J800" s="7" t="b">
        <v>1</v>
      </c>
      <c r="K800" s="7"/>
      <c r="L800" s="7"/>
      <c r="M800" s="7"/>
      <c r="N800" s="7"/>
      <c r="O800" s="7"/>
      <c r="P800" s="7"/>
      <c r="Q800" s="7"/>
    </row>
    <row r="801" spans="1:17" ht="13.9">
      <c r="A801" s="3">
        <v>22919096</v>
      </c>
      <c r="B801" s="3">
        <v>1</v>
      </c>
      <c r="C801" s="3" t="s">
        <v>60</v>
      </c>
      <c r="D801" s="3">
        <v>9</v>
      </c>
      <c r="E801" s="3"/>
      <c r="F801" s="9">
        <v>42151</v>
      </c>
      <c r="G801" s="5">
        <v>7</v>
      </c>
      <c r="H801" s="3" t="s">
        <v>63</v>
      </c>
      <c r="I801" s="3" t="s">
        <v>7</v>
      </c>
      <c r="J801" s="7" t="b">
        <v>1</v>
      </c>
      <c r="K801" s="7"/>
      <c r="L801" s="7"/>
      <c r="M801" s="7"/>
      <c r="N801" s="7"/>
      <c r="O801" s="7"/>
      <c r="P801" s="7"/>
      <c r="Q801" s="7"/>
    </row>
    <row r="802" spans="1:17" ht="13.9">
      <c r="A802" s="3">
        <v>24822009</v>
      </c>
      <c r="B802" s="3">
        <v>1</v>
      </c>
      <c r="C802" s="3" t="s">
        <v>60</v>
      </c>
      <c r="D802" s="3">
        <v>9</v>
      </c>
      <c r="E802" s="3"/>
      <c r="F802" s="6">
        <v>42256</v>
      </c>
      <c r="G802" s="5">
        <v>7</v>
      </c>
      <c r="H802" s="3" t="s">
        <v>61</v>
      </c>
      <c r="I802" s="3" t="s">
        <v>7</v>
      </c>
      <c r="J802" s="7" t="b">
        <v>1</v>
      </c>
      <c r="K802" s="7"/>
      <c r="L802" s="7"/>
      <c r="M802" s="7"/>
      <c r="N802" s="7"/>
      <c r="O802" s="7"/>
      <c r="P802" s="7"/>
      <c r="Q802" s="7"/>
    </row>
    <row r="803" spans="1:17" ht="13.9">
      <c r="A803" s="5">
        <v>649106092</v>
      </c>
      <c r="B803" s="5">
        <v>12</v>
      </c>
      <c r="C803" s="3" t="s">
        <v>62</v>
      </c>
      <c r="D803" s="5">
        <v>11</v>
      </c>
      <c r="E803" s="3">
        <v>9</v>
      </c>
      <c r="F803" s="6">
        <v>37156</v>
      </c>
      <c r="G803" s="5">
        <v>21</v>
      </c>
      <c r="H803" s="3" t="s">
        <v>63</v>
      </c>
      <c r="I803" s="3" t="s">
        <v>7</v>
      </c>
      <c r="J803" s="7" t="b">
        <v>1</v>
      </c>
      <c r="K803" s="7"/>
      <c r="L803" s="7"/>
      <c r="M803" s="7"/>
      <c r="N803" s="7"/>
      <c r="O803" s="7"/>
      <c r="P803" s="7"/>
      <c r="Q803" s="7"/>
    </row>
    <row r="804" spans="1:17" ht="13.9">
      <c r="A804" s="3">
        <v>9516113</v>
      </c>
      <c r="B804" s="3">
        <v>3</v>
      </c>
      <c r="C804" s="3" t="s">
        <v>60</v>
      </c>
      <c r="D804" s="3">
        <v>7</v>
      </c>
      <c r="E804" s="3"/>
      <c r="F804" s="6">
        <v>41568</v>
      </c>
      <c r="G804" s="5">
        <v>9</v>
      </c>
      <c r="H804" s="3" t="s">
        <v>63</v>
      </c>
      <c r="I804" s="3" t="s">
        <v>7</v>
      </c>
      <c r="J804" s="7" t="b">
        <v>1</v>
      </c>
      <c r="K804" s="7"/>
      <c r="L804" s="7"/>
      <c r="M804" s="7"/>
      <c r="N804" s="7"/>
      <c r="O804" s="7"/>
      <c r="P804" s="7"/>
      <c r="Q804" s="7"/>
    </row>
    <row r="805" spans="1:17" ht="13.9">
      <c r="A805" s="3">
        <v>8917688</v>
      </c>
      <c r="B805" s="3">
        <v>3</v>
      </c>
      <c r="C805" s="3" t="s">
        <v>60</v>
      </c>
      <c r="D805" s="5">
        <v>17</v>
      </c>
      <c r="E805" s="3">
        <v>9</v>
      </c>
      <c r="F805" s="6">
        <v>41486</v>
      </c>
      <c r="G805" s="5">
        <v>9</v>
      </c>
      <c r="H805" s="3" t="s">
        <v>63</v>
      </c>
      <c r="I805" s="3" t="s">
        <v>7</v>
      </c>
      <c r="J805" s="7" t="b">
        <v>1</v>
      </c>
      <c r="K805" s="7"/>
      <c r="L805" s="7"/>
      <c r="M805" s="7"/>
      <c r="N805" s="7"/>
      <c r="O805" s="7"/>
      <c r="P805" s="7"/>
      <c r="Q805" s="7"/>
    </row>
    <row r="806" spans="1:17" ht="13.9">
      <c r="A806" s="3">
        <v>27522027</v>
      </c>
      <c r="B806" s="3">
        <v>6</v>
      </c>
      <c r="C806" s="3" t="s">
        <v>62</v>
      </c>
      <c r="D806" s="3">
        <v>5</v>
      </c>
      <c r="E806" s="3"/>
      <c r="F806" s="6">
        <v>40509</v>
      </c>
      <c r="G806" s="5">
        <v>12</v>
      </c>
      <c r="H806" s="3" t="s">
        <v>63</v>
      </c>
      <c r="I806" s="3" t="s">
        <v>4</v>
      </c>
      <c r="J806" s="7" t="b">
        <v>1</v>
      </c>
      <c r="K806" s="7"/>
      <c r="L806" s="7"/>
      <c r="M806" s="7"/>
      <c r="N806" s="7"/>
      <c r="O806" s="7"/>
      <c r="P806" s="7"/>
      <c r="Q806" s="7"/>
    </row>
    <row r="807" spans="1:17" ht="13.9">
      <c r="A807" s="3">
        <v>2021094</v>
      </c>
      <c r="B807" s="3" t="s">
        <v>41</v>
      </c>
      <c r="C807" s="3" t="s">
        <v>60</v>
      </c>
      <c r="D807" s="3">
        <v>4</v>
      </c>
      <c r="E807" s="3">
        <v>9</v>
      </c>
      <c r="F807" s="6">
        <v>42890</v>
      </c>
      <c r="G807" s="5">
        <v>5</v>
      </c>
      <c r="H807" s="3" t="s">
        <v>61</v>
      </c>
      <c r="I807" s="3" t="s">
        <v>7</v>
      </c>
      <c r="J807" s="7" t="b">
        <v>1</v>
      </c>
      <c r="K807" s="7"/>
      <c r="L807" s="7"/>
      <c r="M807" s="7"/>
      <c r="N807" s="7"/>
      <c r="O807" s="7"/>
      <c r="P807" s="7"/>
      <c r="Q807" s="7"/>
    </row>
    <row r="808" spans="1:17" ht="13.9">
      <c r="A808" s="3">
        <v>22920161</v>
      </c>
      <c r="B808" s="3" t="s">
        <v>41</v>
      </c>
      <c r="C808" s="3" t="s">
        <v>60</v>
      </c>
      <c r="D808" s="5">
        <v>15</v>
      </c>
      <c r="E808" s="3">
        <v>9</v>
      </c>
      <c r="F808" s="6">
        <v>42825</v>
      </c>
      <c r="G808" s="5">
        <v>5</v>
      </c>
      <c r="H808" s="3" t="s">
        <v>63</v>
      </c>
      <c r="I808" s="3" t="s">
        <v>6</v>
      </c>
      <c r="J808" s="7" t="b">
        <v>1</v>
      </c>
      <c r="K808" s="7"/>
      <c r="L808" s="7"/>
      <c r="M808" s="7"/>
      <c r="N808" s="7"/>
      <c r="O808" s="7"/>
      <c r="P808" s="7"/>
      <c r="Q808" s="7"/>
    </row>
    <row r="809" spans="1:17" ht="13.9">
      <c r="A809" s="5">
        <v>708213910</v>
      </c>
      <c r="B809" s="3">
        <v>8</v>
      </c>
      <c r="C809" s="3" t="s">
        <v>64</v>
      </c>
      <c r="D809" s="3">
        <v>7</v>
      </c>
      <c r="E809" s="3"/>
      <c r="F809" s="6">
        <v>39551</v>
      </c>
      <c r="G809" s="5">
        <v>14</v>
      </c>
      <c r="H809" s="3" t="s">
        <v>63</v>
      </c>
      <c r="I809" s="3" t="s">
        <v>7</v>
      </c>
      <c r="J809" s="7" t="b">
        <v>1</v>
      </c>
      <c r="K809" s="7"/>
      <c r="L809" s="7"/>
      <c r="M809" s="7"/>
      <c r="N809" s="7"/>
      <c r="O809" s="7"/>
      <c r="P809" s="7"/>
      <c r="Q809" s="7"/>
    </row>
    <row r="810" spans="1:17" ht="13.9">
      <c r="A810" s="3">
        <v>28121019</v>
      </c>
      <c r="B810" s="3">
        <v>2</v>
      </c>
      <c r="C810" s="3" t="s">
        <v>60</v>
      </c>
      <c r="D810" s="3">
        <v>9</v>
      </c>
      <c r="E810" s="3"/>
      <c r="F810" s="6">
        <v>41944</v>
      </c>
      <c r="G810" s="5">
        <v>8</v>
      </c>
      <c r="H810" s="3" t="s">
        <v>63</v>
      </c>
      <c r="I810" s="3" t="s">
        <v>7</v>
      </c>
      <c r="J810" s="7" t="b">
        <v>1</v>
      </c>
      <c r="K810" s="7"/>
      <c r="L810" s="7"/>
      <c r="M810" s="7"/>
      <c r="N810" s="7"/>
      <c r="O810" s="7"/>
      <c r="P810" s="7"/>
      <c r="Q810" s="7"/>
    </row>
    <row r="811" spans="1:17" ht="13.9">
      <c r="A811" s="3" t="s">
        <v>140</v>
      </c>
      <c r="B811" s="3">
        <v>5</v>
      </c>
      <c r="C811" s="3" t="s">
        <v>64</v>
      </c>
      <c r="D811" s="3">
        <v>7</v>
      </c>
      <c r="E811" s="5">
        <v>17</v>
      </c>
      <c r="F811" s="6">
        <v>40905</v>
      </c>
      <c r="G811" s="5">
        <v>10</v>
      </c>
      <c r="H811" s="3" t="s">
        <v>63</v>
      </c>
      <c r="I811" s="3" t="s">
        <v>7</v>
      </c>
      <c r="J811" s="7" t="b">
        <v>1</v>
      </c>
      <c r="K811" s="7"/>
      <c r="L811" s="7"/>
      <c r="M811" s="7"/>
      <c r="N811" s="7"/>
      <c r="O811" s="7"/>
      <c r="P811" s="7"/>
      <c r="Q811" s="7"/>
    </row>
    <row r="812" spans="1:17" ht="13.9">
      <c r="A812" s="3">
        <v>22915527</v>
      </c>
      <c r="B812" s="3">
        <v>5</v>
      </c>
      <c r="C812" s="3" t="s">
        <v>60</v>
      </c>
      <c r="D812" s="3">
        <v>7</v>
      </c>
      <c r="E812" s="3"/>
      <c r="F812" s="6">
        <v>40760</v>
      </c>
      <c r="G812" s="5">
        <v>11</v>
      </c>
      <c r="H812" s="3" t="s">
        <v>61</v>
      </c>
      <c r="I812" s="3" t="s">
        <v>6</v>
      </c>
      <c r="J812" s="7" t="b">
        <v>1</v>
      </c>
      <c r="K812" s="7"/>
      <c r="L812" s="7"/>
      <c r="M812" s="7"/>
      <c r="N812" s="7"/>
      <c r="O812" s="7"/>
      <c r="P812" s="7"/>
      <c r="Q812" s="7"/>
    </row>
    <row r="813" spans="1:17" ht="13.9">
      <c r="A813" s="5">
        <v>601214107</v>
      </c>
      <c r="B813" s="3">
        <v>8</v>
      </c>
      <c r="C813" s="3" t="s">
        <v>60</v>
      </c>
      <c r="D813" s="3">
        <v>7</v>
      </c>
      <c r="E813" s="5">
        <v>17</v>
      </c>
      <c r="F813" s="9">
        <v>39576</v>
      </c>
      <c r="G813" s="5">
        <v>14</v>
      </c>
      <c r="H813" s="3" t="s">
        <v>63</v>
      </c>
      <c r="I813" s="3" t="s">
        <v>7</v>
      </c>
      <c r="J813" s="7" t="b">
        <v>1</v>
      </c>
      <c r="K813" s="7"/>
      <c r="L813" s="7"/>
      <c r="M813" s="7"/>
      <c r="N813" s="7"/>
      <c r="O813" s="7"/>
      <c r="P813" s="7"/>
      <c r="Q813" s="7"/>
    </row>
    <row r="814" spans="1:17" ht="13.9">
      <c r="A814" s="3">
        <v>19718004</v>
      </c>
      <c r="B814" s="3">
        <v>4</v>
      </c>
      <c r="C814" s="3" t="s">
        <v>60</v>
      </c>
      <c r="D814" s="5">
        <v>17</v>
      </c>
      <c r="E814" s="3">
        <v>9</v>
      </c>
      <c r="F814" s="6">
        <v>41450</v>
      </c>
      <c r="G814" s="5">
        <v>9</v>
      </c>
      <c r="H814" s="3" t="s">
        <v>61</v>
      </c>
      <c r="I814" s="3" t="s">
        <v>7</v>
      </c>
      <c r="J814" s="7" t="b">
        <v>1</v>
      </c>
      <c r="K814" s="7"/>
      <c r="L814" s="7"/>
      <c r="M814" s="7"/>
      <c r="N814" s="7"/>
      <c r="O814" s="7"/>
      <c r="P814" s="7"/>
      <c r="Q814" s="7"/>
    </row>
    <row r="815" spans="1:17" ht="13.9">
      <c r="A815" s="3">
        <v>27019027</v>
      </c>
      <c r="B815" s="3">
        <v>4</v>
      </c>
      <c r="C815" s="3" t="s">
        <v>60</v>
      </c>
      <c r="D815" s="3">
        <v>7</v>
      </c>
      <c r="E815" s="3"/>
      <c r="F815" s="6">
        <v>41279</v>
      </c>
      <c r="G815" s="5">
        <v>9</v>
      </c>
      <c r="H815" s="3" t="s">
        <v>63</v>
      </c>
      <c r="I815" s="3" t="s">
        <v>6</v>
      </c>
      <c r="J815" s="7" t="b">
        <v>1</v>
      </c>
      <c r="K815" s="7"/>
      <c r="L815" s="7"/>
      <c r="M815" s="7"/>
      <c r="N815" s="7"/>
      <c r="O815" s="7"/>
      <c r="P815" s="7"/>
      <c r="Q815" s="7"/>
    </row>
    <row r="816" spans="1:17" ht="13.9">
      <c r="A816" s="3">
        <v>27015029</v>
      </c>
      <c r="B816" s="3">
        <v>8</v>
      </c>
      <c r="C816" s="3" t="s">
        <v>60</v>
      </c>
      <c r="D816" s="3">
        <v>5</v>
      </c>
      <c r="E816" s="3"/>
      <c r="F816" s="6">
        <v>39994</v>
      </c>
      <c r="G816" s="5">
        <v>13</v>
      </c>
      <c r="H816" s="3" t="s">
        <v>61</v>
      </c>
      <c r="I816" s="3" t="s">
        <v>6</v>
      </c>
      <c r="J816" s="7" t="b">
        <v>1</v>
      </c>
      <c r="K816" s="7"/>
      <c r="L816" s="7"/>
      <c r="M816" s="7"/>
      <c r="N816" s="7"/>
      <c r="O816" s="7"/>
      <c r="P816" s="7"/>
      <c r="Q816" s="7"/>
    </row>
    <row r="817" spans="1:17" ht="13.9">
      <c r="A817" s="3">
        <v>14915064</v>
      </c>
      <c r="B817" s="3">
        <v>7</v>
      </c>
      <c r="C817" s="3" t="s">
        <v>60</v>
      </c>
      <c r="D817" s="5">
        <v>17</v>
      </c>
      <c r="E817" s="3"/>
      <c r="F817" s="6">
        <v>40123</v>
      </c>
      <c r="G817" s="5">
        <v>13</v>
      </c>
      <c r="H817" s="3" t="s">
        <v>61</v>
      </c>
      <c r="I817" s="3" t="s">
        <v>7</v>
      </c>
      <c r="J817" s="7" t="b">
        <v>1</v>
      </c>
      <c r="K817" s="7"/>
      <c r="L817" s="7"/>
      <c r="M817" s="7"/>
      <c r="N817" s="7"/>
      <c r="O817" s="7"/>
      <c r="P817" s="7"/>
      <c r="Q817" s="7"/>
    </row>
    <row r="818" spans="1:17" ht="13.9">
      <c r="A818" s="5">
        <v>917317001</v>
      </c>
      <c r="B818" s="3">
        <v>6</v>
      </c>
      <c r="C818" s="3" t="s">
        <v>60</v>
      </c>
      <c r="D818" s="3">
        <v>5</v>
      </c>
      <c r="E818" s="3"/>
      <c r="F818" s="6">
        <v>40595</v>
      </c>
      <c r="G818" s="5">
        <v>11</v>
      </c>
      <c r="H818" s="3" t="s">
        <v>63</v>
      </c>
      <c r="I818" s="3" t="s">
        <v>7</v>
      </c>
      <c r="J818" s="7" t="b">
        <v>1</v>
      </c>
      <c r="K818" s="7"/>
      <c r="L818" s="7"/>
      <c r="M818" s="7"/>
      <c r="N818" s="7"/>
      <c r="O818" s="7"/>
      <c r="P818" s="7"/>
      <c r="Q818" s="7"/>
    </row>
    <row r="819" spans="1:17" ht="13.9">
      <c r="A819" s="3">
        <v>31811015</v>
      </c>
      <c r="B819" s="5">
        <v>11</v>
      </c>
      <c r="C819" s="3" t="s">
        <v>62</v>
      </c>
      <c r="D819" s="3">
        <v>1</v>
      </c>
      <c r="E819" s="3"/>
      <c r="F819" s="6">
        <v>38761</v>
      </c>
      <c r="G819" s="5">
        <v>16</v>
      </c>
      <c r="H819" s="3" t="s">
        <v>63</v>
      </c>
      <c r="I819" s="3" t="s">
        <v>7</v>
      </c>
      <c r="J819" s="7" t="b">
        <v>1</v>
      </c>
      <c r="K819" s="7"/>
      <c r="L819" s="7"/>
      <c r="M819" s="7"/>
      <c r="N819" s="7"/>
      <c r="O819" s="7"/>
      <c r="P819" s="7"/>
      <c r="Q819" s="7"/>
    </row>
    <row r="820" spans="1:17" ht="13.9">
      <c r="A820" s="3">
        <v>9219506</v>
      </c>
      <c r="B820" s="3">
        <v>1</v>
      </c>
      <c r="C820" s="3" t="s">
        <v>62</v>
      </c>
      <c r="D820" s="3">
        <v>1</v>
      </c>
      <c r="E820" s="3">
        <v>9</v>
      </c>
      <c r="F820" s="6">
        <v>42411</v>
      </c>
      <c r="G820" s="5">
        <v>6</v>
      </c>
      <c r="H820" s="3" t="s">
        <v>61</v>
      </c>
      <c r="I820" s="3" t="s">
        <v>7</v>
      </c>
      <c r="J820" s="7" t="b">
        <v>1</v>
      </c>
      <c r="K820" s="7"/>
      <c r="L820" s="7"/>
      <c r="M820" s="7"/>
      <c r="N820" s="7"/>
      <c r="O820" s="7"/>
      <c r="P820" s="7"/>
      <c r="Q820" s="7"/>
    </row>
    <row r="821" spans="1:17" ht="13.9">
      <c r="A821" s="3">
        <v>16217005</v>
      </c>
      <c r="B821" s="3">
        <v>6</v>
      </c>
      <c r="C821" s="3" t="s">
        <v>60</v>
      </c>
      <c r="D821" s="3">
        <v>9</v>
      </c>
      <c r="E821" s="3"/>
      <c r="F821" s="6">
        <v>40633</v>
      </c>
      <c r="G821" s="5">
        <v>11</v>
      </c>
      <c r="H821" s="3" t="s">
        <v>63</v>
      </c>
      <c r="I821" s="3" t="s">
        <v>7</v>
      </c>
      <c r="J821" s="7" t="b">
        <v>1</v>
      </c>
      <c r="K821" s="7"/>
      <c r="L821" s="7"/>
      <c r="M821" s="7"/>
      <c r="N821" s="7"/>
      <c r="O821" s="7"/>
      <c r="P821" s="7"/>
      <c r="Q821" s="7"/>
    </row>
    <row r="822" spans="1:17" ht="13.9">
      <c r="A822" s="3">
        <v>9517041</v>
      </c>
      <c r="B822" s="3">
        <v>5</v>
      </c>
      <c r="C822" s="3" t="s">
        <v>60</v>
      </c>
      <c r="D822" s="5">
        <v>17</v>
      </c>
      <c r="E822" s="3">
        <v>3</v>
      </c>
      <c r="F822" s="6">
        <v>41019</v>
      </c>
      <c r="G822" s="5">
        <v>10</v>
      </c>
      <c r="H822" s="3" t="s">
        <v>61</v>
      </c>
      <c r="I822" s="3" t="s">
        <v>7</v>
      </c>
      <c r="J822" s="7" t="b">
        <v>1</v>
      </c>
      <c r="K822" s="7"/>
      <c r="L822" s="7"/>
      <c r="M822" s="7"/>
      <c r="N822" s="7"/>
      <c r="O822" s="7"/>
      <c r="P822" s="7"/>
      <c r="Q822" s="7"/>
    </row>
    <row r="823" spans="1:17" ht="13.9">
      <c r="A823" s="3">
        <v>22920185</v>
      </c>
      <c r="B823" s="3">
        <v>2</v>
      </c>
      <c r="C823" s="3" t="s">
        <v>62</v>
      </c>
      <c r="D823" s="5">
        <v>15</v>
      </c>
      <c r="E823" s="3">
        <v>9</v>
      </c>
      <c r="F823" s="6">
        <v>42178</v>
      </c>
      <c r="G823" s="5">
        <v>7</v>
      </c>
      <c r="H823" s="3" t="s">
        <v>63</v>
      </c>
      <c r="I823" s="3" t="s">
        <v>4</v>
      </c>
      <c r="J823" s="7" t="b">
        <v>1</v>
      </c>
      <c r="K823" s="7"/>
      <c r="L823" s="7"/>
      <c r="M823" s="7"/>
      <c r="N823" s="7"/>
      <c r="O823" s="7"/>
      <c r="P823" s="7"/>
      <c r="Q823" s="7"/>
    </row>
    <row r="824" spans="1:17" ht="13.9">
      <c r="A824" s="3">
        <v>2518097</v>
      </c>
      <c r="B824" s="3">
        <v>2</v>
      </c>
      <c r="C824" s="3" t="s">
        <v>60</v>
      </c>
      <c r="D824" s="3">
        <v>8</v>
      </c>
      <c r="E824" s="3">
        <v>9</v>
      </c>
      <c r="F824" s="6">
        <v>41966</v>
      </c>
      <c r="G824" s="5">
        <v>8</v>
      </c>
      <c r="H824" s="3" t="s">
        <v>61</v>
      </c>
      <c r="I824" s="3" t="s">
        <v>7</v>
      </c>
      <c r="J824" s="7" t="b">
        <v>1</v>
      </c>
      <c r="K824" s="7"/>
      <c r="L824" s="7"/>
      <c r="M824" s="7"/>
      <c r="N824" s="7"/>
      <c r="O824" s="7"/>
      <c r="P824" s="7"/>
      <c r="Q824" s="7"/>
    </row>
    <row r="825" spans="1:17" ht="13.9">
      <c r="A825" s="3">
        <v>15715008</v>
      </c>
      <c r="B825" s="3">
        <v>7</v>
      </c>
      <c r="C825" s="3" t="s">
        <v>60</v>
      </c>
      <c r="D825" s="3">
        <v>7</v>
      </c>
      <c r="E825" s="3"/>
      <c r="F825" s="6">
        <v>40260</v>
      </c>
      <c r="G825" s="5">
        <v>12</v>
      </c>
      <c r="H825" s="3" t="s">
        <v>63</v>
      </c>
      <c r="I825" s="3" t="s">
        <v>7</v>
      </c>
      <c r="J825" s="7" t="b">
        <v>1</v>
      </c>
      <c r="K825" s="7"/>
      <c r="L825" s="7"/>
      <c r="M825" s="7"/>
      <c r="N825" s="7"/>
      <c r="O825" s="7"/>
      <c r="P825" s="7"/>
      <c r="Q825" s="7"/>
    </row>
    <row r="826" spans="1:17" ht="13.9">
      <c r="A826" s="3">
        <v>9517135</v>
      </c>
      <c r="B826" s="3">
        <v>2</v>
      </c>
      <c r="C826" s="3" t="s">
        <v>60</v>
      </c>
      <c r="D826" s="3">
        <v>9</v>
      </c>
      <c r="E826" s="3"/>
      <c r="F826" s="6">
        <v>41955</v>
      </c>
      <c r="G826" s="5">
        <v>8</v>
      </c>
      <c r="H826" s="3" t="s">
        <v>61</v>
      </c>
      <c r="I826" s="3" t="s">
        <v>7</v>
      </c>
      <c r="J826" s="7" t="b">
        <v>1</v>
      </c>
      <c r="K826" s="7"/>
      <c r="L826" s="7"/>
      <c r="M826" s="7"/>
      <c r="N826" s="7"/>
      <c r="O826" s="7"/>
      <c r="P826" s="7"/>
      <c r="Q826" s="7"/>
    </row>
    <row r="827" spans="1:17" ht="13.9">
      <c r="A827" s="3">
        <v>4514068</v>
      </c>
      <c r="B827" s="3">
        <v>5</v>
      </c>
      <c r="C827" s="3" t="s">
        <v>60</v>
      </c>
      <c r="D827" s="5">
        <v>15</v>
      </c>
      <c r="E827" s="3"/>
      <c r="F827" s="6">
        <v>40764</v>
      </c>
      <c r="G827" s="5">
        <v>11</v>
      </c>
      <c r="H827" s="3" t="s">
        <v>63</v>
      </c>
      <c r="I827" s="3" t="s">
        <v>7</v>
      </c>
      <c r="J827" s="7" t="b">
        <v>1</v>
      </c>
      <c r="K827" s="7"/>
      <c r="L827" s="7"/>
      <c r="M827" s="7"/>
      <c r="N827" s="7"/>
      <c r="O827" s="7"/>
      <c r="P827" s="7"/>
      <c r="Q827" s="7"/>
    </row>
    <row r="828" spans="1:17" ht="13.9">
      <c r="A828" s="5">
        <v>327313025</v>
      </c>
      <c r="B828" s="5">
        <v>10</v>
      </c>
      <c r="C828" s="3" t="s">
        <v>64</v>
      </c>
      <c r="D828" s="3">
        <v>7</v>
      </c>
      <c r="E828" s="3"/>
      <c r="F828" s="6">
        <v>39038</v>
      </c>
      <c r="G828" s="5">
        <v>16</v>
      </c>
      <c r="H828" s="3" t="s">
        <v>63</v>
      </c>
      <c r="I828" s="3" t="s">
        <v>7</v>
      </c>
      <c r="J828" s="7" t="b">
        <v>1</v>
      </c>
      <c r="K828" s="7"/>
      <c r="L828" s="7"/>
      <c r="M828" s="7"/>
      <c r="N828" s="7"/>
      <c r="O828" s="7"/>
      <c r="P828" s="7"/>
      <c r="Q828" s="7"/>
    </row>
    <row r="829" spans="1:17" ht="13.9">
      <c r="A829" s="3">
        <v>9215017</v>
      </c>
      <c r="B829" s="3">
        <v>7</v>
      </c>
      <c r="C829" s="3" t="s">
        <v>65</v>
      </c>
      <c r="D829" s="3">
        <v>5</v>
      </c>
      <c r="E829" s="5">
        <v>17</v>
      </c>
      <c r="F829" s="6">
        <v>40362</v>
      </c>
      <c r="G829" s="5">
        <v>12</v>
      </c>
      <c r="H829" s="3" t="s">
        <v>63</v>
      </c>
      <c r="I829" s="3" t="s">
        <v>7</v>
      </c>
      <c r="J829" s="7" t="b">
        <v>1</v>
      </c>
      <c r="K829" s="7"/>
      <c r="L829" s="7"/>
      <c r="M829" s="7"/>
      <c r="N829" s="7"/>
      <c r="O829" s="7"/>
      <c r="P829" s="7"/>
      <c r="Q829" s="7"/>
    </row>
    <row r="830" spans="1:17" ht="13.9">
      <c r="A830" s="5">
        <v>271113040</v>
      </c>
      <c r="B830" s="3">
        <v>9</v>
      </c>
      <c r="C830" s="3" t="s">
        <v>64</v>
      </c>
      <c r="D830" s="3">
        <v>7</v>
      </c>
      <c r="E830" s="3"/>
      <c r="F830" s="6">
        <v>39472</v>
      </c>
      <c r="G830" s="5">
        <v>14</v>
      </c>
      <c r="H830" s="3" t="s">
        <v>61</v>
      </c>
      <c r="I830" s="3" t="s">
        <v>7</v>
      </c>
      <c r="J830" s="7" t="b">
        <v>1</v>
      </c>
      <c r="K830" s="7"/>
      <c r="L830" s="7"/>
      <c r="M830" s="7"/>
      <c r="N830" s="7"/>
      <c r="O830" s="7"/>
      <c r="P830" s="7"/>
      <c r="Q830" s="7"/>
    </row>
    <row r="831" spans="1:17" ht="13.9">
      <c r="A831" s="3">
        <v>25315016</v>
      </c>
      <c r="B831" s="3">
        <v>7</v>
      </c>
      <c r="C831" s="3" t="s">
        <v>60</v>
      </c>
      <c r="D831" s="3">
        <v>7</v>
      </c>
      <c r="E831" s="3"/>
      <c r="F831" s="6">
        <v>40136</v>
      </c>
      <c r="G831" s="5">
        <v>13</v>
      </c>
      <c r="H831" s="3" t="s">
        <v>63</v>
      </c>
      <c r="I831" s="3" t="s">
        <v>8</v>
      </c>
      <c r="J831" s="7" t="b">
        <v>1</v>
      </c>
      <c r="K831" s="7"/>
      <c r="L831" s="7"/>
      <c r="M831" s="7"/>
      <c r="N831" s="7"/>
      <c r="O831" s="7"/>
      <c r="P831" s="7"/>
      <c r="Q831" s="7"/>
    </row>
    <row r="832" spans="1:17" ht="13.9">
      <c r="A832" s="3">
        <v>22910541</v>
      </c>
      <c r="B832" s="5">
        <v>10</v>
      </c>
      <c r="C832" s="3" t="s">
        <v>60</v>
      </c>
      <c r="D832" s="3">
        <v>5</v>
      </c>
      <c r="E832" s="3"/>
      <c r="F832" s="6">
        <v>39016</v>
      </c>
      <c r="G832" s="5">
        <v>16</v>
      </c>
      <c r="H832" s="3" t="s">
        <v>63</v>
      </c>
      <c r="I832" s="3" t="s">
        <v>7</v>
      </c>
      <c r="J832" s="7" t="b">
        <v>1</v>
      </c>
      <c r="K832" s="7"/>
      <c r="L832" s="7"/>
      <c r="M832" s="7"/>
      <c r="N832" s="7"/>
      <c r="O832" s="7"/>
      <c r="P832" s="7"/>
      <c r="Q832" s="7"/>
    </row>
    <row r="833" spans="1:17" ht="13.9">
      <c r="A833" s="3">
        <v>25317021</v>
      </c>
      <c r="B833" s="3">
        <v>6</v>
      </c>
      <c r="C833" s="3" t="s">
        <v>60</v>
      </c>
      <c r="D833" s="5">
        <v>17</v>
      </c>
      <c r="E833" s="3"/>
      <c r="F833" s="9">
        <v>40668</v>
      </c>
      <c r="G833" s="5">
        <v>11</v>
      </c>
      <c r="H833" s="3" t="s">
        <v>63</v>
      </c>
      <c r="I833" s="3" t="s">
        <v>7</v>
      </c>
      <c r="J833" s="7" t="b">
        <v>1</v>
      </c>
      <c r="K833" s="7"/>
      <c r="L833" s="7"/>
      <c r="M833" s="7"/>
      <c r="N833" s="7"/>
      <c r="O833" s="7"/>
      <c r="P833" s="7"/>
      <c r="Q833" s="7"/>
    </row>
    <row r="834" spans="1:17" ht="13.9">
      <c r="A834" s="3">
        <v>2520020</v>
      </c>
      <c r="B834" s="3">
        <v>3</v>
      </c>
      <c r="C834" s="3" t="s">
        <v>60</v>
      </c>
      <c r="D834" s="5">
        <v>10</v>
      </c>
      <c r="E834" s="3">
        <v>9</v>
      </c>
      <c r="F834" s="6">
        <v>41500</v>
      </c>
      <c r="G834" s="5">
        <v>9</v>
      </c>
      <c r="H834" s="3" t="s">
        <v>63</v>
      </c>
      <c r="I834" s="3" t="s">
        <v>7</v>
      </c>
      <c r="J834" s="7" t="b">
        <v>1</v>
      </c>
      <c r="K834" s="7"/>
      <c r="L834" s="7"/>
      <c r="M834" s="7"/>
      <c r="N834" s="7"/>
      <c r="O834" s="7"/>
      <c r="P834" s="7"/>
      <c r="Q834" s="7"/>
    </row>
    <row r="835" spans="1:17" ht="13.9">
      <c r="A835" s="3">
        <v>22914063</v>
      </c>
      <c r="B835" s="3">
        <v>8</v>
      </c>
      <c r="C835" s="3" t="s">
        <v>60</v>
      </c>
      <c r="D835" s="5">
        <v>15</v>
      </c>
      <c r="E835" s="3">
        <v>9</v>
      </c>
      <c r="F835" s="6">
        <v>39916</v>
      </c>
      <c r="G835" s="5">
        <v>13</v>
      </c>
      <c r="H835" s="3" t="s">
        <v>63</v>
      </c>
      <c r="I835" s="3" t="s">
        <v>8</v>
      </c>
      <c r="J835" s="7" t="b">
        <v>1</v>
      </c>
      <c r="K835" s="7"/>
      <c r="L835" s="7"/>
      <c r="M835" s="7"/>
      <c r="N835" s="7"/>
      <c r="O835" s="7"/>
      <c r="P835" s="7"/>
      <c r="Q835" s="7"/>
    </row>
    <row r="836" spans="1:17" ht="13.9">
      <c r="A836" s="3">
        <v>21313504</v>
      </c>
      <c r="B836" s="3">
        <v>9</v>
      </c>
      <c r="C836" s="3" t="s">
        <v>60</v>
      </c>
      <c r="D836" s="3">
        <v>5</v>
      </c>
      <c r="E836" s="3"/>
      <c r="F836" s="6">
        <v>39307</v>
      </c>
      <c r="G836" s="5">
        <v>15</v>
      </c>
      <c r="H836" s="3" t="s">
        <v>63</v>
      </c>
      <c r="I836" s="3" t="s">
        <v>4</v>
      </c>
      <c r="J836" s="7" t="b">
        <v>1</v>
      </c>
      <c r="K836" s="7"/>
      <c r="L836" s="7"/>
      <c r="M836" s="7"/>
      <c r="N836" s="7"/>
      <c r="O836" s="7"/>
      <c r="P836" s="7"/>
      <c r="Q836" s="7"/>
    </row>
    <row r="837" spans="1:17" ht="13.9">
      <c r="A837" s="5">
        <v>560219688</v>
      </c>
      <c r="B837" s="3">
        <v>1</v>
      </c>
      <c r="C837" s="3" t="s">
        <v>64</v>
      </c>
      <c r="D837" s="3">
        <v>9</v>
      </c>
      <c r="E837" s="3"/>
      <c r="F837" s="6">
        <v>42567</v>
      </c>
      <c r="G837" s="5">
        <v>6</v>
      </c>
      <c r="H837" s="3" t="s">
        <v>63</v>
      </c>
      <c r="I837" s="3" t="s">
        <v>6</v>
      </c>
      <c r="J837" s="7" t="b">
        <v>1</v>
      </c>
      <c r="K837" s="7"/>
      <c r="L837" s="7"/>
      <c r="M837" s="7"/>
      <c r="N837" s="7"/>
      <c r="O837" s="7"/>
      <c r="P837" s="7"/>
      <c r="Q837" s="7"/>
    </row>
    <row r="838" spans="1:17" ht="13.9">
      <c r="A838" s="3">
        <v>7710522</v>
      </c>
      <c r="B838" s="5">
        <v>10</v>
      </c>
      <c r="C838" s="3" t="s">
        <v>62</v>
      </c>
      <c r="D838" s="5">
        <v>11</v>
      </c>
      <c r="E838" s="5">
        <v>15</v>
      </c>
      <c r="F838" s="6">
        <v>38993</v>
      </c>
      <c r="G838" s="5">
        <v>16</v>
      </c>
      <c r="H838" s="3" t="s">
        <v>63</v>
      </c>
      <c r="I838" s="3" t="s">
        <v>4</v>
      </c>
      <c r="J838" s="7" t="b">
        <v>1</v>
      </c>
      <c r="K838" s="7"/>
      <c r="L838" s="7"/>
      <c r="M838" s="7"/>
      <c r="N838" s="7"/>
      <c r="O838" s="7"/>
      <c r="P838" s="7"/>
      <c r="Q838" s="7"/>
    </row>
    <row r="839" spans="1:17" ht="13.9">
      <c r="A839" s="3">
        <v>7220082</v>
      </c>
      <c r="B839" s="3">
        <v>3</v>
      </c>
      <c r="C839" s="3" t="s">
        <v>60</v>
      </c>
      <c r="D839" s="3">
        <v>9</v>
      </c>
      <c r="E839" s="3"/>
      <c r="F839" s="6">
        <v>41648</v>
      </c>
      <c r="G839" s="5">
        <v>8</v>
      </c>
      <c r="H839" s="3" t="s">
        <v>63</v>
      </c>
      <c r="I839" s="3" t="s">
        <v>7</v>
      </c>
      <c r="J839" s="7" t="b">
        <v>1</v>
      </c>
      <c r="K839" s="7"/>
      <c r="L839" s="7"/>
      <c r="M839" s="7"/>
      <c r="N839" s="7"/>
      <c r="O839" s="7"/>
      <c r="P839" s="7"/>
      <c r="Q839" s="7"/>
    </row>
    <row r="840" spans="1:17" ht="13.9">
      <c r="A840" s="3">
        <v>22915102</v>
      </c>
      <c r="B840" s="3">
        <v>6</v>
      </c>
      <c r="C840" s="3" t="s">
        <v>60</v>
      </c>
      <c r="D840" s="5">
        <v>15</v>
      </c>
      <c r="E840" s="3">
        <v>9</v>
      </c>
      <c r="F840" s="6">
        <v>40404</v>
      </c>
      <c r="G840" s="5">
        <v>12</v>
      </c>
      <c r="H840" s="3" t="s">
        <v>63</v>
      </c>
      <c r="I840" s="3" t="s">
        <v>8</v>
      </c>
      <c r="J840" s="7" t="b">
        <v>1</v>
      </c>
      <c r="K840" s="7"/>
      <c r="L840" s="7"/>
      <c r="M840" s="7"/>
      <c r="N840" s="7"/>
      <c r="O840" s="7"/>
      <c r="P840" s="7"/>
      <c r="Q840" s="7"/>
    </row>
    <row r="841" spans="1:17" ht="13.9">
      <c r="A841" s="3">
        <v>14912007</v>
      </c>
      <c r="B841" s="3">
        <v>9</v>
      </c>
      <c r="C841" s="3" t="s">
        <v>60</v>
      </c>
      <c r="D841" s="5">
        <v>15</v>
      </c>
      <c r="E841" s="3">
        <v>9</v>
      </c>
      <c r="F841" s="6">
        <v>39121</v>
      </c>
      <c r="G841" s="5">
        <v>15</v>
      </c>
      <c r="H841" s="3" t="s">
        <v>61</v>
      </c>
      <c r="I841" s="3" t="s">
        <v>6</v>
      </c>
      <c r="J841" s="7" t="b">
        <v>1</v>
      </c>
      <c r="K841" s="7"/>
      <c r="L841" s="7"/>
      <c r="M841" s="7"/>
      <c r="N841" s="7"/>
      <c r="O841" s="7"/>
      <c r="P841" s="7"/>
      <c r="Q841" s="7"/>
    </row>
    <row r="842" spans="1:17" ht="13.9">
      <c r="A842" s="3">
        <v>94116110</v>
      </c>
      <c r="B842" s="3">
        <v>5</v>
      </c>
      <c r="C842" s="3" t="s">
        <v>64</v>
      </c>
      <c r="D842" s="5">
        <v>10</v>
      </c>
      <c r="E842" s="3">
        <v>9</v>
      </c>
      <c r="F842" s="6">
        <v>40644</v>
      </c>
      <c r="G842" s="5">
        <v>11</v>
      </c>
      <c r="H842" s="3" t="s">
        <v>61</v>
      </c>
      <c r="I842" s="3" t="s">
        <v>7</v>
      </c>
      <c r="J842" s="7" t="b">
        <v>1</v>
      </c>
      <c r="K842" s="7"/>
      <c r="L842" s="7"/>
      <c r="M842" s="7"/>
      <c r="N842" s="7"/>
      <c r="O842" s="7"/>
      <c r="P842" s="7"/>
      <c r="Q842" s="7"/>
    </row>
    <row r="843" spans="1:17" ht="13.9">
      <c r="A843" s="3">
        <v>27320011</v>
      </c>
      <c r="B843" s="3">
        <v>3</v>
      </c>
      <c r="C843" s="3" t="s">
        <v>60</v>
      </c>
      <c r="D843" s="5">
        <v>17</v>
      </c>
      <c r="E843" s="3"/>
      <c r="F843" s="9">
        <v>41788</v>
      </c>
      <c r="G843" s="5">
        <v>8</v>
      </c>
      <c r="H843" s="3" t="s">
        <v>63</v>
      </c>
      <c r="I843" s="3" t="s">
        <v>7</v>
      </c>
      <c r="J843" s="7" t="b">
        <v>1</v>
      </c>
      <c r="K843" s="7"/>
      <c r="L843" s="7"/>
      <c r="M843" s="7"/>
      <c r="N843" s="7"/>
      <c r="O843" s="7"/>
      <c r="P843" s="7"/>
      <c r="Q843" s="7"/>
    </row>
    <row r="844" spans="1:17" ht="13.9">
      <c r="A844" s="3">
        <v>27019071</v>
      </c>
      <c r="B844" s="3">
        <v>5</v>
      </c>
      <c r="C844" s="3" t="s">
        <v>60</v>
      </c>
      <c r="D844" s="3">
        <v>9</v>
      </c>
      <c r="E844" s="3"/>
      <c r="F844" s="6">
        <v>41135</v>
      </c>
      <c r="G844" s="5">
        <v>10</v>
      </c>
      <c r="H844" s="3" t="s">
        <v>63</v>
      </c>
      <c r="I844" s="3" t="s">
        <v>7</v>
      </c>
      <c r="J844" s="7" t="b">
        <v>1</v>
      </c>
      <c r="K844" s="7"/>
      <c r="L844" s="7"/>
      <c r="M844" s="7"/>
      <c r="N844" s="7"/>
      <c r="O844" s="7"/>
      <c r="P844" s="7"/>
      <c r="Q844" s="7"/>
    </row>
    <row r="845" spans="1:17" ht="13.9">
      <c r="A845" s="3">
        <v>2021032</v>
      </c>
      <c r="B845" s="3">
        <v>1</v>
      </c>
      <c r="C845" s="3" t="s">
        <v>60</v>
      </c>
      <c r="D845" s="3">
        <v>9</v>
      </c>
      <c r="E845" s="3"/>
      <c r="F845" s="6">
        <v>42341</v>
      </c>
      <c r="G845" s="5">
        <v>6</v>
      </c>
      <c r="H845" s="3" t="s">
        <v>63</v>
      </c>
      <c r="I845" s="3" t="s">
        <v>7</v>
      </c>
      <c r="J845" s="7" t="b">
        <v>1</v>
      </c>
      <c r="K845" s="7"/>
      <c r="L845" s="7"/>
      <c r="M845" s="7"/>
      <c r="N845" s="7"/>
      <c r="O845" s="7"/>
      <c r="P845" s="7"/>
      <c r="Q845" s="7"/>
    </row>
    <row r="846" spans="1:17" ht="13.9">
      <c r="A846" s="3" t="s">
        <v>141</v>
      </c>
      <c r="B846" s="3">
        <v>7</v>
      </c>
      <c r="C846" s="3" t="s">
        <v>60</v>
      </c>
      <c r="D846" s="5">
        <v>15</v>
      </c>
      <c r="E846" s="5">
        <v>17</v>
      </c>
      <c r="F846" s="6">
        <v>40200</v>
      </c>
      <c r="G846" s="5">
        <v>12</v>
      </c>
      <c r="H846" s="3" t="s">
        <v>63</v>
      </c>
      <c r="I846" s="3" t="s">
        <v>7</v>
      </c>
      <c r="J846" s="7" t="b">
        <v>1</v>
      </c>
      <c r="K846" s="7"/>
      <c r="L846" s="7"/>
      <c r="M846" s="7"/>
      <c r="N846" s="7"/>
      <c r="O846" s="7"/>
      <c r="P846" s="7"/>
      <c r="Q846" s="7"/>
    </row>
    <row r="847" spans="1:17" ht="13.9">
      <c r="A847" s="3">
        <v>2515049</v>
      </c>
      <c r="B847" s="3">
        <v>7</v>
      </c>
      <c r="C847" s="3" t="s">
        <v>60</v>
      </c>
      <c r="D847" s="3">
        <v>7</v>
      </c>
      <c r="E847" s="3">
        <v>9</v>
      </c>
      <c r="F847" s="6">
        <v>39714</v>
      </c>
      <c r="G847" s="5">
        <v>14</v>
      </c>
      <c r="H847" s="3" t="s">
        <v>61</v>
      </c>
      <c r="I847" s="3" t="s">
        <v>6</v>
      </c>
      <c r="J847" s="7" t="b">
        <v>1</v>
      </c>
      <c r="K847" s="7"/>
      <c r="L847" s="7"/>
      <c r="M847" s="7"/>
      <c r="N847" s="7"/>
      <c r="O847" s="7"/>
      <c r="P847" s="7"/>
      <c r="Q847" s="7"/>
    </row>
    <row r="848" spans="1:17" ht="13.9">
      <c r="A848" s="3">
        <v>31809014</v>
      </c>
      <c r="B848" s="5">
        <v>10</v>
      </c>
      <c r="C848" s="3" t="s">
        <v>65</v>
      </c>
      <c r="D848" s="3">
        <v>6</v>
      </c>
      <c r="E848" s="3">
        <v>2</v>
      </c>
      <c r="F848" s="6">
        <v>38714</v>
      </c>
      <c r="G848" s="5">
        <v>16</v>
      </c>
      <c r="H848" s="3" t="s">
        <v>63</v>
      </c>
      <c r="I848" s="3" t="s">
        <v>7</v>
      </c>
      <c r="J848" s="7" t="b">
        <v>1</v>
      </c>
      <c r="K848" s="7"/>
      <c r="L848" s="7"/>
      <c r="M848" s="7"/>
      <c r="N848" s="7"/>
      <c r="O848" s="7"/>
      <c r="P848" s="7"/>
      <c r="Q848" s="7"/>
    </row>
    <row r="849" spans="1:17" ht="13.9">
      <c r="A849" s="5">
        <v>374509203</v>
      </c>
      <c r="B849" s="5">
        <v>12</v>
      </c>
      <c r="C849" s="3" t="s">
        <v>64</v>
      </c>
      <c r="D849" s="3">
        <v>7</v>
      </c>
      <c r="E849" s="3"/>
      <c r="F849" s="6">
        <v>38086</v>
      </c>
      <c r="G849" s="5">
        <v>18</v>
      </c>
      <c r="H849" s="3" t="s">
        <v>61</v>
      </c>
      <c r="I849" s="3" t="s">
        <v>7</v>
      </c>
      <c r="J849" s="7" t="b">
        <v>1</v>
      </c>
      <c r="K849" s="7"/>
      <c r="L849" s="7"/>
      <c r="M849" s="7"/>
      <c r="N849" s="7"/>
      <c r="O849" s="7"/>
      <c r="P849" s="7"/>
      <c r="Q849" s="7"/>
    </row>
    <row r="850" spans="1:17" ht="13.9">
      <c r="A850" s="3">
        <v>20514002</v>
      </c>
      <c r="B850" s="3">
        <v>8</v>
      </c>
      <c r="C850" s="3" t="s">
        <v>60</v>
      </c>
      <c r="D850" s="3">
        <v>7</v>
      </c>
      <c r="E850" s="3"/>
      <c r="F850" s="6">
        <v>39814</v>
      </c>
      <c r="G850" s="5">
        <v>13</v>
      </c>
      <c r="H850" s="3" t="s">
        <v>61</v>
      </c>
      <c r="I850" s="3" t="s">
        <v>4</v>
      </c>
      <c r="J850" s="7" t="b">
        <v>1</v>
      </c>
      <c r="K850" s="7"/>
      <c r="L850" s="7"/>
      <c r="M850" s="7"/>
      <c r="N850" s="7"/>
      <c r="O850" s="7"/>
      <c r="P850" s="7"/>
      <c r="Q850" s="7"/>
    </row>
    <row r="851" spans="1:17" ht="13.9">
      <c r="A851" s="3">
        <v>2521027</v>
      </c>
      <c r="B851" s="3">
        <v>2</v>
      </c>
      <c r="C851" s="3" t="s">
        <v>60</v>
      </c>
      <c r="D851" s="3">
        <v>9</v>
      </c>
      <c r="E851" s="3"/>
      <c r="F851" s="6">
        <v>42185</v>
      </c>
      <c r="G851" s="5">
        <v>7</v>
      </c>
      <c r="H851" s="3" t="s">
        <v>61</v>
      </c>
      <c r="I851" s="3" t="s">
        <v>7</v>
      </c>
      <c r="J851" s="7" t="b">
        <v>1</v>
      </c>
      <c r="K851" s="7"/>
      <c r="L851" s="7"/>
      <c r="M851" s="7"/>
      <c r="N851" s="7"/>
      <c r="O851" s="7"/>
      <c r="P851" s="7"/>
      <c r="Q851" s="7"/>
    </row>
    <row r="852" spans="1:17" ht="13.9">
      <c r="A852" s="5">
        <v>502514026</v>
      </c>
      <c r="B852" s="3">
        <v>8</v>
      </c>
      <c r="C852" s="3" t="s">
        <v>60</v>
      </c>
      <c r="D852" s="3">
        <v>7</v>
      </c>
      <c r="E852" s="3"/>
      <c r="F852" s="6">
        <v>39497</v>
      </c>
      <c r="G852" s="5">
        <v>14</v>
      </c>
      <c r="H852" s="3" t="s">
        <v>61</v>
      </c>
      <c r="I852" s="3" t="s">
        <v>7</v>
      </c>
      <c r="J852" s="7" t="b">
        <v>1</v>
      </c>
      <c r="K852" s="7"/>
      <c r="L852" s="7"/>
      <c r="M852" s="7"/>
      <c r="N852" s="7"/>
      <c r="O852" s="7"/>
      <c r="P852" s="7"/>
      <c r="Q852" s="7"/>
    </row>
    <row r="853" spans="1:17" ht="13.9">
      <c r="A853" s="3">
        <v>2020002</v>
      </c>
      <c r="B853" s="3">
        <v>3</v>
      </c>
      <c r="C853" s="3" t="s">
        <v>60</v>
      </c>
      <c r="D853" s="3">
        <v>9</v>
      </c>
      <c r="E853" s="3"/>
      <c r="F853" s="6">
        <v>41822</v>
      </c>
      <c r="G853" s="5">
        <v>8</v>
      </c>
      <c r="H853" s="3" t="s">
        <v>61</v>
      </c>
      <c r="I853" s="3" t="s">
        <v>7</v>
      </c>
      <c r="J853" s="7" t="b">
        <v>1</v>
      </c>
      <c r="K853" s="7"/>
      <c r="L853" s="7"/>
      <c r="M853" s="7"/>
      <c r="N853" s="7"/>
      <c r="O853" s="7"/>
      <c r="P853" s="7"/>
      <c r="Q853" s="7"/>
    </row>
    <row r="854" spans="1:17" ht="13.9">
      <c r="A854" s="3">
        <v>15717018</v>
      </c>
      <c r="B854" s="3">
        <v>5</v>
      </c>
      <c r="C854" s="3" t="s">
        <v>60</v>
      </c>
      <c r="D854" s="3">
        <v>7</v>
      </c>
      <c r="E854" s="3"/>
      <c r="F854" s="6">
        <v>41011</v>
      </c>
      <c r="G854" s="5">
        <v>10</v>
      </c>
      <c r="H854" s="3" t="s">
        <v>63</v>
      </c>
      <c r="I854" s="3" t="s">
        <v>7</v>
      </c>
      <c r="J854" s="7" t="b">
        <v>1</v>
      </c>
      <c r="K854" s="7"/>
      <c r="L854" s="7"/>
      <c r="M854" s="7"/>
      <c r="N854" s="7"/>
      <c r="O854" s="7"/>
      <c r="P854" s="7"/>
      <c r="Q854" s="7"/>
    </row>
    <row r="855" spans="1:17" ht="13.9">
      <c r="A855" s="5">
        <v>760111140</v>
      </c>
      <c r="B855" s="5">
        <v>11</v>
      </c>
      <c r="C855" s="3" t="s">
        <v>60</v>
      </c>
      <c r="D855" s="3">
        <v>7</v>
      </c>
      <c r="E855" s="3"/>
      <c r="F855" s="6">
        <v>38700</v>
      </c>
      <c r="G855" s="5">
        <v>16</v>
      </c>
      <c r="H855" s="3" t="s">
        <v>63</v>
      </c>
      <c r="I855" s="3" t="s">
        <v>8</v>
      </c>
      <c r="J855" s="7" t="b">
        <v>1</v>
      </c>
      <c r="K855" s="7"/>
      <c r="L855" s="7"/>
      <c r="M855" s="7"/>
      <c r="N855" s="7"/>
      <c r="O855" s="7"/>
      <c r="P855" s="7"/>
      <c r="Q855" s="7"/>
    </row>
    <row r="856" spans="1:17" ht="13.9">
      <c r="A856" s="3">
        <v>16215062</v>
      </c>
      <c r="B856" s="3">
        <v>8</v>
      </c>
      <c r="C856" s="3" t="s">
        <v>60</v>
      </c>
      <c r="D856" s="3">
        <v>7</v>
      </c>
      <c r="E856" s="3"/>
      <c r="F856" s="6">
        <v>39729</v>
      </c>
      <c r="G856" s="5">
        <v>14</v>
      </c>
      <c r="H856" s="3" t="s">
        <v>63</v>
      </c>
      <c r="I856" s="3" t="s">
        <v>7</v>
      </c>
      <c r="J856" s="7" t="b">
        <v>1</v>
      </c>
      <c r="K856" s="7"/>
      <c r="L856" s="7"/>
      <c r="M856" s="7"/>
      <c r="N856" s="7"/>
      <c r="O856" s="7"/>
      <c r="P856" s="7"/>
      <c r="Q856" s="7"/>
    </row>
    <row r="857" spans="1:17" ht="13.9">
      <c r="A857" s="3">
        <v>27016061</v>
      </c>
      <c r="B857" s="3">
        <v>7</v>
      </c>
      <c r="C857" s="3" t="s">
        <v>60</v>
      </c>
      <c r="D857" s="5">
        <v>17</v>
      </c>
      <c r="E857" s="3"/>
      <c r="F857" s="6">
        <v>40264</v>
      </c>
      <c r="G857" s="5">
        <v>12</v>
      </c>
      <c r="H857" s="3" t="s">
        <v>63</v>
      </c>
      <c r="I857" s="3" t="s">
        <v>4</v>
      </c>
      <c r="J857" s="7" t="b">
        <v>1</v>
      </c>
      <c r="K857" s="7"/>
      <c r="L857" s="7"/>
      <c r="M857" s="7"/>
      <c r="N857" s="7"/>
      <c r="O857" s="7"/>
      <c r="P857" s="7"/>
      <c r="Q857" s="7"/>
    </row>
    <row r="858" spans="1:17" ht="13.9">
      <c r="A858" s="3" t="s">
        <v>142</v>
      </c>
      <c r="B858" s="5">
        <v>10</v>
      </c>
      <c r="C858" s="3" t="s">
        <v>64</v>
      </c>
      <c r="D858" s="3">
        <v>7</v>
      </c>
      <c r="E858" s="3"/>
      <c r="F858" s="6">
        <v>39125</v>
      </c>
      <c r="G858" s="5">
        <v>15</v>
      </c>
      <c r="H858" s="3" t="s">
        <v>63</v>
      </c>
      <c r="I858" s="3" t="s">
        <v>4</v>
      </c>
      <c r="J858" s="7" t="b">
        <v>1</v>
      </c>
      <c r="K858" s="7"/>
      <c r="L858" s="7"/>
      <c r="M858" s="7"/>
      <c r="N858" s="7"/>
      <c r="O858" s="7"/>
      <c r="P858" s="7"/>
      <c r="Q858" s="7"/>
    </row>
    <row r="859" spans="1:17" ht="13.9">
      <c r="A859" s="3">
        <v>16216032</v>
      </c>
      <c r="B859" s="3">
        <v>5</v>
      </c>
      <c r="C859" s="3" t="s">
        <v>60</v>
      </c>
      <c r="D859" s="3">
        <v>7</v>
      </c>
      <c r="E859" s="3"/>
      <c r="F859" s="6">
        <v>40483</v>
      </c>
      <c r="G859" s="5">
        <v>12</v>
      </c>
      <c r="H859" s="3" t="s">
        <v>63</v>
      </c>
      <c r="I859" s="3" t="s">
        <v>7</v>
      </c>
      <c r="J859" s="7" t="b">
        <v>1</v>
      </c>
      <c r="K859" s="7"/>
      <c r="L859" s="7"/>
      <c r="M859" s="7"/>
      <c r="N859" s="7"/>
      <c r="O859" s="7"/>
      <c r="P859" s="7"/>
      <c r="Q859" s="7"/>
    </row>
    <row r="860" spans="1:17" ht="13.9">
      <c r="A860" s="3">
        <v>7112067</v>
      </c>
      <c r="B860" s="3">
        <v>7</v>
      </c>
      <c r="C860" s="3" t="s">
        <v>60</v>
      </c>
      <c r="D860" s="3">
        <v>6</v>
      </c>
      <c r="E860" s="3"/>
      <c r="F860" s="9">
        <v>39948</v>
      </c>
      <c r="G860" s="5">
        <v>13</v>
      </c>
      <c r="H860" s="3" t="s">
        <v>63</v>
      </c>
      <c r="I860" s="3" t="s">
        <v>7</v>
      </c>
      <c r="J860" s="7" t="b">
        <v>1</v>
      </c>
      <c r="K860" s="7"/>
      <c r="L860" s="7"/>
      <c r="M860" s="7"/>
      <c r="N860" s="7"/>
      <c r="O860" s="7"/>
      <c r="P860" s="7"/>
      <c r="Q860" s="7"/>
    </row>
    <row r="861" spans="1:17" ht="13.9">
      <c r="A861" s="3">
        <v>22922354</v>
      </c>
      <c r="B861" s="3" t="s">
        <v>41</v>
      </c>
      <c r="C861" s="3" t="s">
        <v>60</v>
      </c>
      <c r="D861" s="5">
        <v>15</v>
      </c>
      <c r="E861" s="3">
        <v>9</v>
      </c>
      <c r="F861" s="6">
        <v>42699</v>
      </c>
      <c r="G861" s="5">
        <v>6</v>
      </c>
      <c r="H861" s="3" t="s">
        <v>63</v>
      </c>
      <c r="I861" s="3" t="s">
        <v>7</v>
      </c>
      <c r="J861" s="7" t="b">
        <v>1</v>
      </c>
      <c r="K861" s="7"/>
      <c r="L861" s="7"/>
      <c r="M861" s="7"/>
      <c r="N861" s="7"/>
      <c r="O861" s="7"/>
      <c r="P861" s="7"/>
      <c r="Q861" s="7"/>
    </row>
    <row r="862" spans="1:17" ht="13.9">
      <c r="A862" s="3">
        <v>7219124</v>
      </c>
      <c r="B862" s="3">
        <v>2</v>
      </c>
      <c r="C862" s="3" t="s">
        <v>60</v>
      </c>
      <c r="D862" s="3">
        <v>9</v>
      </c>
      <c r="E862" s="3"/>
      <c r="F862" s="6">
        <v>41813</v>
      </c>
      <c r="G862" s="5">
        <v>8</v>
      </c>
      <c r="H862" s="3" t="s">
        <v>63</v>
      </c>
      <c r="I862" s="3" t="s">
        <v>7</v>
      </c>
      <c r="J862" s="7" t="b">
        <v>1</v>
      </c>
      <c r="K862" s="7"/>
      <c r="L862" s="7"/>
      <c r="M862" s="7"/>
      <c r="N862" s="7"/>
      <c r="O862" s="7"/>
      <c r="P862" s="7"/>
      <c r="Q862" s="7"/>
    </row>
    <row r="863" spans="1:17" ht="13.9">
      <c r="A863" s="3" t="s">
        <v>143</v>
      </c>
      <c r="B863" s="3">
        <v>6</v>
      </c>
      <c r="C863" s="3" t="s">
        <v>60</v>
      </c>
      <c r="D863" s="3">
        <v>7</v>
      </c>
      <c r="E863" s="3"/>
      <c r="F863" s="6">
        <v>40627</v>
      </c>
      <c r="G863" s="5">
        <v>11</v>
      </c>
      <c r="H863" s="3" t="s">
        <v>61</v>
      </c>
      <c r="I863" s="3" t="s">
        <v>7</v>
      </c>
      <c r="J863" s="7" t="b">
        <v>1</v>
      </c>
      <c r="K863" s="7"/>
      <c r="L863" s="7"/>
      <c r="M863" s="7"/>
      <c r="N863" s="7"/>
      <c r="O863" s="7"/>
      <c r="P863" s="7"/>
      <c r="Q863" s="7"/>
    </row>
    <row r="864" spans="1:17" ht="13.9">
      <c r="A864" s="3">
        <v>22916146</v>
      </c>
      <c r="B864" s="3">
        <v>6</v>
      </c>
      <c r="C864" s="3" t="s">
        <v>60</v>
      </c>
      <c r="D864" s="5">
        <v>17</v>
      </c>
      <c r="E864" s="3"/>
      <c r="F864" s="6">
        <v>40467</v>
      </c>
      <c r="G864" s="5">
        <v>12</v>
      </c>
      <c r="H864" s="3" t="s">
        <v>63</v>
      </c>
      <c r="I864" s="3" t="s">
        <v>4</v>
      </c>
      <c r="J864" s="7" t="b">
        <v>1</v>
      </c>
      <c r="K864" s="7"/>
      <c r="L864" s="7"/>
      <c r="M864" s="7"/>
      <c r="N864" s="7"/>
      <c r="O864" s="7"/>
      <c r="P864" s="7"/>
      <c r="Q864" s="7"/>
    </row>
    <row r="865" spans="1:17" ht="13.9">
      <c r="A865" s="3" t="s">
        <v>144</v>
      </c>
      <c r="B865" s="5">
        <v>10</v>
      </c>
      <c r="C865" s="3" t="s">
        <v>64</v>
      </c>
      <c r="D865" s="5">
        <v>17</v>
      </c>
      <c r="E865" s="3"/>
      <c r="F865" s="6">
        <v>39134</v>
      </c>
      <c r="G865" s="5">
        <v>15</v>
      </c>
      <c r="H865" s="3" t="s">
        <v>61</v>
      </c>
      <c r="I865" s="3" t="s">
        <v>6</v>
      </c>
      <c r="J865" s="7" t="b">
        <v>1</v>
      </c>
      <c r="K865" s="7"/>
      <c r="L865" s="7"/>
      <c r="M865" s="7"/>
      <c r="N865" s="7"/>
      <c r="O865" s="7"/>
      <c r="P865" s="7"/>
      <c r="Q865" s="7"/>
    </row>
    <row r="866" spans="1:17" ht="13.9">
      <c r="A866" s="3" t="s">
        <v>145</v>
      </c>
      <c r="B866" s="3">
        <v>5</v>
      </c>
      <c r="C866" s="3" t="s">
        <v>64</v>
      </c>
      <c r="D866" s="3">
        <v>7</v>
      </c>
      <c r="E866" s="3"/>
      <c r="F866" s="6">
        <v>40842</v>
      </c>
      <c r="G866" s="5">
        <v>11</v>
      </c>
      <c r="H866" s="3" t="s">
        <v>63</v>
      </c>
      <c r="I866" s="3" t="s">
        <v>7</v>
      </c>
      <c r="J866" s="7" t="b">
        <v>1</v>
      </c>
      <c r="K866" s="7"/>
      <c r="L866" s="7"/>
      <c r="M866" s="7"/>
      <c r="N866" s="7"/>
      <c r="O866" s="7"/>
      <c r="P866" s="7"/>
      <c r="Q866" s="7"/>
    </row>
    <row r="867" spans="1:17" ht="13.9">
      <c r="A867" s="3">
        <v>37120038</v>
      </c>
      <c r="B867" s="3">
        <v>3</v>
      </c>
      <c r="C867" s="3" t="s">
        <v>60</v>
      </c>
      <c r="D867" s="3">
        <v>9</v>
      </c>
      <c r="E867" s="3"/>
      <c r="F867" s="6">
        <v>41611</v>
      </c>
      <c r="G867" s="5">
        <v>8</v>
      </c>
      <c r="H867" s="3" t="s">
        <v>63</v>
      </c>
      <c r="I867" s="3" t="s">
        <v>7</v>
      </c>
      <c r="J867" s="7" t="b">
        <v>1</v>
      </c>
      <c r="K867" s="7"/>
      <c r="L867" s="7"/>
      <c r="M867" s="7"/>
      <c r="N867" s="7"/>
      <c r="O867" s="7"/>
      <c r="P867" s="7"/>
      <c r="Q867" s="7"/>
    </row>
    <row r="868" spans="1:17" ht="13.9">
      <c r="A868" s="3" t="s">
        <v>146</v>
      </c>
      <c r="B868" s="5">
        <v>10</v>
      </c>
      <c r="C868" s="3" t="s">
        <v>60</v>
      </c>
      <c r="D868" s="3">
        <v>7</v>
      </c>
      <c r="E868" s="3"/>
      <c r="F868" s="6">
        <v>38987</v>
      </c>
      <c r="G868" s="5">
        <v>16</v>
      </c>
      <c r="H868" s="3" t="s">
        <v>61</v>
      </c>
      <c r="I868" s="3" t="s">
        <v>7</v>
      </c>
      <c r="J868" s="7" t="b">
        <v>1</v>
      </c>
      <c r="K868" s="7"/>
      <c r="L868" s="7"/>
      <c r="M868" s="7"/>
      <c r="N868" s="7"/>
      <c r="O868" s="7"/>
      <c r="P868" s="7"/>
      <c r="Q868" s="7"/>
    </row>
    <row r="869" spans="1:17" ht="13.9">
      <c r="A869" s="3">
        <v>9619048</v>
      </c>
      <c r="B869" s="3">
        <v>3</v>
      </c>
      <c r="C869" s="3" t="s">
        <v>60</v>
      </c>
      <c r="D869" s="3">
        <v>7</v>
      </c>
      <c r="E869" s="3">
        <v>9</v>
      </c>
      <c r="F869" s="6">
        <v>41449</v>
      </c>
      <c r="G869" s="5">
        <v>9</v>
      </c>
      <c r="H869" s="3" t="s">
        <v>63</v>
      </c>
      <c r="I869" s="3" t="s">
        <v>7</v>
      </c>
      <c r="J869" s="7" t="b">
        <v>1</v>
      </c>
      <c r="K869" s="7"/>
      <c r="L869" s="7"/>
      <c r="M869" s="7"/>
      <c r="N869" s="7"/>
      <c r="O869" s="7"/>
      <c r="P869" s="7"/>
      <c r="Q869" s="7"/>
    </row>
    <row r="870" spans="1:17" ht="13.9">
      <c r="A870" s="3">
        <v>13718088</v>
      </c>
      <c r="B870" s="3">
        <v>7</v>
      </c>
      <c r="C870" s="3" t="s">
        <v>60</v>
      </c>
      <c r="D870" s="5">
        <v>17</v>
      </c>
      <c r="E870" s="3">
        <v>9</v>
      </c>
      <c r="F870" s="6">
        <v>40186</v>
      </c>
      <c r="G870" s="5">
        <v>12</v>
      </c>
      <c r="H870" s="3" t="s">
        <v>63</v>
      </c>
      <c r="I870" s="3" t="s">
        <v>4</v>
      </c>
      <c r="J870" s="7" t="b">
        <v>1</v>
      </c>
      <c r="K870" s="7"/>
      <c r="L870" s="7"/>
      <c r="M870" s="7"/>
      <c r="N870" s="7"/>
      <c r="O870" s="7"/>
      <c r="P870" s="7"/>
      <c r="Q870" s="7"/>
    </row>
    <row r="871" spans="1:17" ht="13.9">
      <c r="A871" s="3">
        <v>35717008</v>
      </c>
      <c r="B871" s="3">
        <v>3</v>
      </c>
      <c r="C871" s="3" t="s">
        <v>60</v>
      </c>
      <c r="D871" s="3">
        <v>7</v>
      </c>
      <c r="E871" s="3">
        <v>9</v>
      </c>
      <c r="F871" s="6">
        <v>41579</v>
      </c>
      <c r="G871" s="5">
        <v>9</v>
      </c>
      <c r="H871" s="3" t="s">
        <v>63</v>
      </c>
      <c r="I871" s="3" t="s">
        <v>7</v>
      </c>
      <c r="J871" s="7" t="b">
        <v>1</v>
      </c>
      <c r="K871" s="7"/>
      <c r="L871" s="7"/>
      <c r="M871" s="7"/>
      <c r="N871" s="7"/>
      <c r="O871" s="7"/>
      <c r="P871" s="7"/>
      <c r="Q871" s="7"/>
    </row>
    <row r="872" spans="1:17" ht="13.9">
      <c r="A872" s="5">
        <v>790112070</v>
      </c>
      <c r="B872" s="5">
        <v>11</v>
      </c>
      <c r="C872" s="3" t="s">
        <v>60</v>
      </c>
      <c r="D872" s="5">
        <v>17</v>
      </c>
      <c r="E872" s="3"/>
      <c r="F872" s="6">
        <v>38796</v>
      </c>
      <c r="G872" s="5">
        <v>16</v>
      </c>
      <c r="H872" s="3" t="s">
        <v>61</v>
      </c>
      <c r="I872" s="3" t="s">
        <v>6</v>
      </c>
      <c r="J872" s="7" t="b">
        <v>1</v>
      </c>
      <c r="K872" s="7"/>
      <c r="L872" s="7"/>
      <c r="M872" s="7"/>
      <c r="N872" s="7"/>
      <c r="O872" s="7"/>
      <c r="P872" s="7"/>
      <c r="Q872" s="7"/>
    </row>
    <row r="873" spans="1:17" ht="13.9">
      <c r="A873" s="3">
        <v>25320061</v>
      </c>
      <c r="B873" s="3">
        <v>3</v>
      </c>
      <c r="C873" s="3" t="s">
        <v>60</v>
      </c>
      <c r="D873" s="5">
        <v>10</v>
      </c>
      <c r="E873" s="3">
        <v>9</v>
      </c>
      <c r="F873" s="6">
        <v>41515</v>
      </c>
      <c r="G873" s="5">
        <v>9</v>
      </c>
      <c r="H873" s="3" t="s">
        <v>63</v>
      </c>
      <c r="I873" s="3" t="s">
        <v>6</v>
      </c>
      <c r="J873" s="7" t="b">
        <v>1</v>
      </c>
      <c r="K873" s="7"/>
      <c r="L873" s="7"/>
      <c r="M873" s="7"/>
      <c r="N873" s="7"/>
      <c r="O873" s="7"/>
      <c r="P873" s="7"/>
      <c r="Q873" s="7"/>
    </row>
    <row r="874" spans="1:17" ht="13.9">
      <c r="A874" s="3">
        <v>9618083</v>
      </c>
      <c r="B874" s="3">
        <v>4</v>
      </c>
      <c r="C874" s="3" t="s">
        <v>60</v>
      </c>
      <c r="D874" s="5">
        <v>17</v>
      </c>
      <c r="E874" s="3">
        <v>7</v>
      </c>
      <c r="F874" s="6">
        <v>41191</v>
      </c>
      <c r="G874" s="5">
        <v>10</v>
      </c>
      <c r="H874" s="3" t="s">
        <v>61</v>
      </c>
      <c r="I874" s="3" t="s">
        <v>7</v>
      </c>
      <c r="J874" s="7" t="b">
        <v>1</v>
      </c>
      <c r="K874" s="7"/>
      <c r="L874" s="7"/>
      <c r="M874" s="7"/>
      <c r="N874" s="7"/>
      <c r="O874" s="7"/>
      <c r="P874" s="7"/>
      <c r="Q874" s="7"/>
    </row>
    <row r="875" spans="1:17" ht="13.9">
      <c r="A875" s="3">
        <v>9519140</v>
      </c>
      <c r="B875" s="3">
        <v>3</v>
      </c>
      <c r="C875" s="3" t="s">
        <v>60</v>
      </c>
      <c r="D875" s="5">
        <v>15</v>
      </c>
      <c r="E875" s="3">
        <v>9</v>
      </c>
      <c r="F875" s="6">
        <v>41572</v>
      </c>
      <c r="G875" s="5">
        <v>9</v>
      </c>
      <c r="H875" s="3" t="s">
        <v>63</v>
      </c>
      <c r="I875" s="3" t="s">
        <v>7</v>
      </c>
      <c r="J875" s="7" t="b">
        <v>1</v>
      </c>
      <c r="K875" s="7"/>
      <c r="L875" s="7"/>
      <c r="M875" s="7"/>
      <c r="N875" s="7"/>
      <c r="O875" s="7"/>
      <c r="P875" s="7"/>
      <c r="Q875" s="7"/>
    </row>
    <row r="876" spans="1:17" ht="13.9">
      <c r="A876" s="3">
        <v>22910163</v>
      </c>
      <c r="B876" s="5">
        <v>10</v>
      </c>
      <c r="C876" s="3" t="s">
        <v>60</v>
      </c>
      <c r="D876" s="5">
        <v>17</v>
      </c>
      <c r="E876" s="3">
        <v>7</v>
      </c>
      <c r="F876" s="6">
        <v>39108</v>
      </c>
      <c r="G876" s="5">
        <v>15</v>
      </c>
      <c r="H876" s="3" t="s">
        <v>63</v>
      </c>
      <c r="I876" s="3" t="s">
        <v>6</v>
      </c>
      <c r="J876" s="7" t="b">
        <v>1</v>
      </c>
      <c r="K876" s="7"/>
      <c r="L876" s="7"/>
      <c r="M876" s="7"/>
      <c r="N876" s="7"/>
      <c r="O876" s="7"/>
      <c r="P876" s="7"/>
      <c r="Q876" s="7"/>
    </row>
    <row r="877" spans="1:17" ht="13.9">
      <c r="A877" s="3">
        <v>2019096</v>
      </c>
      <c r="B877" s="3">
        <v>1</v>
      </c>
      <c r="C877" s="3" t="s">
        <v>60</v>
      </c>
      <c r="D877" s="3">
        <v>9</v>
      </c>
      <c r="E877" s="3"/>
      <c r="F877" s="6">
        <v>42466</v>
      </c>
      <c r="G877" s="5">
        <v>6</v>
      </c>
      <c r="H877" s="3" t="s">
        <v>61</v>
      </c>
      <c r="I877" s="3" t="s">
        <v>7</v>
      </c>
      <c r="J877" s="7" t="b">
        <v>1</v>
      </c>
      <c r="K877" s="7"/>
      <c r="L877" s="7"/>
      <c r="M877" s="7"/>
      <c r="N877" s="7"/>
      <c r="O877" s="7"/>
      <c r="P877" s="7"/>
      <c r="Q877" s="7"/>
    </row>
    <row r="878" spans="1:17" ht="13.9">
      <c r="A878" s="3">
        <v>7113059</v>
      </c>
      <c r="B878" s="3">
        <v>8</v>
      </c>
      <c r="C878" s="3" t="s">
        <v>65</v>
      </c>
      <c r="D878" s="5">
        <v>10</v>
      </c>
      <c r="E878" s="3">
        <v>9</v>
      </c>
      <c r="F878" s="6">
        <v>39506</v>
      </c>
      <c r="G878" s="5">
        <v>14</v>
      </c>
      <c r="H878" s="3" t="s">
        <v>63</v>
      </c>
      <c r="I878" s="3" t="s">
        <v>7</v>
      </c>
      <c r="J878" s="7" t="b">
        <v>1</v>
      </c>
      <c r="K878" s="7"/>
      <c r="L878" s="7"/>
      <c r="M878" s="7"/>
      <c r="N878" s="7"/>
      <c r="O878" s="7"/>
      <c r="P878" s="7"/>
      <c r="Q878" s="7"/>
    </row>
    <row r="879" spans="1:17" ht="13.9">
      <c r="A879" s="3">
        <v>4109280</v>
      </c>
      <c r="B879" s="5">
        <v>11</v>
      </c>
      <c r="C879" s="3" t="s">
        <v>60</v>
      </c>
      <c r="D879" s="3">
        <v>7</v>
      </c>
      <c r="E879" s="3"/>
      <c r="F879" s="6">
        <v>38544</v>
      </c>
      <c r="G879" s="5">
        <v>17</v>
      </c>
      <c r="H879" s="3" t="s">
        <v>61</v>
      </c>
      <c r="I879" s="3" t="s">
        <v>7</v>
      </c>
      <c r="J879" s="7" t="b">
        <v>1</v>
      </c>
      <c r="K879" s="7"/>
      <c r="L879" s="7"/>
      <c r="M879" s="7"/>
      <c r="N879" s="7"/>
      <c r="O879" s="7"/>
      <c r="P879" s="7"/>
      <c r="Q879" s="7"/>
    </row>
    <row r="880" spans="1:17" ht="13.9">
      <c r="A880" s="3">
        <v>28123067</v>
      </c>
      <c r="B880" s="3" t="s">
        <v>41</v>
      </c>
      <c r="C880" s="3" t="s">
        <v>60</v>
      </c>
      <c r="D880" s="3">
        <v>9</v>
      </c>
      <c r="E880" s="3"/>
      <c r="F880" s="6">
        <v>42942</v>
      </c>
      <c r="G880" s="5">
        <v>5</v>
      </c>
      <c r="H880" s="3" t="s">
        <v>63</v>
      </c>
      <c r="I880" s="3" t="s">
        <v>8</v>
      </c>
      <c r="J880" s="7" t="b">
        <v>1</v>
      </c>
      <c r="K880" s="7"/>
      <c r="L880" s="7"/>
      <c r="M880" s="7"/>
      <c r="N880" s="7"/>
      <c r="O880" s="7"/>
      <c r="P880" s="7"/>
      <c r="Q880" s="7"/>
    </row>
    <row r="881" spans="1:17" ht="13.9">
      <c r="A881" s="3">
        <v>21313004</v>
      </c>
      <c r="B881" s="5">
        <v>10</v>
      </c>
      <c r="C881" s="3" t="s">
        <v>60</v>
      </c>
      <c r="D881" s="5">
        <v>17</v>
      </c>
      <c r="E881" s="3"/>
      <c r="F881" s="6">
        <v>38947</v>
      </c>
      <c r="G881" s="5">
        <v>16</v>
      </c>
      <c r="H881" s="3" t="s">
        <v>61</v>
      </c>
      <c r="I881" s="3" t="s">
        <v>7</v>
      </c>
      <c r="J881" s="7" t="b">
        <v>1</v>
      </c>
      <c r="K881" s="7"/>
      <c r="L881" s="7"/>
      <c r="M881" s="7"/>
      <c r="N881" s="7"/>
      <c r="O881" s="7"/>
      <c r="P881" s="7"/>
      <c r="Q881" s="7"/>
    </row>
    <row r="882" spans="1:17" ht="13.9">
      <c r="A882" s="3">
        <v>22914197</v>
      </c>
      <c r="B882" s="3">
        <v>6</v>
      </c>
      <c r="C882" s="3" t="s">
        <v>60</v>
      </c>
      <c r="D882" s="3">
        <v>7</v>
      </c>
      <c r="E882" s="3"/>
      <c r="F882" s="6">
        <v>40636</v>
      </c>
      <c r="G882" s="5">
        <v>11</v>
      </c>
      <c r="H882" s="3" t="s">
        <v>63</v>
      </c>
      <c r="I882" s="3" t="s">
        <v>6</v>
      </c>
      <c r="J882" s="7" t="b">
        <v>1</v>
      </c>
      <c r="K882" s="7"/>
      <c r="L882" s="7"/>
      <c r="M882" s="7"/>
      <c r="N882" s="7"/>
      <c r="O882" s="7"/>
      <c r="P882" s="7"/>
      <c r="Q882" s="7"/>
    </row>
    <row r="883" spans="1:17" ht="13.9">
      <c r="A883" s="3">
        <v>9415044</v>
      </c>
      <c r="B883" s="3">
        <v>7</v>
      </c>
      <c r="C883" s="3" t="s">
        <v>60</v>
      </c>
      <c r="D883" s="3">
        <v>7</v>
      </c>
      <c r="E883" s="3"/>
      <c r="F883" s="6">
        <v>39924</v>
      </c>
      <c r="G883" s="5">
        <v>13</v>
      </c>
      <c r="H883" s="3" t="s">
        <v>61</v>
      </c>
      <c r="I883" s="3" t="s">
        <v>8</v>
      </c>
      <c r="J883" s="7" t="b">
        <v>1</v>
      </c>
      <c r="K883" s="7"/>
      <c r="L883" s="7"/>
      <c r="M883" s="7"/>
      <c r="N883" s="7"/>
      <c r="O883" s="7"/>
      <c r="P883" s="7"/>
      <c r="Q883" s="7"/>
    </row>
    <row r="884" spans="1:17" ht="13.9">
      <c r="A884" s="3">
        <v>35420167</v>
      </c>
      <c r="B884" s="3" t="s">
        <v>41</v>
      </c>
      <c r="C884" s="3" t="s">
        <v>60</v>
      </c>
      <c r="D884" s="3">
        <v>9</v>
      </c>
      <c r="E884" s="3"/>
      <c r="F884" s="9">
        <v>42860</v>
      </c>
      <c r="G884" s="5">
        <v>5</v>
      </c>
      <c r="H884" s="3" t="s">
        <v>63</v>
      </c>
      <c r="I884" s="3" t="s">
        <v>7</v>
      </c>
      <c r="J884" s="7" t="b">
        <v>1</v>
      </c>
      <c r="K884" s="7"/>
      <c r="L884" s="7"/>
      <c r="M884" s="7"/>
      <c r="N884" s="7"/>
      <c r="O884" s="7"/>
      <c r="P884" s="7"/>
      <c r="Q884" s="7"/>
    </row>
    <row r="885" spans="1:17" ht="13.9">
      <c r="A885" s="3">
        <v>31709017</v>
      </c>
      <c r="B885" s="5">
        <v>13</v>
      </c>
      <c r="C885" s="3" t="s">
        <v>65</v>
      </c>
      <c r="D885" s="5">
        <v>10</v>
      </c>
      <c r="E885" s="3"/>
      <c r="F885" s="6">
        <v>37553</v>
      </c>
      <c r="G885" s="5">
        <v>20</v>
      </c>
      <c r="H885" s="3" t="s">
        <v>61</v>
      </c>
      <c r="I885" s="3" t="s">
        <v>4</v>
      </c>
      <c r="J885" s="7" t="b">
        <v>1</v>
      </c>
      <c r="K885" s="7"/>
      <c r="L885" s="7"/>
      <c r="M885" s="7"/>
      <c r="N885" s="7"/>
      <c r="O885" s="7"/>
      <c r="P885" s="7"/>
      <c r="Q885" s="7"/>
    </row>
    <row r="886" spans="1:17" ht="13.9">
      <c r="A886" s="3">
        <v>22122066</v>
      </c>
      <c r="B886" s="3">
        <v>1</v>
      </c>
      <c r="C886" s="3" t="s">
        <v>60</v>
      </c>
      <c r="D886" s="3">
        <v>7</v>
      </c>
      <c r="E886" s="3">
        <v>9</v>
      </c>
      <c r="F886" s="6">
        <v>42177</v>
      </c>
      <c r="G886" s="5">
        <v>7</v>
      </c>
      <c r="H886" s="3" t="s">
        <v>63</v>
      </c>
      <c r="I886" s="3" t="s">
        <v>7</v>
      </c>
      <c r="J886" s="7" t="b">
        <v>1</v>
      </c>
      <c r="K886" s="7"/>
      <c r="L886" s="7"/>
      <c r="M886" s="7"/>
      <c r="N886" s="7"/>
      <c r="O886" s="7"/>
      <c r="P886" s="7"/>
      <c r="Q886" s="7"/>
    </row>
    <row r="887" spans="1:17" ht="13.9">
      <c r="A887" s="3">
        <v>26918026</v>
      </c>
      <c r="B887" s="3">
        <v>5</v>
      </c>
      <c r="C887" s="3" t="s">
        <v>60</v>
      </c>
      <c r="D887" s="3">
        <v>9</v>
      </c>
      <c r="E887" s="3"/>
      <c r="F887" s="6">
        <v>41016</v>
      </c>
      <c r="G887" s="5">
        <v>10</v>
      </c>
      <c r="H887" s="3" t="s">
        <v>61</v>
      </c>
      <c r="I887" s="3" t="s">
        <v>7</v>
      </c>
      <c r="J887" s="7" t="b">
        <v>1</v>
      </c>
      <c r="K887" s="7"/>
      <c r="L887" s="7"/>
      <c r="M887" s="7"/>
      <c r="N887" s="7"/>
      <c r="O887" s="7"/>
      <c r="P887" s="7"/>
      <c r="Q887" s="7"/>
    </row>
    <row r="888" spans="1:17" ht="13.9">
      <c r="A888" s="3">
        <v>16117051</v>
      </c>
      <c r="B888" s="3">
        <v>6</v>
      </c>
      <c r="C888" s="3" t="s">
        <v>60</v>
      </c>
      <c r="D888" s="3">
        <v>7</v>
      </c>
      <c r="E888" s="3"/>
      <c r="F888" s="6">
        <v>40450</v>
      </c>
      <c r="G888" s="5">
        <v>12</v>
      </c>
      <c r="H888" s="3" t="s">
        <v>61</v>
      </c>
      <c r="I888" s="3" t="s">
        <v>7</v>
      </c>
      <c r="J888" s="7" t="b">
        <v>1</v>
      </c>
      <c r="K888" s="7"/>
      <c r="L888" s="7"/>
      <c r="M888" s="7"/>
      <c r="N888" s="7"/>
      <c r="O888" s="7"/>
      <c r="P888" s="7"/>
      <c r="Q888" s="7"/>
    </row>
    <row r="889" spans="1:17" ht="13.9">
      <c r="A889" s="3">
        <v>31817307</v>
      </c>
      <c r="B889" s="3" t="s">
        <v>41</v>
      </c>
      <c r="C889" s="3" t="s">
        <v>60</v>
      </c>
      <c r="D889" s="3">
        <v>8</v>
      </c>
      <c r="E889" s="3">
        <v>9</v>
      </c>
      <c r="F889" s="6">
        <v>42644</v>
      </c>
      <c r="G889" s="5">
        <v>6</v>
      </c>
      <c r="H889" s="3" t="s">
        <v>63</v>
      </c>
      <c r="I889" s="3" t="s">
        <v>4</v>
      </c>
      <c r="J889" s="7" t="b">
        <v>1</v>
      </c>
      <c r="K889" s="7"/>
      <c r="L889" s="7"/>
      <c r="M889" s="7"/>
      <c r="N889" s="7"/>
      <c r="O889" s="7"/>
      <c r="P889" s="7"/>
      <c r="Q889" s="7"/>
    </row>
    <row r="890" spans="1:17" ht="13.9">
      <c r="A890" s="3">
        <v>7120121</v>
      </c>
      <c r="B890" s="3">
        <v>3</v>
      </c>
      <c r="C890" s="3" t="s">
        <v>60</v>
      </c>
      <c r="D890" s="3">
        <v>9</v>
      </c>
      <c r="E890" s="3"/>
      <c r="F890" s="6">
        <v>41623</v>
      </c>
      <c r="G890" s="5">
        <v>8</v>
      </c>
      <c r="H890" s="3" t="s">
        <v>61</v>
      </c>
      <c r="I890" s="3" t="s">
        <v>6</v>
      </c>
      <c r="J890" s="7" t="b">
        <v>1</v>
      </c>
      <c r="K890" s="7"/>
      <c r="L890" s="7"/>
      <c r="M890" s="7"/>
      <c r="N890" s="7"/>
      <c r="O890" s="7"/>
      <c r="P890" s="7"/>
      <c r="Q890" s="7"/>
    </row>
    <row r="891" spans="1:17" ht="13.9">
      <c r="A891" s="3">
        <v>22120021</v>
      </c>
      <c r="B891" s="3">
        <v>3</v>
      </c>
      <c r="C891" s="3" t="s">
        <v>60</v>
      </c>
      <c r="D891" s="3">
        <v>9</v>
      </c>
      <c r="E891" s="3"/>
      <c r="F891" s="6">
        <v>41648</v>
      </c>
      <c r="G891" s="5">
        <v>8</v>
      </c>
      <c r="H891" s="3" t="s">
        <v>63</v>
      </c>
      <c r="I891" s="3" t="s">
        <v>6</v>
      </c>
      <c r="J891" s="7" t="b">
        <v>1</v>
      </c>
      <c r="K891" s="7"/>
      <c r="L891" s="7"/>
      <c r="M891" s="7"/>
      <c r="N891" s="7"/>
      <c r="O891" s="7"/>
      <c r="P891" s="7"/>
      <c r="Q891" s="7"/>
    </row>
    <row r="892" spans="1:17" ht="13.9">
      <c r="A892" s="3">
        <v>8714905</v>
      </c>
      <c r="B892" s="3">
        <v>4</v>
      </c>
      <c r="C892" s="3" t="s">
        <v>62</v>
      </c>
      <c r="D892" s="5">
        <v>11</v>
      </c>
      <c r="E892" s="3">
        <v>9</v>
      </c>
      <c r="F892" s="6">
        <v>40511</v>
      </c>
      <c r="G892" s="5">
        <v>12</v>
      </c>
      <c r="H892" s="3" t="s">
        <v>61</v>
      </c>
      <c r="I892" s="3" t="s">
        <v>7</v>
      </c>
      <c r="J892" s="7" t="b">
        <v>1</v>
      </c>
      <c r="K892" s="7"/>
      <c r="L892" s="7"/>
      <c r="M892" s="7"/>
      <c r="N892" s="7"/>
      <c r="O892" s="7"/>
      <c r="P892" s="7"/>
      <c r="Q892" s="7"/>
    </row>
    <row r="893" spans="1:17" ht="13.9">
      <c r="A893" s="3">
        <v>2519078</v>
      </c>
      <c r="B893" s="3">
        <v>1</v>
      </c>
      <c r="C893" s="3" t="s">
        <v>62</v>
      </c>
      <c r="D893" s="3">
        <v>8</v>
      </c>
      <c r="E893" s="3">
        <v>9</v>
      </c>
      <c r="F893" s="6">
        <v>42271</v>
      </c>
      <c r="G893" s="5">
        <v>7</v>
      </c>
      <c r="H893" s="3" t="s">
        <v>63</v>
      </c>
      <c r="I893" s="3" t="s">
        <v>7</v>
      </c>
      <c r="J893" s="7" t="b">
        <v>1</v>
      </c>
      <c r="K893" s="7"/>
      <c r="L893" s="7"/>
      <c r="M893" s="7"/>
      <c r="N893" s="7"/>
      <c r="O893" s="7"/>
      <c r="P893" s="7"/>
      <c r="Q893" s="7"/>
    </row>
    <row r="894" spans="1:17" ht="13.9">
      <c r="A894" s="3">
        <v>8322028</v>
      </c>
      <c r="B894" s="3">
        <v>1</v>
      </c>
      <c r="C894" s="3" t="s">
        <v>60</v>
      </c>
      <c r="D894" s="3">
        <v>8</v>
      </c>
      <c r="E894" s="3">
        <v>9</v>
      </c>
      <c r="F894" s="6">
        <v>42225</v>
      </c>
      <c r="G894" s="5">
        <v>7</v>
      </c>
      <c r="H894" s="3" t="s">
        <v>63</v>
      </c>
      <c r="I894" s="3" t="s">
        <v>7</v>
      </c>
      <c r="J894" s="7" t="b">
        <v>1</v>
      </c>
      <c r="K894" s="7"/>
      <c r="L894" s="7"/>
      <c r="M894" s="7"/>
      <c r="N894" s="7"/>
      <c r="O894" s="7"/>
      <c r="P894" s="7"/>
      <c r="Q894" s="7"/>
    </row>
    <row r="895" spans="1:17" ht="13.9">
      <c r="A895" s="3">
        <v>31015018</v>
      </c>
      <c r="B895" s="3">
        <v>8</v>
      </c>
      <c r="C895" s="3" t="s">
        <v>65</v>
      </c>
      <c r="D895" s="3">
        <v>6</v>
      </c>
      <c r="E895" s="3"/>
      <c r="F895" s="6">
        <v>40024</v>
      </c>
      <c r="G895" s="5">
        <v>13</v>
      </c>
      <c r="H895" s="3" t="s">
        <v>63</v>
      </c>
      <c r="I895" s="3" t="s">
        <v>4</v>
      </c>
      <c r="J895" s="7" t="b">
        <v>1</v>
      </c>
      <c r="K895" s="7"/>
      <c r="L895" s="7"/>
      <c r="M895" s="7"/>
      <c r="N895" s="7"/>
      <c r="O895" s="7"/>
      <c r="P895" s="7"/>
      <c r="Q895" s="7"/>
    </row>
    <row r="896" spans="1:17" ht="13.9">
      <c r="A896" s="3">
        <v>4109795</v>
      </c>
      <c r="B896" s="3">
        <v>5</v>
      </c>
      <c r="C896" s="3" t="s">
        <v>60</v>
      </c>
      <c r="D896" s="3">
        <v>7</v>
      </c>
      <c r="E896" s="3">
        <v>9</v>
      </c>
      <c r="F896" s="6">
        <v>40820</v>
      </c>
      <c r="G896" s="5">
        <v>11</v>
      </c>
      <c r="H896" s="3" t="s">
        <v>61</v>
      </c>
      <c r="I896" s="3" t="s">
        <v>8</v>
      </c>
      <c r="J896" s="7" t="b">
        <v>1</v>
      </c>
      <c r="K896" s="7"/>
      <c r="L896" s="7"/>
      <c r="M896" s="7"/>
      <c r="N896" s="7"/>
      <c r="O896" s="7"/>
      <c r="P896" s="7"/>
      <c r="Q896" s="7"/>
    </row>
    <row r="897" spans="1:17" ht="13.9">
      <c r="A897" s="3">
        <v>16212062</v>
      </c>
      <c r="B897" s="5">
        <v>11</v>
      </c>
      <c r="C897" s="3" t="s">
        <v>60</v>
      </c>
      <c r="D897" s="3">
        <v>7</v>
      </c>
      <c r="E897" s="3"/>
      <c r="F897" s="6">
        <v>38610</v>
      </c>
      <c r="G897" s="5">
        <v>17</v>
      </c>
      <c r="H897" s="3" t="s">
        <v>61</v>
      </c>
      <c r="I897" s="3" t="s">
        <v>4</v>
      </c>
      <c r="J897" s="7" t="b">
        <v>1</v>
      </c>
      <c r="K897" s="7"/>
      <c r="L897" s="7"/>
      <c r="M897" s="7"/>
      <c r="N897" s="7"/>
      <c r="O897" s="7"/>
      <c r="P897" s="7"/>
      <c r="Q897" s="7"/>
    </row>
    <row r="898" spans="1:17" ht="13.9">
      <c r="A898" s="3">
        <v>23319071</v>
      </c>
      <c r="B898" s="3">
        <v>6</v>
      </c>
      <c r="C898" s="3" t="s">
        <v>60</v>
      </c>
      <c r="D898" s="3">
        <v>9</v>
      </c>
      <c r="E898" s="3"/>
      <c r="F898" s="6">
        <v>40598</v>
      </c>
      <c r="G898" s="5">
        <v>11</v>
      </c>
      <c r="H898" s="3" t="s">
        <v>63</v>
      </c>
      <c r="I898" s="3" t="s">
        <v>7</v>
      </c>
      <c r="J898" s="7" t="b">
        <v>1</v>
      </c>
      <c r="K898" s="7"/>
      <c r="L898" s="7"/>
      <c r="M898" s="7"/>
      <c r="N898" s="7"/>
      <c r="O898" s="7"/>
      <c r="P898" s="7"/>
      <c r="Q898" s="7"/>
    </row>
    <row r="899" spans="1:17" ht="13.9">
      <c r="A899" s="3">
        <v>31817055</v>
      </c>
      <c r="B899" s="3">
        <v>2</v>
      </c>
      <c r="C899" s="3" t="s">
        <v>65</v>
      </c>
      <c r="D899" s="5">
        <v>11</v>
      </c>
      <c r="E899" s="3">
        <v>9</v>
      </c>
      <c r="F899" s="6">
        <v>41747</v>
      </c>
      <c r="G899" s="5">
        <v>8</v>
      </c>
      <c r="H899" s="3" t="s">
        <v>61</v>
      </c>
      <c r="I899" s="3" t="s">
        <v>7</v>
      </c>
      <c r="J899" s="7" t="b">
        <v>1</v>
      </c>
      <c r="K899" s="7"/>
      <c r="L899" s="7"/>
      <c r="M899" s="7"/>
      <c r="N899" s="7"/>
      <c r="O899" s="7"/>
      <c r="P899" s="7"/>
      <c r="Q899" s="7"/>
    </row>
    <row r="900" spans="1:17" ht="13.9">
      <c r="A900" s="3">
        <v>24117038</v>
      </c>
      <c r="B900" s="3">
        <v>4</v>
      </c>
      <c r="C900" s="3" t="s">
        <v>62</v>
      </c>
      <c r="D900" s="5">
        <v>17</v>
      </c>
      <c r="E900" s="3"/>
      <c r="F900" s="6">
        <v>40926</v>
      </c>
      <c r="G900" s="5">
        <v>10</v>
      </c>
      <c r="H900" s="3" t="s">
        <v>63</v>
      </c>
      <c r="I900" s="3" t="s">
        <v>4</v>
      </c>
      <c r="J900" s="7" t="b">
        <v>1</v>
      </c>
      <c r="K900" s="7"/>
      <c r="L900" s="7"/>
      <c r="M900" s="7"/>
      <c r="N900" s="7"/>
      <c r="O900" s="7"/>
      <c r="P900" s="7"/>
      <c r="Q900" s="7"/>
    </row>
    <row r="901" spans="1:17" ht="13.9">
      <c r="A901" s="5">
        <v>514212050</v>
      </c>
      <c r="B901" s="5">
        <v>11</v>
      </c>
      <c r="C901" s="3" t="s">
        <v>64</v>
      </c>
      <c r="D901" s="5">
        <v>17</v>
      </c>
      <c r="E901" s="3">
        <v>7</v>
      </c>
      <c r="F901" s="6">
        <v>38640</v>
      </c>
      <c r="G901" s="5">
        <v>17</v>
      </c>
      <c r="H901" s="3" t="s">
        <v>63</v>
      </c>
      <c r="I901" s="3" t="s">
        <v>7</v>
      </c>
      <c r="J901" s="7" t="b">
        <v>1</v>
      </c>
      <c r="K901" s="7"/>
      <c r="L901" s="7"/>
      <c r="M901" s="7"/>
      <c r="N901" s="7"/>
      <c r="O901" s="7"/>
      <c r="P901" s="7"/>
      <c r="Q901" s="7"/>
    </row>
    <row r="902" spans="1:17" ht="13.9">
      <c r="A902" s="3">
        <v>15712086</v>
      </c>
      <c r="B902" s="5">
        <v>11</v>
      </c>
      <c r="C902" s="3" t="s">
        <v>60</v>
      </c>
      <c r="D902" s="5">
        <v>17</v>
      </c>
      <c r="E902" s="3">
        <v>7</v>
      </c>
      <c r="F902" s="6">
        <v>38773</v>
      </c>
      <c r="G902" s="5">
        <v>16</v>
      </c>
      <c r="H902" s="3" t="s">
        <v>63</v>
      </c>
      <c r="I902" s="3" t="s">
        <v>7</v>
      </c>
      <c r="J902" s="7" t="b">
        <v>1</v>
      </c>
      <c r="K902" s="7"/>
      <c r="L902" s="7"/>
      <c r="M902" s="7"/>
      <c r="N902" s="7"/>
      <c r="O902" s="7"/>
      <c r="P902" s="7"/>
      <c r="Q902" s="7"/>
    </row>
    <row r="903" spans="1:17" ht="13.9">
      <c r="A903" s="3">
        <v>7222064</v>
      </c>
      <c r="B903" s="3">
        <v>3</v>
      </c>
      <c r="C903" s="3" t="s">
        <v>60</v>
      </c>
      <c r="D903" s="5">
        <v>10</v>
      </c>
      <c r="E903" s="3">
        <v>9</v>
      </c>
      <c r="F903" s="6">
        <v>41477</v>
      </c>
      <c r="G903" s="5">
        <v>9</v>
      </c>
      <c r="H903" s="3" t="s">
        <v>63</v>
      </c>
      <c r="I903" s="3" t="s">
        <v>4</v>
      </c>
      <c r="J903" s="7" t="b">
        <v>1</v>
      </c>
      <c r="K903" s="7"/>
      <c r="L903" s="7"/>
      <c r="M903" s="7"/>
      <c r="N903" s="7"/>
      <c r="O903" s="7"/>
      <c r="P903" s="7"/>
      <c r="Q903" s="7"/>
    </row>
    <row r="904" spans="1:17" ht="13.9">
      <c r="A904" s="3">
        <v>7213089</v>
      </c>
      <c r="B904" s="5">
        <v>10</v>
      </c>
      <c r="C904" s="3" t="s">
        <v>60</v>
      </c>
      <c r="D904" s="3">
        <v>7</v>
      </c>
      <c r="E904" s="3"/>
      <c r="F904" s="6">
        <v>38972</v>
      </c>
      <c r="G904" s="5">
        <v>16</v>
      </c>
      <c r="H904" s="3" t="s">
        <v>61</v>
      </c>
      <c r="I904" s="3" t="s">
        <v>7</v>
      </c>
      <c r="J904" s="7" t="b">
        <v>1</v>
      </c>
      <c r="K904" s="7"/>
      <c r="L904" s="7"/>
      <c r="M904" s="7"/>
      <c r="N904" s="7"/>
      <c r="O904" s="7"/>
      <c r="P904" s="7"/>
      <c r="Q904" s="7"/>
    </row>
    <row r="905" spans="1:17" ht="13.9">
      <c r="A905" s="3">
        <v>22916305</v>
      </c>
      <c r="B905" s="3">
        <v>4</v>
      </c>
      <c r="C905" s="3" t="s">
        <v>60</v>
      </c>
      <c r="D905" s="3">
        <v>9</v>
      </c>
      <c r="E905" s="3"/>
      <c r="F905" s="6">
        <v>41162</v>
      </c>
      <c r="G905" s="5">
        <v>10</v>
      </c>
      <c r="H905" s="3" t="s">
        <v>61</v>
      </c>
      <c r="I905" s="3" t="s">
        <v>7</v>
      </c>
      <c r="J905" s="7" t="b">
        <v>1</v>
      </c>
      <c r="K905" s="7"/>
      <c r="L905" s="7"/>
      <c r="M905" s="7"/>
      <c r="N905" s="7"/>
      <c r="O905" s="7"/>
      <c r="P905" s="7"/>
      <c r="Q905" s="7"/>
    </row>
    <row r="906" spans="1:17" ht="13.9">
      <c r="A906" s="3">
        <v>2019094</v>
      </c>
      <c r="B906" s="3">
        <v>1</v>
      </c>
      <c r="C906" s="3" t="s">
        <v>60</v>
      </c>
      <c r="D906" s="3">
        <v>4</v>
      </c>
      <c r="E906" s="3">
        <v>9</v>
      </c>
      <c r="F906" s="6">
        <v>42487</v>
      </c>
      <c r="G906" s="5">
        <v>6</v>
      </c>
      <c r="H906" s="3" t="s">
        <v>61</v>
      </c>
      <c r="I906" s="3" t="s">
        <v>7</v>
      </c>
      <c r="J906" s="7" t="b">
        <v>1</v>
      </c>
      <c r="K906" s="7"/>
      <c r="L906" s="7"/>
      <c r="M906" s="7"/>
      <c r="N906" s="7"/>
      <c r="O906" s="7"/>
      <c r="P906" s="7"/>
      <c r="Q906" s="7"/>
    </row>
    <row r="907" spans="1:17" ht="13.9">
      <c r="A907" s="3">
        <v>27022013</v>
      </c>
      <c r="B907" s="3">
        <v>1</v>
      </c>
      <c r="C907" s="3" t="s">
        <v>60</v>
      </c>
      <c r="D907" s="3">
        <v>9</v>
      </c>
      <c r="E907" s="3"/>
      <c r="F907" s="9">
        <v>42508</v>
      </c>
      <c r="G907" s="5">
        <v>6</v>
      </c>
      <c r="H907" s="3" t="s">
        <v>61</v>
      </c>
      <c r="I907" s="3" t="s">
        <v>4</v>
      </c>
      <c r="J907" s="7" t="b">
        <v>1</v>
      </c>
      <c r="K907" s="7"/>
      <c r="L907" s="7"/>
      <c r="M907" s="7"/>
      <c r="N907" s="7"/>
      <c r="O907" s="7"/>
      <c r="P907" s="7"/>
      <c r="Q907" s="7"/>
    </row>
    <row r="908" spans="1:17" ht="13.9">
      <c r="A908" s="3">
        <v>4514004</v>
      </c>
      <c r="B908" s="3">
        <v>8</v>
      </c>
      <c r="C908" s="3" t="s">
        <v>147</v>
      </c>
      <c r="D908" s="3">
        <v>5</v>
      </c>
      <c r="E908" s="5">
        <v>17</v>
      </c>
      <c r="F908" s="6">
        <v>39612</v>
      </c>
      <c r="G908" s="5">
        <v>14</v>
      </c>
      <c r="H908" s="3" t="s">
        <v>63</v>
      </c>
      <c r="I908" s="3" t="s">
        <v>7</v>
      </c>
      <c r="J908" s="7" t="b">
        <v>1</v>
      </c>
      <c r="K908" s="7"/>
      <c r="L908" s="7"/>
      <c r="M908" s="7"/>
      <c r="N908" s="7"/>
      <c r="O908" s="7"/>
      <c r="P908" s="7"/>
      <c r="Q908" s="7"/>
    </row>
    <row r="909" spans="1:17" ht="13.9">
      <c r="A909" s="3" t="s">
        <v>148</v>
      </c>
      <c r="B909" s="3">
        <v>6</v>
      </c>
      <c r="C909" s="3" t="s">
        <v>60</v>
      </c>
      <c r="D909" s="5">
        <v>10</v>
      </c>
      <c r="E909" s="3">
        <v>9</v>
      </c>
      <c r="F909" s="6">
        <v>40623</v>
      </c>
      <c r="G909" s="5">
        <v>11</v>
      </c>
      <c r="H909" s="3" t="s">
        <v>63</v>
      </c>
      <c r="I909" s="3" t="s">
        <v>4</v>
      </c>
      <c r="J909" s="7" t="b">
        <v>1</v>
      </c>
      <c r="K909" s="7"/>
      <c r="L909" s="7"/>
      <c r="M909" s="7"/>
      <c r="N909" s="7"/>
      <c r="O909" s="7"/>
      <c r="P909" s="7"/>
      <c r="Q909" s="7"/>
    </row>
    <row r="910" spans="1:17" ht="13.9">
      <c r="A910" s="3">
        <v>26517018</v>
      </c>
      <c r="B910" s="3">
        <v>6</v>
      </c>
      <c r="C910" s="3" t="s">
        <v>60</v>
      </c>
      <c r="D910" s="3">
        <v>7</v>
      </c>
      <c r="E910" s="3"/>
      <c r="F910" s="6">
        <v>40651</v>
      </c>
      <c r="G910" s="5">
        <v>11</v>
      </c>
      <c r="H910" s="3" t="s">
        <v>61</v>
      </c>
      <c r="I910" s="3" t="s">
        <v>7</v>
      </c>
      <c r="J910" s="7" t="b">
        <v>1</v>
      </c>
      <c r="K910" s="7"/>
      <c r="L910" s="7"/>
      <c r="M910" s="7"/>
      <c r="N910" s="7"/>
      <c r="O910" s="7"/>
      <c r="P910" s="7"/>
      <c r="Q910" s="7"/>
    </row>
    <row r="911" spans="1:17" ht="13.9">
      <c r="A911" s="5">
        <v>919712059</v>
      </c>
      <c r="B911" s="5">
        <v>11</v>
      </c>
      <c r="C911" s="3" t="s">
        <v>60</v>
      </c>
      <c r="D911" s="5">
        <v>17</v>
      </c>
      <c r="E911" s="3"/>
      <c r="F911" s="6">
        <v>38556</v>
      </c>
      <c r="G911" s="5">
        <v>17</v>
      </c>
      <c r="H911" s="3" t="s">
        <v>63</v>
      </c>
      <c r="I911" s="3" t="s">
        <v>7</v>
      </c>
      <c r="J911" s="7" t="b">
        <v>1</v>
      </c>
      <c r="K911" s="7"/>
      <c r="L911" s="7"/>
      <c r="M911" s="7"/>
      <c r="N911" s="7"/>
      <c r="O911" s="7"/>
      <c r="P911" s="7"/>
      <c r="Q911" s="7"/>
    </row>
    <row r="912" spans="1:17" ht="13.9">
      <c r="A912" s="3">
        <v>22118047</v>
      </c>
      <c r="B912" s="3">
        <v>5</v>
      </c>
      <c r="C912" s="3" t="s">
        <v>60</v>
      </c>
      <c r="D912" s="5">
        <v>17</v>
      </c>
      <c r="E912" s="3"/>
      <c r="F912" s="6">
        <v>40914</v>
      </c>
      <c r="G912" s="5">
        <v>10</v>
      </c>
      <c r="H912" s="3" t="s">
        <v>63</v>
      </c>
      <c r="I912" s="3" t="s">
        <v>6</v>
      </c>
      <c r="J912" s="7" t="b">
        <v>1</v>
      </c>
      <c r="K912" s="7"/>
      <c r="L912" s="7"/>
      <c r="M912" s="7"/>
      <c r="N912" s="7"/>
      <c r="O912" s="7"/>
      <c r="P912" s="7"/>
      <c r="Q912" s="7"/>
    </row>
    <row r="913" spans="1:17" ht="13.9">
      <c r="A913" s="3">
        <v>16110027</v>
      </c>
      <c r="B913" s="5">
        <v>12</v>
      </c>
      <c r="C913" s="3" t="s">
        <v>60</v>
      </c>
      <c r="D913" s="3">
        <v>7</v>
      </c>
      <c r="E913" s="3"/>
      <c r="F913" s="6">
        <v>38098</v>
      </c>
      <c r="G913" s="5">
        <v>18</v>
      </c>
      <c r="H913" s="3" t="s">
        <v>63</v>
      </c>
      <c r="I913" s="3" t="s">
        <v>6</v>
      </c>
      <c r="J913" s="7" t="b">
        <v>1</v>
      </c>
      <c r="K913" s="7"/>
      <c r="L913" s="7"/>
      <c r="M913" s="7"/>
      <c r="N913" s="7"/>
      <c r="O913" s="7"/>
      <c r="P913" s="7"/>
      <c r="Q913" s="7"/>
    </row>
    <row r="914" spans="1:17" ht="13.9">
      <c r="A914" s="3">
        <v>28519005</v>
      </c>
      <c r="B914" s="5">
        <v>11</v>
      </c>
      <c r="C914" s="3" t="s">
        <v>65</v>
      </c>
      <c r="D914" s="5">
        <v>17</v>
      </c>
      <c r="E914" s="3"/>
      <c r="F914" s="6">
        <v>38703</v>
      </c>
      <c r="G914" s="5">
        <v>16</v>
      </c>
      <c r="H914" s="3" t="s">
        <v>63</v>
      </c>
      <c r="I914" s="3" t="s">
        <v>7</v>
      </c>
      <c r="J914" s="7" t="b">
        <v>1</v>
      </c>
      <c r="K914" s="7"/>
      <c r="L914" s="7"/>
      <c r="M914" s="7"/>
      <c r="N914" s="7"/>
      <c r="O914" s="7"/>
      <c r="P914" s="7"/>
      <c r="Q914" s="7"/>
    </row>
    <row r="915" spans="1:17" ht="13.9">
      <c r="A915" s="3">
        <v>7222025</v>
      </c>
      <c r="B915" s="3">
        <v>1</v>
      </c>
      <c r="C915" s="3" t="s">
        <v>60</v>
      </c>
      <c r="D915" s="3">
        <v>9</v>
      </c>
      <c r="E915" s="3"/>
      <c r="F915" s="6">
        <v>42454</v>
      </c>
      <c r="G915" s="5">
        <v>6</v>
      </c>
      <c r="H915" s="3" t="s">
        <v>63</v>
      </c>
      <c r="I915" s="3" t="s">
        <v>7</v>
      </c>
      <c r="J915" s="7" t="b">
        <v>1</v>
      </c>
      <c r="K915" s="7"/>
      <c r="L915" s="7"/>
      <c r="M915" s="7"/>
      <c r="N915" s="7"/>
      <c r="O915" s="7"/>
      <c r="P915" s="7"/>
      <c r="Q915" s="7"/>
    </row>
    <row r="916" spans="1:17" ht="13.9">
      <c r="A916" s="5">
        <v>343417120</v>
      </c>
      <c r="B916" s="3">
        <v>6</v>
      </c>
      <c r="C916" s="3" t="s">
        <v>64</v>
      </c>
      <c r="D916" s="3">
        <v>7</v>
      </c>
      <c r="E916" s="3"/>
      <c r="F916" s="6">
        <v>40398</v>
      </c>
      <c r="G916" s="5">
        <v>12</v>
      </c>
      <c r="H916" s="3" t="s">
        <v>63</v>
      </c>
      <c r="I916" s="3" t="s">
        <v>8</v>
      </c>
      <c r="J916" s="7" t="b">
        <v>1</v>
      </c>
      <c r="K916" s="7"/>
      <c r="L916" s="7"/>
      <c r="M916" s="7"/>
      <c r="N916" s="7"/>
      <c r="O916" s="7"/>
      <c r="P916" s="7"/>
      <c r="Q916" s="7"/>
    </row>
    <row r="917" spans="1:17" ht="13.9">
      <c r="A917" s="3">
        <v>35421056</v>
      </c>
      <c r="B917" s="3" t="s">
        <v>41</v>
      </c>
      <c r="C917" s="3" t="s">
        <v>60</v>
      </c>
      <c r="D917" s="3">
        <v>9</v>
      </c>
      <c r="E917" s="3"/>
      <c r="F917" s="9">
        <v>42510</v>
      </c>
      <c r="G917" s="5">
        <v>6</v>
      </c>
      <c r="H917" s="3" t="s">
        <v>63</v>
      </c>
      <c r="I917" s="3" t="s">
        <v>7</v>
      </c>
      <c r="J917" s="7" t="b">
        <v>1</v>
      </c>
      <c r="K917" s="7"/>
      <c r="L917" s="7"/>
      <c r="M917" s="7"/>
      <c r="N917" s="7"/>
      <c r="O917" s="7"/>
      <c r="P917" s="7"/>
      <c r="Q917" s="7"/>
    </row>
    <row r="918" spans="1:17" ht="13.9">
      <c r="A918" s="3">
        <v>22917071</v>
      </c>
      <c r="B918" s="3">
        <v>3</v>
      </c>
      <c r="C918" s="3" t="s">
        <v>60</v>
      </c>
      <c r="D918" s="5">
        <v>15</v>
      </c>
      <c r="E918" s="3">
        <v>9</v>
      </c>
      <c r="F918" s="6">
        <v>41682</v>
      </c>
      <c r="G918" s="5">
        <v>8</v>
      </c>
      <c r="H918" s="3" t="s">
        <v>63</v>
      </c>
      <c r="I918" s="3" t="s">
        <v>7</v>
      </c>
      <c r="J918" s="7" t="b">
        <v>1</v>
      </c>
      <c r="K918" s="7"/>
      <c r="L918" s="7"/>
      <c r="M918" s="7"/>
      <c r="N918" s="7"/>
      <c r="O918" s="7"/>
      <c r="P918" s="7"/>
      <c r="Q918" s="7"/>
    </row>
    <row r="919" spans="1:17" ht="13.9">
      <c r="A919" s="3">
        <v>2021059</v>
      </c>
      <c r="B919" s="3">
        <v>1</v>
      </c>
      <c r="C919" s="3" t="s">
        <v>60</v>
      </c>
      <c r="D919" s="3">
        <v>9</v>
      </c>
      <c r="E919" s="3"/>
      <c r="F919" s="6">
        <v>42295</v>
      </c>
      <c r="G919" s="5">
        <v>7</v>
      </c>
      <c r="H919" s="3" t="s">
        <v>63</v>
      </c>
      <c r="I919" s="3" t="s">
        <v>7</v>
      </c>
      <c r="J919" s="7" t="b">
        <v>1</v>
      </c>
      <c r="K919" s="7"/>
      <c r="L919" s="7"/>
      <c r="M919" s="7"/>
      <c r="N919" s="7"/>
      <c r="O919" s="7"/>
      <c r="P919" s="7"/>
      <c r="Q919" s="7"/>
    </row>
    <row r="920" spans="1:17" ht="13.9">
      <c r="A920" s="3">
        <v>22921286</v>
      </c>
      <c r="B920" s="3">
        <v>1</v>
      </c>
      <c r="C920" s="3" t="s">
        <v>60</v>
      </c>
      <c r="D920" s="5">
        <v>15</v>
      </c>
      <c r="E920" s="3"/>
      <c r="F920" s="6">
        <v>42185</v>
      </c>
      <c r="G920" s="5">
        <v>7</v>
      </c>
      <c r="H920" s="3" t="s">
        <v>61</v>
      </c>
      <c r="I920" s="3" t="s">
        <v>6</v>
      </c>
      <c r="J920" s="7" t="b">
        <v>1</v>
      </c>
      <c r="K920" s="7"/>
      <c r="L920" s="7"/>
      <c r="M920" s="7"/>
      <c r="N920" s="7"/>
      <c r="O920" s="7"/>
      <c r="P920" s="7"/>
      <c r="Q920" s="7"/>
    </row>
    <row r="921" spans="1:17" ht="13.9">
      <c r="A921" s="5">
        <v>240513110</v>
      </c>
      <c r="B921" s="3">
        <v>8</v>
      </c>
      <c r="C921" s="3" t="s">
        <v>64</v>
      </c>
      <c r="D921" s="3">
        <v>7</v>
      </c>
      <c r="E921" s="3"/>
      <c r="F921" s="6">
        <v>39655</v>
      </c>
      <c r="G921" s="5">
        <v>14</v>
      </c>
      <c r="H921" s="3" t="s">
        <v>63</v>
      </c>
      <c r="I921" s="3" t="s">
        <v>8</v>
      </c>
      <c r="J921" s="7" t="b">
        <v>1</v>
      </c>
      <c r="K921" s="7"/>
      <c r="L921" s="7"/>
      <c r="M921" s="7"/>
      <c r="N921" s="7"/>
      <c r="O921" s="7"/>
      <c r="P921" s="7"/>
      <c r="Q921" s="7"/>
    </row>
    <row r="922" spans="1:17" ht="13.9">
      <c r="A922" s="3" t="s">
        <v>149</v>
      </c>
      <c r="B922" s="3">
        <v>3</v>
      </c>
      <c r="C922" s="3" t="s">
        <v>60</v>
      </c>
      <c r="D922" s="5">
        <v>17</v>
      </c>
      <c r="E922" s="3"/>
      <c r="F922" s="6">
        <v>41799</v>
      </c>
      <c r="G922" s="5">
        <v>8</v>
      </c>
      <c r="H922" s="3" t="s">
        <v>63</v>
      </c>
      <c r="I922" s="3" t="s">
        <v>7</v>
      </c>
      <c r="J922" s="7" t="b">
        <v>1</v>
      </c>
      <c r="K922" s="7"/>
      <c r="L922" s="7"/>
      <c r="M922" s="7"/>
      <c r="N922" s="7"/>
      <c r="O922" s="7"/>
      <c r="P922" s="7"/>
      <c r="Q922" s="7"/>
    </row>
    <row r="923" spans="1:17" ht="13.9">
      <c r="A923" s="3">
        <v>2518128</v>
      </c>
      <c r="B923" s="3">
        <v>3</v>
      </c>
      <c r="C923" s="3" t="s">
        <v>60</v>
      </c>
      <c r="D923" s="5">
        <v>17</v>
      </c>
      <c r="E923" s="3"/>
      <c r="F923" s="6">
        <v>41666</v>
      </c>
      <c r="G923" s="5">
        <v>8</v>
      </c>
      <c r="H923" s="3" t="s">
        <v>61</v>
      </c>
      <c r="I923" s="3" t="s">
        <v>7</v>
      </c>
      <c r="J923" s="7" t="b">
        <v>1</v>
      </c>
      <c r="K923" s="7"/>
      <c r="L923" s="7"/>
      <c r="M923" s="7"/>
      <c r="N923" s="7"/>
      <c r="O923" s="7"/>
      <c r="P923" s="7"/>
      <c r="Q923" s="7"/>
    </row>
    <row r="924" spans="1:17" ht="13.9">
      <c r="A924" s="3">
        <v>21717050</v>
      </c>
      <c r="B924" s="3">
        <v>5</v>
      </c>
      <c r="C924" s="3" t="s">
        <v>60</v>
      </c>
      <c r="D924" s="3">
        <v>7</v>
      </c>
      <c r="E924" s="3"/>
      <c r="F924" s="6">
        <v>41014</v>
      </c>
      <c r="G924" s="5">
        <v>10</v>
      </c>
      <c r="H924" s="3" t="s">
        <v>61</v>
      </c>
      <c r="I924" s="3" t="s">
        <v>8</v>
      </c>
      <c r="J924" s="7" t="b">
        <v>1</v>
      </c>
      <c r="K924" s="7"/>
      <c r="L924" s="7"/>
      <c r="M924" s="7"/>
      <c r="N924" s="7"/>
      <c r="O924" s="7"/>
      <c r="P924" s="7"/>
      <c r="Q924" s="7"/>
    </row>
    <row r="925" spans="1:17" ht="13.9">
      <c r="A925" s="3">
        <v>2506120</v>
      </c>
      <c r="B925" s="5">
        <v>13</v>
      </c>
      <c r="C925" s="3" t="s">
        <v>62</v>
      </c>
      <c r="D925" s="3">
        <v>1</v>
      </c>
      <c r="E925" s="3">
        <v>9</v>
      </c>
      <c r="F925" s="6">
        <v>37715</v>
      </c>
      <c r="G925" s="5">
        <v>19</v>
      </c>
      <c r="H925" s="3" t="s">
        <v>61</v>
      </c>
      <c r="I925" s="3" t="s">
        <v>7</v>
      </c>
      <c r="J925" s="7" t="b">
        <v>1</v>
      </c>
      <c r="K925" s="7"/>
      <c r="L925" s="7"/>
      <c r="M925" s="7"/>
      <c r="N925" s="7"/>
      <c r="O925" s="7"/>
      <c r="P925" s="7"/>
      <c r="Q925" s="7"/>
    </row>
    <row r="926" spans="1:17" ht="13.9">
      <c r="A926" s="3">
        <v>9619500</v>
      </c>
      <c r="B926" s="3" t="s">
        <v>41</v>
      </c>
      <c r="C926" s="3" t="s">
        <v>60</v>
      </c>
      <c r="D926" s="3">
        <v>9</v>
      </c>
      <c r="E926" s="3"/>
      <c r="F926" s="6">
        <v>42628</v>
      </c>
      <c r="G926" s="5">
        <v>6</v>
      </c>
      <c r="H926" s="3" t="s">
        <v>61</v>
      </c>
      <c r="I926" s="3" t="s">
        <v>7</v>
      </c>
      <c r="J926" s="7" t="b">
        <v>1</v>
      </c>
      <c r="K926" s="7"/>
      <c r="L926" s="7"/>
      <c r="M926" s="7"/>
      <c r="N926" s="7"/>
      <c r="O926" s="7"/>
      <c r="P926" s="7"/>
      <c r="Q926" s="7"/>
    </row>
    <row r="927" spans="1:17" ht="13.9">
      <c r="A927" s="3">
        <v>17814003</v>
      </c>
      <c r="B927" s="3">
        <v>8</v>
      </c>
      <c r="C927" s="3" t="s">
        <v>60</v>
      </c>
      <c r="D927" s="3">
        <v>7</v>
      </c>
      <c r="E927" s="3"/>
      <c r="F927" s="6">
        <v>39749</v>
      </c>
      <c r="G927" s="5">
        <v>14</v>
      </c>
      <c r="H927" s="3" t="s">
        <v>63</v>
      </c>
      <c r="I927" s="3" t="s">
        <v>4</v>
      </c>
      <c r="J927" s="7" t="b">
        <v>1</v>
      </c>
      <c r="K927" s="7"/>
      <c r="L927" s="7"/>
      <c r="M927" s="7"/>
      <c r="N927" s="7"/>
      <c r="O927" s="7"/>
      <c r="P927" s="7"/>
      <c r="Q927" s="7"/>
    </row>
    <row r="928" spans="1:17" ht="13.9">
      <c r="A928" s="3">
        <v>2521077</v>
      </c>
      <c r="B928" s="3" t="s">
        <v>41</v>
      </c>
      <c r="C928" s="3" t="s">
        <v>60</v>
      </c>
      <c r="D928" s="3">
        <v>8</v>
      </c>
      <c r="E928" s="3">
        <v>9</v>
      </c>
      <c r="F928" s="6">
        <v>42912</v>
      </c>
      <c r="G928" s="5">
        <v>5</v>
      </c>
      <c r="H928" s="3" t="s">
        <v>63</v>
      </c>
      <c r="I928" s="3" t="s">
        <v>7</v>
      </c>
      <c r="J928" s="7" t="b">
        <v>1</v>
      </c>
      <c r="K928" s="7"/>
      <c r="L928" s="7"/>
      <c r="M928" s="7"/>
      <c r="N928" s="7"/>
      <c r="O928" s="7"/>
      <c r="P928" s="7"/>
      <c r="Q928" s="7"/>
    </row>
    <row r="929" spans="1:17" ht="13.9">
      <c r="A929" s="5">
        <v>632719452</v>
      </c>
      <c r="B929" s="3">
        <v>5</v>
      </c>
      <c r="C929" s="3" t="s">
        <v>64</v>
      </c>
      <c r="D929" s="3">
        <v>5</v>
      </c>
      <c r="E929" s="3"/>
      <c r="F929" s="6">
        <v>41073</v>
      </c>
      <c r="G929" s="5">
        <v>10</v>
      </c>
      <c r="H929" s="3" t="s">
        <v>63</v>
      </c>
      <c r="I929" s="3" t="s">
        <v>7</v>
      </c>
      <c r="J929" s="7" t="b">
        <v>1</v>
      </c>
      <c r="K929" s="7"/>
      <c r="L929" s="7"/>
      <c r="M929" s="7"/>
      <c r="N929" s="7"/>
      <c r="O929" s="7"/>
      <c r="P929" s="7"/>
      <c r="Q929" s="7"/>
    </row>
    <row r="930" spans="1:17" ht="13.9">
      <c r="A930" s="3">
        <v>8720022</v>
      </c>
      <c r="B930" s="3">
        <v>2</v>
      </c>
      <c r="C930" s="3" t="s">
        <v>65</v>
      </c>
      <c r="D930" s="3">
        <v>6</v>
      </c>
      <c r="E930" s="3"/>
      <c r="F930" s="6">
        <v>42117</v>
      </c>
      <c r="G930" s="5">
        <v>7</v>
      </c>
      <c r="H930" s="3" t="s">
        <v>63</v>
      </c>
      <c r="I930" s="3" t="s">
        <v>7</v>
      </c>
      <c r="J930" s="7" t="b">
        <v>1</v>
      </c>
      <c r="K930" s="7"/>
      <c r="L930" s="7"/>
      <c r="M930" s="7"/>
      <c r="N930" s="7"/>
      <c r="O930" s="7"/>
      <c r="P930" s="7"/>
      <c r="Q930" s="7"/>
    </row>
    <row r="931" spans="1:17" ht="13.9">
      <c r="A931" s="3">
        <v>22920003</v>
      </c>
      <c r="B931" s="3" t="s">
        <v>41</v>
      </c>
      <c r="C931" s="3" t="s">
        <v>60</v>
      </c>
      <c r="D931" s="3">
        <v>9</v>
      </c>
      <c r="E931" s="3"/>
      <c r="F931" s="6">
        <v>42816</v>
      </c>
      <c r="G931" s="5">
        <v>5</v>
      </c>
      <c r="H931" s="3" t="s">
        <v>63</v>
      </c>
      <c r="I931" s="3" t="s">
        <v>7</v>
      </c>
      <c r="J931" s="7" t="b">
        <v>1</v>
      </c>
      <c r="K931" s="7"/>
      <c r="L931" s="7"/>
      <c r="M931" s="7"/>
      <c r="N931" s="7"/>
      <c r="O931" s="7"/>
      <c r="P931" s="7"/>
      <c r="Q931" s="7"/>
    </row>
    <row r="932" spans="1:17" ht="13.9">
      <c r="A932" s="3">
        <v>31710703</v>
      </c>
      <c r="B932" s="5">
        <v>10</v>
      </c>
      <c r="C932" s="3" t="s">
        <v>62</v>
      </c>
      <c r="D932" s="5">
        <v>11</v>
      </c>
      <c r="E932" s="3">
        <v>9</v>
      </c>
      <c r="F932" s="6">
        <v>39094</v>
      </c>
      <c r="G932" s="5">
        <v>15</v>
      </c>
      <c r="H932" s="3" t="s">
        <v>63</v>
      </c>
      <c r="I932" s="3" t="s">
        <v>7</v>
      </c>
      <c r="J932" s="7" t="b">
        <v>1</v>
      </c>
      <c r="K932" s="7"/>
      <c r="L932" s="7"/>
      <c r="M932" s="7"/>
      <c r="N932" s="7"/>
      <c r="O932" s="7"/>
      <c r="P932" s="7"/>
      <c r="Q932" s="7"/>
    </row>
    <row r="933" spans="1:17" ht="13.9">
      <c r="A933" s="3">
        <v>16412021</v>
      </c>
      <c r="B933" s="5">
        <v>11</v>
      </c>
      <c r="C933" s="3" t="s">
        <v>60</v>
      </c>
      <c r="D933" s="3">
        <v>7</v>
      </c>
      <c r="E933" s="3"/>
      <c r="F933" s="6">
        <v>38818</v>
      </c>
      <c r="G933" s="5">
        <v>16</v>
      </c>
      <c r="H933" s="3" t="s">
        <v>61</v>
      </c>
      <c r="I933" s="3" t="s">
        <v>7</v>
      </c>
      <c r="J933" s="7" t="b">
        <v>1</v>
      </c>
      <c r="K933" s="7"/>
      <c r="L933" s="7"/>
      <c r="M933" s="7"/>
      <c r="N933" s="7"/>
      <c r="O933" s="7"/>
      <c r="P933" s="7"/>
      <c r="Q933" s="7"/>
    </row>
    <row r="934" spans="1:17" ht="13.9">
      <c r="A934" s="3">
        <v>31811026</v>
      </c>
      <c r="B934" s="5">
        <v>10</v>
      </c>
      <c r="C934" s="3" t="s">
        <v>62</v>
      </c>
      <c r="D934" s="3">
        <v>5</v>
      </c>
      <c r="E934" s="5">
        <v>17</v>
      </c>
      <c r="F934" s="9">
        <v>38838</v>
      </c>
      <c r="G934" s="5">
        <v>16</v>
      </c>
      <c r="H934" s="3" t="s">
        <v>63</v>
      </c>
      <c r="I934" s="3" t="s">
        <v>4</v>
      </c>
      <c r="J934" s="7" t="b">
        <v>1</v>
      </c>
      <c r="K934" s="7"/>
      <c r="L934" s="7"/>
      <c r="M934" s="7"/>
      <c r="N934" s="7"/>
      <c r="O934" s="7"/>
      <c r="P934" s="7"/>
      <c r="Q934" s="7"/>
    </row>
    <row r="935" spans="1:17" ht="13.9">
      <c r="A935" s="3">
        <v>13622022</v>
      </c>
      <c r="B935" s="3">
        <v>1</v>
      </c>
      <c r="C935" s="3" t="s">
        <v>60</v>
      </c>
      <c r="D935" s="3">
        <v>8</v>
      </c>
      <c r="E935" s="3"/>
      <c r="F935" s="6">
        <v>42366</v>
      </c>
      <c r="G935" s="5">
        <v>6</v>
      </c>
      <c r="H935" s="3" t="s">
        <v>63</v>
      </c>
      <c r="I935" s="3" t="s">
        <v>7</v>
      </c>
      <c r="J935" s="7" t="b">
        <v>1</v>
      </c>
      <c r="K935" s="7"/>
      <c r="L935" s="7"/>
      <c r="M935" s="7"/>
      <c r="N935" s="7"/>
      <c r="O935" s="7"/>
      <c r="P935" s="7"/>
      <c r="Q935" s="7"/>
    </row>
    <row r="936" spans="1:17" ht="13.9">
      <c r="A936" s="3">
        <v>36920069</v>
      </c>
      <c r="B936" s="3">
        <v>3</v>
      </c>
      <c r="C936" s="3" t="s">
        <v>60</v>
      </c>
      <c r="D936" s="3">
        <v>9</v>
      </c>
      <c r="E936" s="3"/>
      <c r="F936" s="6">
        <v>41569</v>
      </c>
      <c r="G936" s="5">
        <v>9</v>
      </c>
      <c r="H936" s="3" t="s">
        <v>61</v>
      </c>
      <c r="I936" s="3" t="s">
        <v>7</v>
      </c>
      <c r="J936" s="7" t="b">
        <v>1</v>
      </c>
      <c r="K936" s="7"/>
      <c r="L936" s="7"/>
      <c r="M936" s="7"/>
      <c r="N936" s="7"/>
      <c r="O936" s="7"/>
      <c r="P936" s="7"/>
      <c r="Q936" s="7"/>
    </row>
    <row r="937" spans="1:17" ht="13.9">
      <c r="A937" s="3">
        <v>51222017</v>
      </c>
      <c r="B937" s="5">
        <v>11</v>
      </c>
      <c r="C937" s="3" t="s">
        <v>60</v>
      </c>
      <c r="D937" s="5">
        <v>17</v>
      </c>
      <c r="E937" s="3"/>
      <c r="F937" s="6">
        <v>38615</v>
      </c>
      <c r="G937" s="5">
        <v>17</v>
      </c>
      <c r="H937" s="3" t="s">
        <v>61</v>
      </c>
      <c r="I937" s="3" t="s">
        <v>7</v>
      </c>
      <c r="J937" s="7" t="b">
        <v>1</v>
      </c>
      <c r="K937" s="7"/>
      <c r="L937" s="7"/>
      <c r="M937" s="7"/>
      <c r="N937" s="7"/>
      <c r="O937" s="7"/>
      <c r="P937" s="7"/>
      <c r="Q937" s="7"/>
    </row>
    <row r="938" spans="1:17" ht="13.9">
      <c r="A938" s="3" t="s">
        <v>150</v>
      </c>
      <c r="B938" s="5">
        <v>10</v>
      </c>
      <c r="C938" s="3" t="s">
        <v>64</v>
      </c>
      <c r="D938" s="5">
        <v>17</v>
      </c>
      <c r="E938" s="3"/>
      <c r="F938" s="6">
        <v>39168</v>
      </c>
      <c r="G938" s="5">
        <v>15</v>
      </c>
      <c r="H938" s="3" t="s">
        <v>61</v>
      </c>
      <c r="I938" s="3" t="s">
        <v>7</v>
      </c>
      <c r="J938" s="7" t="b">
        <v>1</v>
      </c>
      <c r="K938" s="7"/>
      <c r="L938" s="7"/>
      <c r="M938" s="7"/>
      <c r="N938" s="7"/>
      <c r="O938" s="7"/>
      <c r="P938" s="7"/>
      <c r="Q938" s="7"/>
    </row>
    <row r="939" spans="1:17" ht="13.9">
      <c r="A939" s="3">
        <v>26516013</v>
      </c>
      <c r="B939" s="3">
        <v>6</v>
      </c>
      <c r="C939" s="3" t="s">
        <v>60</v>
      </c>
      <c r="D939" s="3">
        <v>7</v>
      </c>
      <c r="E939" s="3"/>
      <c r="F939" s="6">
        <v>40634</v>
      </c>
      <c r="G939" s="5">
        <v>11</v>
      </c>
      <c r="H939" s="3" t="s">
        <v>61</v>
      </c>
      <c r="I939" s="3" t="s">
        <v>4</v>
      </c>
      <c r="J939" s="7" t="b">
        <v>1</v>
      </c>
      <c r="K939" s="7"/>
      <c r="L939" s="7"/>
      <c r="M939" s="7"/>
      <c r="N939" s="7"/>
      <c r="O939" s="7"/>
      <c r="P939" s="7"/>
      <c r="Q939" s="7"/>
    </row>
    <row r="940" spans="1:17" ht="13.9">
      <c r="A940" s="3">
        <v>22913038</v>
      </c>
      <c r="B940" s="3">
        <v>8</v>
      </c>
      <c r="C940" s="3" t="s">
        <v>60</v>
      </c>
      <c r="D940" s="5">
        <v>17</v>
      </c>
      <c r="E940" s="3"/>
      <c r="F940" s="6">
        <v>40017</v>
      </c>
      <c r="G940" s="5">
        <v>13</v>
      </c>
      <c r="H940" s="3" t="s">
        <v>61</v>
      </c>
      <c r="I940" s="3" t="s">
        <v>7</v>
      </c>
      <c r="J940" s="7" t="b">
        <v>1</v>
      </c>
      <c r="K940" s="7"/>
      <c r="L940" s="7"/>
      <c r="M940" s="7"/>
      <c r="N940" s="7"/>
      <c r="O940" s="7"/>
      <c r="P940" s="7"/>
      <c r="Q940" s="7"/>
    </row>
    <row r="941" spans="1:17" ht="13.9">
      <c r="A941" s="3" t="s">
        <v>151</v>
      </c>
      <c r="B941" s="3">
        <v>4</v>
      </c>
      <c r="C941" s="3" t="s">
        <v>60</v>
      </c>
      <c r="D941" s="3">
        <v>7</v>
      </c>
      <c r="E941" s="3">
        <v>9</v>
      </c>
      <c r="F941" s="6">
        <v>41359</v>
      </c>
      <c r="G941" s="5">
        <v>9</v>
      </c>
      <c r="H941" s="3" t="s">
        <v>61</v>
      </c>
      <c r="I941" s="3" t="s">
        <v>7</v>
      </c>
      <c r="J941" s="7" t="b">
        <v>1</v>
      </c>
      <c r="K941" s="7"/>
      <c r="L941" s="7"/>
      <c r="M941" s="7"/>
      <c r="N941" s="7"/>
      <c r="O941" s="7"/>
      <c r="P941" s="7"/>
      <c r="Q941" s="7"/>
    </row>
    <row r="942" spans="1:17" ht="13.9">
      <c r="A942" s="3">
        <v>16414081</v>
      </c>
      <c r="B942" s="3">
        <v>8</v>
      </c>
      <c r="C942" s="3" t="s">
        <v>60</v>
      </c>
      <c r="D942" s="5">
        <v>10</v>
      </c>
      <c r="E942" s="3">
        <v>9</v>
      </c>
      <c r="F942" s="6">
        <v>39516</v>
      </c>
      <c r="G942" s="5">
        <v>14</v>
      </c>
      <c r="H942" s="3" t="s">
        <v>61</v>
      </c>
      <c r="I942" s="3" t="s">
        <v>7</v>
      </c>
      <c r="J942" s="7" t="b">
        <v>1</v>
      </c>
      <c r="K942" s="7"/>
      <c r="L942" s="7"/>
      <c r="M942" s="7"/>
      <c r="N942" s="7"/>
      <c r="O942" s="7"/>
      <c r="P942" s="7"/>
      <c r="Q942" s="7"/>
    </row>
    <row r="943" spans="1:17" ht="13.9">
      <c r="A943" s="3">
        <v>8319083</v>
      </c>
      <c r="B943" s="3">
        <v>5</v>
      </c>
      <c r="C943" s="3" t="s">
        <v>60</v>
      </c>
      <c r="D943" s="3">
        <v>7</v>
      </c>
      <c r="E943" s="3"/>
      <c r="F943" s="6">
        <v>41089</v>
      </c>
      <c r="G943" s="5">
        <v>10</v>
      </c>
      <c r="H943" s="3" t="s">
        <v>63</v>
      </c>
      <c r="I943" s="3" t="s">
        <v>7</v>
      </c>
      <c r="J943" s="7" t="b">
        <v>1</v>
      </c>
      <c r="K943" s="7"/>
      <c r="L943" s="7"/>
      <c r="M943" s="7"/>
      <c r="N943" s="7"/>
      <c r="O943" s="7"/>
      <c r="P943" s="7"/>
      <c r="Q943" s="7"/>
    </row>
    <row r="944" spans="1:17" ht="13.9">
      <c r="A944" s="5">
        <v>530508104</v>
      </c>
      <c r="B944" s="5">
        <v>12</v>
      </c>
      <c r="C944" s="3" t="s">
        <v>64</v>
      </c>
      <c r="D944" s="5">
        <v>17</v>
      </c>
      <c r="E944" s="3"/>
      <c r="F944" s="6">
        <v>38005</v>
      </c>
      <c r="G944" s="5">
        <v>18</v>
      </c>
      <c r="H944" s="3" t="s">
        <v>63</v>
      </c>
      <c r="I944" s="3" t="s">
        <v>7</v>
      </c>
      <c r="J944" s="7" t="b">
        <v>1</v>
      </c>
      <c r="K944" s="7"/>
      <c r="L944" s="7"/>
      <c r="M944" s="7"/>
      <c r="N944" s="7"/>
      <c r="O944" s="7"/>
      <c r="P944" s="7"/>
      <c r="Q944" s="7"/>
    </row>
    <row r="945" spans="1:17" ht="13.9">
      <c r="A945" s="3">
        <v>9217317</v>
      </c>
      <c r="B945" s="3">
        <v>7</v>
      </c>
      <c r="C945" s="3" t="s">
        <v>60</v>
      </c>
      <c r="D945" s="3">
        <v>6</v>
      </c>
      <c r="E945" s="3"/>
      <c r="F945" s="9">
        <v>40320</v>
      </c>
      <c r="G945" s="5">
        <v>12</v>
      </c>
      <c r="H945" s="3" t="s">
        <v>63</v>
      </c>
      <c r="I945" s="3" t="s">
        <v>8</v>
      </c>
      <c r="J945" s="7" t="b">
        <v>1</v>
      </c>
      <c r="K945" s="7"/>
      <c r="L945" s="7"/>
      <c r="M945" s="7"/>
      <c r="N945" s="7"/>
      <c r="O945" s="7"/>
      <c r="P945" s="7"/>
      <c r="Q945" s="7"/>
    </row>
    <row r="946" spans="1:17" ht="13.9">
      <c r="A946" s="3">
        <v>31016085</v>
      </c>
      <c r="B946" s="3">
        <v>7</v>
      </c>
      <c r="C946" s="3" t="s">
        <v>60</v>
      </c>
      <c r="D946" s="3">
        <v>7</v>
      </c>
      <c r="E946" s="3"/>
      <c r="F946" s="6">
        <v>40366</v>
      </c>
      <c r="G946" s="5">
        <v>12</v>
      </c>
      <c r="H946" s="3" t="s">
        <v>61</v>
      </c>
      <c r="I946" s="3" t="s">
        <v>6</v>
      </c>
      <c r="J946" s="7" t="b">
        <v>1</v>
      </c>
      <c r="K946" s="7"/>
      <c r="L946" s="7"/>
      <c r="M946" s="7"/>
      <c r="N946" s="7"/>
      <c r="O946" s="7"/>
      <c r="P946" s="7"/>
      <c r="Q946" s="7"/>
    </row>
    <row r="947" spans="1:17" ht="13.9">
      <c r="A947" s="3" t="s">
        <v>152</v>
      </c>
      <c r="B947" s="3">
        <v>4</v>
      </c>
      <c r="C947" s="3" t="s">
        <v>60</v>
      </c>
      <c r="D947" s="3">
        <v>7</v>
      </c>
      <c r="E947" s="3"/>
      <c r="F947" s="6">
        <v>41514</v>
      </c>
      <c r="G947" s="5">
        <v>9</v>
      </c>
      <c r="H947" s="3" t="s">
        <v>61</v>
      </c>
      <c r="I947" s="3" t="s">
        <v>4</v>
      </c>
      <c r="J947" s="7" t="b">
        <v>1</v>
      </c>
      <c r="K947" s="7"/>
      <c r="L947" s="7"/>
      <c r="M947" s="7"/>
      <c r="N947" s="7"/>
      <c r="O947" s="7"/>
      <c r="P947" s="7"/>
      <c r="Q947" s="7"/>
    </row>
    <row r="948" spans="1:17" ht="13.9">
      <c r="A948" s="3">
        <v>22910271</v>
      </c>
      <c r="B948" s="5">
        <v>11</v>
      </c>
      <c r="C948" s="3" t="s">
        <v>62</v>
      </c>
      <c r="D948" s="5">
        <v>15</v>
      </c>
      <c r="E948" s="5">
        <v>10</v>
      </c>
      <c r="F948" s="6">
        <v>38800</v>
      </c>
      <c r="G948" s="5">
        <v>16</v>
      </c>
      <c r="H948" s="3" t="s">
        <v>61</v>
      </c>
      <c r="I948" s="3" t="s">
        <v>6</v>
      </c>
      <c r="J948" s="7" t="b">
        <v>1</v>
      </c>
      <c r="K948" s="7"/>
      <c r="L948" s="7"/>
      <c r="M948" s="7"/>
      <c r="N948" s="7"/>
      <c r="O948" s="7"/>
      <c r="P948" s="7"/>
      <c r="Q948" s="7"/>
    </row>
    <row r="949" spans="1:17" ht="13.9">
      <c r="A949" s="3">
        <v>25322018</v>
      </c>
      <c r="B949" s="3">
        <v>1</v>
      </c>
      <c r="C949" s="3" t="s">
        <v>60</v>
      </c>
      <c r="D949" s="3">
        <v>9</v>
      </c>
      <c r="E949" s="3"/>
      <c r="F949" s="6">
        <v>42471</v>
      </c>
      <c r="G949" s="5">
        <v>6</v>
      </c>
      <c r="H949" s="3" t="s">
        <v>63</v>
      </c>
      <c r="I949" s="3" t="s">
        <v>7</v>
      </c>
      <c r="J949" s="7" t="b">
        <v>1</v>
      </c>
      <c r="K949" s="7"/>
      <c r="L949" s="7"/>
      <c r="M949" s="7"/>
      <c r="N949" s="7"/>
      <c r="O949" s="7"/>
      <c r="P949" s="7"/>
      <c r="Q949" s="7"/>
    </row>
    <row r="950" spans="1:17" ht="13.9">
      <c r="A950" s="3">
        <v>18616040</v>
      </c>
      <c r="B950" s="3">
        <v>6</v>
      </c>
      <c r="C950" s="3" t="s">
        <v>60</v>
      </c>
      <c r="D950" s="3">
        <v>7</v>
      </c>
      <c r="E950" s="3"/>
      <c r="F950" s="6">
        <v>40294</v>
      </c>
      <c r="G950" s="5">
        <v>12</v>
      </c>
      <c r="H950" s="3" t="s">
        <v>63</v>
      </c>
      <c r="I950" s="3" t="s">
        <v>6</v>
      </c>
      <c r="J950" s="7" t="b">
        <v>1</v>
      </c>
      <c r="K950" s="7"/>
      <c r="L950" s="7"/>
      <c r="M950" s="7"/>
      <c r="N950" s="7"/>
      <c r="O950" s="7"/>
      <c r="P950" s="7"/>
      <c r="Q950" s="7"/>
    </row>
    <row r="951" spans="1:17" ht="13.9">
      <c r="A951" s="3">
        <v>22113050</v>
      </c>
      <c r="B951" s="5">
        <v>10</v>
      </c>
      <c r="C951" s="3" t="s">
        <v>60</v>
      </c>
      <c r="D951" s="3">
        <v>5</v>
      </c>
      <c r="E951" s="5">
        <v>17</v>
      </c>
      <c r="F951" s="9">
        <v>39221</v>
      </c>
      <c r="G951" s="5">
        <v>15</v>
      </c>
      <c r="H951" s="3" t="s">
        <v>63</v>
      </c>
      <c r="I951" s="3" t="s">
        <v>7</v>
      </c>
      <c r="J951" s="7" t="b">
        <v>1</v>
      </c>
      <c r="K951" s="7"/>
      <c r="L951" s="7"/>
      <c r="M951" s="7"/>
      <c r="N951" s="7"/>
      <c r="O951" s="7"/>
      <c r="P951" s="7"/>
      <c r="Q951" s="7"/>
    </row>
    <row r="952" spans="1:17" ht="13.9">
      <c r="A952" s="3">
        <v>22913314</v>
      </c>
      <c r="B952" s="3">
        <v>8</v>
      </c>
      <c r="C952" s="3" t="s">
        <v>60</v>
      </c>
      <c r="D952" s="3">
        <v>5</v>
      </c>
      <c r="E952" s="3"/>
      <c r="F952" s="6">
        <v>39470</v>
      </c>
      <c r="G952" s="5">
        <v>14</v>
      </c>
      <c r="H952" s="3" t="s">
        <v>61</v>
      </c>
      <c r="I952" s="3" t="s">
        <v>4</v>
      </c>
      <c r="J952" s="7" t="b">
        <v>1</v>
      </c>
      <c r="K952" s="7"/>
      <c r="L952" s="7"/>
      <c r="M952" s="7"/>
      <c r="N952" s="7"/>
      <c r="O952" s="7"/>
      <c r="P952" s="7"/>
      <c r="Q952" s="7"/>
    </row>
    <row r="953" spans="1:17" ht="13.9">
      <c r="A953" s="3">
        <v>17820151</v>
      </c>
      <c r="B953" s="3">
        <v>4</v>
      </c>
      <c r="C953" s="3" t="s">
        <v>60</v>
      </c>
      <c r="D953" s="3">
        <v>9</v>
      </c>
      <c r="E953" s="3"/>
      <c r="F953" s="6">
        <v>41377</v>
      </c>
      <c r="G953" s="5">
        <v>9</v>
      </c>
      <c r="H953" s="3" t="s">
        <v>61</v>
      </c>
      <c r="I953" s="3" t="s">
        <v>7</v>
      </c>
      <c r="J953" s="7" t="b">
        <v>1</v>
      </c>
      <c r="K953" s="7"/>
      <c r="L953" s="7"/>
      <c r="M953" s="7"/>
      <c r="N953" s="7"/>
      <c r="O953" s="7"/>
      <c r="P953" s="7"/>
      <c r="Q953" s="7"/>
    </row>
    <row r="954" spans="1:17" ht="13.9">
      <c r="A954" s="3">
        <v>22913401</v>
      </c>
      <c r="B954" s="3">
        <v>6</v>
      </c>
      <c r="C954" s="3" t="s">
        <v>60</v>
      </c>
      <c r="D954" s="5">
        <v>10</v>
      </c>
      <c r="E954" s="3">
        <v>9</v>
      </c>
      <c r="F954" s="6">
        <v>40212</v>
      </c>
      <c r="G954" s="5">
        <v>12</v>
      </c>
      <c r="H954" s="3" t="s">
        <v>61</v>
      </c>
      <c r="I954" s="3" t="s">
        <v>8</v>
      </c>
      <c r="J954" s="7" t="b">
        <v>1</v>
      </c>
      <c r="K954" s="7"/>
      <c r="L954" s="7"/>
      <c r="M954" s="7"/>
      <c r="N954" s="7"/>
      <c r="O954" s="7"/>
      <c r="P954" s="7"/>
      <c r="Q954" s="7"/>
    </row>
    <row r="955" spans="1:17" ht="13.9">
      <c r="A955" s="3">
        <v>51718087</v>
      </c>
      <c r="B955" s="3">
        <v>5</v>
      </c>
      <c r="C955" s="3" t="s">
        <v>60</v>
      </c>
      <c r="D955" s="3">
        <v>3</v>
      </c>
      <c r="E955" s="3"/>
      <c r="F955" s="6">
        <v>41102</v>
      </c>
      <c r="G955" s="5">
        <v>10</v>
      </c>
      <c r="H955" s="3" t="s">
        <v>63</v>
      </c>
      <c r="I955" s="3" t="s">
        <v>4</v>
      </c>
      <c r="J955" s="7" t="b">
        <v>1</v>
      </c>
      <c r="K955" s="7"/>
      <c r="L955" s="7"/>
      <c r="M955" s="7"/>
      <c r="N955" s="7"/>
      <c r="O955" s="7"/>
      <c r="P955" s="7"/>
      <c r="Q955" s="7"/>
    </row>
    <row r="956" spans="1:17" ht="13.9">
      <c r="A956" s="3">
        <v>8711023</v>
      </c>
      <c r="B956" s="5">
        <v>11</v>
      </c>
      <c r="C956" s="3" t="s">
        <v>60</v>
      </c>
      <c r="D956" s="3">
        <v>7</v>
      </c>
      <c r="E956" s="3"/>
      <c r="F956" s="6">
        <v>38579</v>
      </c>
      <c r="G956" s="5">
        <v>17</v>
      </c>
      <c r="H956" s="3" t="s">
        <v>61</v>
      </c>
      <c r="I956" s="3" t="s">
        <v>7</v>
      </c>
      <c r="J956" s="7" t="b">
        <v>1</v>
      </c>
      <c r="K956" s="7"/>
      <c r="L956" s="7"/>
      <c r="M956" s="7"/>
      <c r="N956" s="7"/>
      <c r="O956" s="7"/>
      <c r="P956" s="7"/>
      <c r="Q956" s="7"/>
    </row>
    <row r="957" spans="1:17" ht="13.9">
      <c r="A957" s="3">
        <v>32317022</v>
      </c>
      <c r="B957" s="3">
        <v>6</v>
      </c>
      <c r="C957" s="3" t="s">
        <v>60</v>
      </c>
      <c r="D957" s="5">
        <v>17</v>
      </c>
      <c r="E957" s="3">
        <v>9</v>
      </c>
      <c r="F957" s="6">
        <v>40437</v>
      </c>
      <c r="G957" s="5">
        <v>12</v>
      </c>
      <c r="H957" s="3" t="s">
        <v>63</v>
      </c>
      <c r="I957" s="3" t="s">
        <v>7</v>
      </c>
      <c r="J957" s="7" t="b">
        <v>1</v>
      </c>
      <c r="K957" s="7"/>
      <c r="L957" s="7"/>
      <c r="M957" s="7"/>
      <c r="N957" s="7"/>
      <c r="O957" s="7"/>
      <c r="P957" s="7"/>
      <c r="Q957" s="7"/>
    </row>
    <row r="958" spans="1:17" ht="13.9">
      <c r="A958" s="3" t="s">
        <v>153</v>
      </c>
      <c r="B958" s="3">
        <v>3</v>
      </c>
      <c r="C958" s="3" t="s">
        <v>60</v>
      </c>
      <c r="D958" s="5">
        <v>17</v>
      </c>
      <c r="E958" s="3"/>
      <c r="F958" s="6">
        <v>41515</v>
      </c>
      <c r="G958" s="5">
        <v>9</v>
      </c>
      <c r="H958" s="3" t="s">
        <v>63</v>
      </c>
      <c r="I958" s="3" t="s">
        <v>7</v>
      </c>
      <c r="J958" s="7" t="b">
        <v>1</v>
      </c>
      <c r="K958" s="7"/>
      <c r="L958" s="7"/>
      <c r="M958" s="7"/>
      <c r="N958" s="7"/>
      <c r="O958" s="7"/>
      <c r="P958" s="7"/>
      <c r="Q958" s="7"/>
    </row>
    <row r="959" spans="1:17" ht="13.9">
      <c r="A959" s="3">
        <v>7121177</v>
      </c>
      <c r="B959" s="3">
        <v>2</v>
      </c>
      <c r="C959" s="3" t="s">
        <v>60</v>
      </c>
      <c r="D959" s="3">
        <v>5</v>
      </c>
      <c r="E959" s="5">
        <v>17</v>
      </c>
      <c r="F959" s="6">
        <v>42039</v>
      </c>
      <c r="G959" s="5">
        <v>7</v>
      </c>
      <c r="H959" s="3" t="s">
        <v>63</v>
      </c>
      <c r="I959" s="3" t="s">
        <v>7</v>
      </c>
      <c r="J959" s="7" t="b">
        <v>1</v>
      </c>
      <c r="K959" s="7"/>
      <c r="L959" s="7"/>
      <c r="M959" s="7"/>
      <c r="N959" s="7"/>
      <c r="O959" s="7"/>
      <c r="P959" s="7"/>
      <c r="Q959" s="7"/>
    </row>
    <row r="960" spans="1:17" ht="13.9">
      <c r="A960" s="3">
        <v>2511103</v>
      </c>
      <c r="B960" s="5">
        <v>10</v>
      </c>
      <c r="C960" s="3" t="s">
        <v>60</v>
      </c>
      <c r="D960" s="3">
        <v>4</v>
      </c>
      <c r="E960" s="3">
        <v>9</v>
      </c>
      <c r="F960" s="6">
        <v>39276</v>
      </c>
      <c r="G960" s="5">
        <v>15</v>
      </c>
      <c r="H960" s="3" t="s">
        <v>61</v>
      </c>
      <c r="I960" s="3" t="s">
        <v>7</v>
      </c>
      <c r="J960" s="7" t="b">
        <v>1</v>
      </c>
      <c r="K960" s="7"/>
      <c r="L960" s="7"/>
      <c r="M960" s="7"/>
      <c r="N960" s="7"/>
      <c r="O960" s="7"/>
      <c r="P960" s="7"/>
      <c r="Q960" s="7"/>
    </row>
    <row r="961" spans="1:17" ht="13.9">
      <c r="A961" s="5">
        <v>811717920</v>
      </c>
      <c r="B961" s="3">
        <v>2</v>
      </c>
      <c r="C961" s="3" t="s">
        <v>60</v>
      </c>
      <c r="D961" s="3">
        <v>8</v>
      </c>
      <c r="E961" s="3">
        <v>9</v>
      </c>
      <c r="F961" s="6">
        <v>41878</v>
      </c>
      <c r="G961" s="5">
        <v>8</v>
      </c>
      <c r="H961" s="3" t="s">
        <v>63</v>
      </c>
      <c r="I961" s="3" t="s">
        <v>7</v>
      </c>
      <c r="J961" s="7" t="b">
        <v>1</v>
      </c>
      <c r="K961" s="7"/>
      <c r="L961" s="7"/>
      <c r="M961" s="7"/>
      <c r="N961" s="7"/>
      <c r="O961" s="7"/>
      <c r="P961" s="7"/>
      <c r="Q961" s="7"/>
    </row>
    <row r="962" spans="1:17" ht="13.9">
      <c r="A962" s="3">
        <v>28913041</v>
      </c>
      <c r="B962" s="5">
        <v>10</v>
      </c>
      <c r="C962" s="3" t="s">
        <v>60</v>
      </c>
      <c r="D962" s="5">
        <v>10</v>
      </c>
      <c r="E962" s="3"/>
      <c r="F962" s="6">
        <v>39047</v>
      </c>
      <c r="G962" s="5">
        <v>16</v>
      </c>
      <c r="H962" s="3" t="s">
        <v>63</v>
      </c>
      <c r="I962" s="3" t="s">
        <v>7</v>
      </c>
      <c r="J962" s="7" t="b">
        <v>1</v>
      </c>
      <c r="K962" s="7"/>
      <c r="L962" s="7"/>
      <c r="M962" s="7"/>
      <c r="N962" s="7"/>
      <c r="O962" s="7"/>
      <c r="P962" s="7"/>
      <c r="Q962" s="7"/>
    </row>
    <row r="963" spans="1:17" ht="13.9">
      <c r="A963" s="3">
        <v>27016070</v>
      </c>
      <c r="B963" s="3">
        <v>7</v>
      </c>
      <c r="C963" s="3" t="s">
        <v>60</v>
      </c>
      <c r="D963" s="5">
        <v>15</v>
      </c>
      <c r="E963" s="3">
        <v>9</v>
      </c>
      <c r="F963" s="6">
        <v>40352</v>
      </c>
      <c r="G963" s="5">
        <v>12</v>
      </c>
      <c r="H963" s="3" t="s">
        <v>63</v>
      </c>
      <c r="I963" s="3" t="s">
        <v>4</v>
      </c>
      <c r="J963" s="7" t="b">
        <v>1</v>
      </c>
      <c r="K963" s="7"/>
      <c r="L963" s="7"/>
      <c r="M963" s="7"/>
      <c r="N963" s="7"/>
      <c r="O963" s="7"/>
      <c r="P963" s="7"/>
      <c r="Q963" s="7"/>
    </row>
    <row r="964" spans="1:17" ht="13.9">
      <c r="A964" s="3">
        <v>30911038</v>
      </c>
      <c r="B964" s="5">
        <v>12</v>
      </c>
      <c r="C964" s="3" t="s">
        <v>60</v>
      </c>
      <c r="D964" s="5">
        <v>17</v>
      </c>
      <c r="E964" s="3">
        <v>6</v>
      </c>
      <c r="F964" s="6">
        <v>38440</v>
      </c>
      <c r="G964" s="5">
        <v>17</v>
      </c>
      <c r="H964" s="3" t="s">
        <v>63</v>
      </c>
      <c r="I964" s="3" t="s">
        <v>7</v>
      </c>
      <c r="J964" s="7" t="b">
        <v>1</v>
      </c>
      <c r="K964" s="7"/>
      <c r="L964" s="7"/>
      <c r="M964" s="7"/>
      <c r="N964" s="7"/>
      <c r="O964" s="7"/>
      <c r="P964" s="7"/>
      <c r="Q964" s="7"/>
    </row>
    <row r="965" spans="1:17" ht="13.9">
      <c r="A965" s="5">
        <v>802116040</v>
      </c>
      <c r="B965" s="3">
        <v>7</v>
      </c>
      <c r="C965" s="3" t="s">
        <v>60</v>
      </c>
      <c r="D965" s="5">
        <v>17</v>
      </c>
      <c r="E965" s="3">
        <v>6</v>
      </c>
      <c r="F965" s="6">
        <v>40075</v>
      </c>
      <c r="G965" s="5">
        <v>13</v>
      </c>
      <c r="H965" s="3" t="s">
        <v>63</v>
      </c>
      <c r="I965" s="3" t="s">
        <v>7</v>
      </c>
      <c r="J965" s="7" t="b">
        <v>1</v>
      </c>
      <c r="K965" s="7"/>
      <c r="L965" s="7"/>
      <c r="M965" s="7"/>
      <c r="N965" s="7"/>
      <c r="O965" s="7"/>
      <c r="P965" s="7"/>
      <c r="Q965" s="7"/>
    </row>
    <row r="966" spans="1:17" ht="13.9">
      <c r="A966" s="3">
        <v>51712070</v>
      </c>
      <c r="B966" s="5">
        <v>12</v>
      </c>
      <c r="C966" s="3" t="s">
        <v>62</v>
      </c>
      <c r="D966" s="3">
        <v>5</v>
      </c>
      <c r="E966" s="3"/>
      <c r="F966" s="6">
        <v>38208</v>
      </c>
      <c r="G966" s="5">
        <v>18</v>
      </c>
      <c r="H966" s="3" t="s">
        <v>61</v>
      </c>
      <c r="I966" s="3" t="s">
        <v>7</v>
      </c>
      <c r="J966" s="7" t="b">
        <v>1</v>
      </c>
      <c r="K966" s="7"/>
      <c r="L966" s="7"/>
      <c r="M966" s="7"/>
      <c r="N966" s="7"/>
      <c r="O966" s="7"/>
      <c r="P966" s="7"/>
      <c r="Q966" s="7"/>
    </row>
    <row r="967" spans="1:17" ht="13.9">
      <c r="A967" s="3">
        <v>22909566</v>
      </c>
      <c r="B967" s="5">
        <v>12</v>
      </c>
      <c r="C967" s="3" t="s">
        <v>60</v>
      </c>
      <c r="D967" s="3">
        <v>7</v>
      </c>
      <c r="E967" s="3"/>
      <c r="F967" s="6">
        <v>38455</v>
      </c>
      <c r="G967" s="5">
        <v>17</v>
      </c>
      <c r="H967" s="3" t="s">
        <v>63</v>
      </c>
      <c r="I967" s="3" t="s">
        <v>7</v>
      </c>
      <c r="J967" s="7" t="b">
        <v>1</v>
      </c>
      <c r="K967" s="7"/>
      <c r="L967" s="7"/>
      <c r="M967" s="7"/>
      <c r="N967" s="7"/>
      <c r="O967" s="7"/>
      <c r="P967" s="7"/>
      <c r="Q967" s="7"/>
    </row>
    <row r="968" spans="1:17" ht="13.9">
      <c r="A968" s="3">
        <v>15313501</v>
      </c>
      <c r="B968" s="3">
        <v>9</v>
      </c>
      <c r="C968" s="3" t="s">
        <v>60</v>
      </c>
      <c r="D968" s="5">
        <v>10</v>
      </c>
      <c r="E968" s="3"/>
      <c r="F968" s="6">
        <v>39186</v>
      </c>
      <c r="G968" s="5">
        <v>15</v>
      </c>
      <c r="H968" s="3" t="s">
        <v>61</v>
      </c>
      <c r="I968" s="3" t="s">
        <v>4</v>
      </c>
      <c r="J968" s="7" t="b">
        <v>1</v>
      </c>
      <c r="K968" s="7"/>
      <c r="L968" s="7"/>
      <c r="M968" s="7"/>
      <c r="N968" s="7"/>
      <c r="O968" s="7"/>
      <c r="P968" s="7"/>
      <c r="Q968" s="7"/>
    </row>
    <row r="969" spans="1:17" ht="13.9">
      <c r="A969" s="5">
        <v>135114091</v>
      </c>
      <c r="B969" s="3">
        <v>8</v>
      </c>
      <c r="C969" s="3" t="s">
        <v>60</v>
      </c>
      <c r="D969" s="3">
        <v>7</v>
      </c>
      <c r="E969" s="3"/>
      <c r="F969" s="6">
        <v>39927</v>
      </c>
      <c r="G969" s="5">
        <v>13</v>
      </c>
      <c r="H969" s="3" t="s">
        <v>61</v>
      </c>
      <c r="I969" s="3" t="s">
        <v>7</v>
      </c>
      <c r="J969" s="7" t="b">
        <v>1</v>
      </c>
      <c r="K969" s="7"/>
      <c r="L969" s="7"/>
      <c r="M969" s="7"/>
      <c r="N969" s="7"/>
      <c r="O969" s="7"/>
      <c r="P969" s="7"/>
      <c r="Q969" s="7"/>
    </row>
    <row r="970" spans="1:17" ht="13.9">
      <c r="A970" s="3">
        <v>22918420</v>
      </c>
      <c r="B970" s="3">
        <v>4</v>
      </c>
      <c r="C970" s="3" t="s">
        <v>60</v>
      </c>
      <c r="D970" s="3">
        <v>9</v>
      </c>
      <c r="E970" s="3"/>
      <c r="F970" s="6">
        <v>41486</v>
      </c>
      <c r="G970" s="5">
        <v>9</v>
      </c>
      <c r="H970" s="3" t="s">
        <v>63</v>
      </c>
      <c r="I970" s="3" t="s">
        <v>7</v>
      </c>
      <c r="J970" s="7" t="b">
        <v>1</v>
      </c>
      <c r="K970" s="7"/>
      <c r="L970" s="7"/>
      <c r="M970" s="7"/>
      <c r="N970" s="7"/>
      <c r="O970" s="7"/>
      <c r="P970" s="7"/>
      <c r="Q970" s="7"/>
    </row>
    <row r="971" spans="1:17" ht="13.9">
      <c r="A971" s="3">
        <v>22915081</v>
      </c>
      <c r="B971" s="3">
        <v>5</v>
      </c>
      <c r="C971" s="3" t="s">
        <v>60</v>
      </c>
      <c r="D971" s="5">
        <v>17</v>
      </c>
      <c r="E971" s="3"/>
      <c r="F971" s="6">
        <v>40923</v>
      </c>
      <c r="G971" s="5">
        <v>10</v>
      </c>
      <c r="H971" s="3" t="s">
        <v>63</v>
      </c>
      <c r="I971" s="3" t="s">
        <v>8</v>
      </c>
      <c r="J971" s="7" t="b">
        <v>1</v>
      </c>
      <c r="K971" s="7"/>
      <c r="L971" s="7"/>
      <c r="M971" s="7"/>
      <c r="N971" s="7"/>
      <c r="O971" s="7"/>
      <c r="P971" s="7"/>
      <c r="Q971" s="7"/>
    </row>
    <row r="972" spans="1:17" ht="13.9">
      <c r="A972" s="3">
        <v>9416029</v>
      </c>
      <c r="B972" s="3">
        <v>6</v>
      </c>
      <c r="C972" s="3" t="s">
        <v>60</v>
      </c>
      <c r="D972" s="3">
        <v>7</v>
      </c>
      <c r="E972" s="3"/>
      <c r="F972" s="6">
        <v>40504</v>
      </c>
      <c r="G972" s="5">
        <v>12</v>
      </c>
      <c r="H972" s="3" t="s">
        <v>63</v>
      </c>
      <c r="I972" s="3" t="s">
        <v>7</v>
      </c>
      <c r="J972" s="7" t="b">
        <v>1</v>
      </c>
      <c r="K972" s="7"/>
      <c r="L972" s="7"/>
      <c r="M972" s="7"/>
      <c r="N972" s="7"/>
      <c r="O972" s="7"/>
      <c r="P972" s="7"/>
      <c r="Q972" s="7"/>
    </row>
    <row r="973" spans="1:17" ht="13.9">
      <c r="A973" s="3">
        <v>13717088</v>
      </c>
      <c r="B973" s="3">
        <v>6</v>
      </c>
      <c r="C973" s="3" t="s">
        <v>71</v>
      </c>
      <c r="D973" s="3">
        <v>5</v>
      </c>
      <c r="E973" s="3"/>
      <c r="F973" s="6">
        <v>40444</v>
      </c>
      <c r="G973" s="5">
        <v>12</v>
      </c>
      <c r="H973" s="3" t="s">
        <v>63</v>
      </c>
      <c r="I973" s="3" t="s">
        <v>4</v>
      </c>
      <c r="J973" s="7" t="b">
        <v>1</v>
      </c>
      <c r="K973" s="7"/>
      <c r="L973" s="7"/>
      <c r="M973" s="7"/>
      <c r="N973" s="7"/>
      <c r="O973" s="7"/>
      <c r="P973" s="7"/>
      <c r="Q973" s="7"/>
    </row>
    <row r="974" spans="1:17" ht="13.9">
      <c r="A974" s="3">
        <v>15715007</v>
      </c>
      <c r="B974" s="3">
        <v>8</v>
      </c>
      <c r="C974" s="3" t="s">
        <v>60</v>
      </c>
      <c r="D974" s="3">
        <v>7</v>
      </c>
      <c r="E974" s="3"/>
      <c r="F974" s="6">
        <v>40101</v>
      </c>
      <c r="G974" s="5">
        <v>13</v>
      </c>
      <c r="H974" s="3" t="s">
        <v>61</v>
      </c>
      <c r="I974" s="3" t="s">
        <v>7</v>
      </c>
      <c r="J974" s="7" t="b">
        <v>1</v>
      </c>
      <c r="K974" s="7"/>
      <c r="L974" s="7"/>
      <c r="M974" s="7"/>
      <c r="N974" s="7"/>
      <c r="O974" s="7"/>
      <c r="P974" s="7"/>
      <c r="Q974" s="7"/>
    </row>
    <row r="975" spans="1:17" ht="13.9">
      <c r="A975" s="3">
        <v>9617062</v>
      </c>
      <c r="B975" s="3">
        <v>5</v>
      </c>
      <c r="C975" s="3" t="s">
        <v>60</v>
      </c>
      <c r="D975" s="3">
        <v>7</v>
      </c>
      <c r="E975" s="3">
        <v>9</v>
      </c>
      <c r="F975" s="6">
        <v>41026</v>
      </c>
      <c r="G975" s="5">
        <v>10</v>
      </c>
      <c r="H975" s="3" t="s">
        <v>61</v>
      </c>
      <c r="I975" s="3" t="s">
        <v>7</v>
      </c>
      <c r="J975" s="7" t="b">
        <v>1</v>
      </c>
      <c r="K975" s="7"/>
      <c r="L975" s="7"/>
      <c r="M975" s="7"/>
      <c r="N975" s="7"/>
      <c r="O975" s="7"/>
      <c r="P975" s="7"/>
      <c r="Q975" s="7"/>
    </row>
    <row r="976" spans="1:17" ht="13.9">
      <c r="A976" s="5">
        <v>531016023</v>
      </c>
      <c r="B976" s="3">
        <v>7</v>
      </c>
      <c r="C976" s="3" t="s">
        <v>64</v>
      </c>
      <c r="D976" s="3">
        <v>7</v>
      </c>
      <c r="E976" s="3"/>
      <c r="F976" s="6">
        <v>39870</v>
      </c>
      <c r="G976" s="5">
        <v>13</v>
      </c>
      <c r="H976" s="3" t="s">
        <v>63</v>
      </c>
      <c r="I976" s="3" t="s">
        <v>7</v>
      </c>
      <c r="J976" s="7" t="b">
        <v>1</v>
      </c>
      <c r="K976" s="7"/>
      <c r="L976" s="7"/>
      <c r="M976" s="7"/>
      <c r="N976" s="7"/>
      <c r="O976" s="7"/>
      <c r="P976" s="7"/>
      <c r="Q976" s="7"/>
    </row>
    <row r="977" spans="1:17" ht="13.9">
      <c r="A977" s="3">
        <v>9513089</v>
      </c>
      <c r="B977" s="5">
        <v>10</v>
      </c>
      <c r="C977" s="3" t="s">
        <v>60</v>
      </c>
      <c r="D977" s="5">
        <v>17</v>
      </c>
      <c r="E977" s="3"/>
      <c r="F977" s="6">
        <v>39014</v>
      </c>
      <c r="G977" s="5">
        <v>16</v>
      </c>
      <c r="H977" s="3" t="s">
        <v>63</v>
      </c>
      <c r="I977" s="3" t="s">
        <v>7</v>
      </c>
      <c r="J977" s="7" t="b">
        <v>1</v>
      </c>
      <c r="K977" s="7"/>
      <c r="L977" s="7"/>
      <c r="M977" s="7"/>
      <c r="N977" s="7"/>
      <c r="O977" s="7"/>
      <c r="P977" s="7"/>
      <c r="Q977" s="7"/>
    </row>
    <row r="978" spans="1:17" ht="13.9">
      <c r="A978" s="5">
        <v>514212139</v>
      </c>
      <c r="B978" s="3">
        <v>9</v>
      </c>
      <c r="C978" s="3" t="s">
        <v>64</v>
      </c>
      <c r="D978" s="5">
        <v>10</v>
      </c>
      <c r="E978" s="3">
        <v>9</v>
      </c>
      <c r="F978" s="6">
        <v>39020</v>
      </c>
      <c r="G978" s="5">
        <v>16</v>
      </c>
      <c r="H978" s="3" t="s">
        <v>61</v>
      </c>
      <c r="I978" s="3" t="s">
        <v>7</v>
      </c>
      <c r="J978" s="7" t="b">
        <v>1</v>
      </c>
      <c r="K978" s="7"/>
      <c r="L978" s="7"/>
      <c r="M978" s="7"/>
      <c r="N978" s="7"/>
      <c r="O978" s="7"/>
      <c r="P978" s="7"/>
      <c r="Q978" s="7"/>
    </row>
    <row r="979" spans="1:17" ht="13.9">
      <c r="A979" s="3">
        <v>16415052</v>
      </c>
      <c r="B979" s="3">
        <v>8</v>
      </c>
      <c r="C979" s="3" t="s">
        <v>60</v>
      </c>
      <c r="D979" s="3">
        <v>5</v>
      </c>
      <c r="E979" s="3"/>
      <c r="F979" s="6">
        <v>39804</v>
      </c>
      <c r="G979" s="5">
        <v>13</v>
      </c>
      <c r="H979" s="3" t="s">
        <v>63</v>
      </c>
      <c r="I979" s="3" t="s">
        <v>4</v>
      </c>
      <c r="J979" s="7" t="b">
        <v>1</v>
      </c>
      <c r="K979" s="7"/>
      <c r="L979" s="7"/>
      <c r="M979" s="7"/>
      <c r="N979" s="7"/>
      <c r="O979" s="7"/>
      <c r="P979" s="7"/>
      <c r="Q979" s="7"/>
    </row>
    <row r="980" spans="1:17" ht="13.9">
      <c r="A980" s="5">
        <v>497713075</v>
      </c>
      <c r="B980" s="3">
        <v>9</v>
      </c>
      <c r="C980" s="3" t="s">
        <v>64</v>
      </c>
      <c r="D980" s="3">
        <v>7</v>
      </c>
      <c r="E980" s="3"/>
      <c r="F980" s="6">
        <v>39197</v>
      </c>
      <c r="G980" s="5">
        <v>15</v>
      </c>
      <c r="H980" s="3" t="s">
        <v>61</v>
      </c>
      <c r="I980" s="3" t="s">
        <v>8</v>
      </c>
      <c r="J980" s="7" t="b">
        <v>1</v>
      </c>
      <c r="K980" s="7"/>
      <c r="L980" s="7"/>
      <c r="M980" s="7"/>
      <c r="N980" s="7"/>
      <c r="O980" s="7"/>
      <c r="P980" s="7"/>
      <c r="Q980" s="7"/>
    </row>
    <row r="981" spans="1:17" ht="13.9">
      <c r="A981" s="3">
        <v>14915028</v>
      </c>
      <c r="B981" s="3">
        <v>8</v>
      </c>
      <c r="C981" s="3" t="s">
        <v>60</v>
      </c>
      <c r="D981" s="3">
        <v>7</v>
      </c>
      <c r="E981" s="3"/>
      <c r="F981" s="6">
        <v>39745</v>
      </c>
      <c r="G981" s="5">
        <v>14</v>
      </c>
      <c r="H981" s="3" t="s">
        <v>63</v>
      </c>
      <c r="I981" s="3" t="s">
        <v>7</v>
      </c>
      <c r="J981" s="7" t="b">
        <v>1</v>
      </c>
      <c r="K981" s="7"/>
      <c r="L981" s="7"/>
      <c r="M981" s="7"/>
      <c r="N981" s="7"/>
      <c r="O981" s="7"/>
      <c r="P981" s="7"/>
      <c r="Q981" s="7"/>
    </row>
    <row r="982" spans="1:17" ht="13.9">
      <c r="A982" s="3">
        <v>18915041</v>
      </c>
      <c r="B982" s="3">
        <v>7</v>
      </c>
      <c r="C982" s="3" t="s">
        <v>65</v>
      </c>
      <c r="D982" s="5">
        <v>15</v>
      </c>
      <c r="E982" s="3">
        <v>9</v>
      </c>
      <c r="F982" s="6">
        <v>40039</v>
      </c>
      <c r="G982" s="5">
        <v>13</v>
      </c>
      <c r="H982" s="3" t="s">
        <v>63</v>
      </c>
      <c r="I982" s="3" t="s">
        <v>7</v>
      </c>
      <c r="J982" s="7" t="b">
        <v>1</v>
      </c>
      <c r="K982" s="7"/>
      <c r="L982" s="7"/>
      <c r="M982" s="7"/>
      <c r="N982" s="7"/>
      <c r="O982" s="7"/>
      <c r="P982" s="7"/>
      <c r="Q982" s="7"/>
    </row>
    <row r="983" spans="1:17" ht="13.9">
      <c r="A983" s="3">
        <v>27520018</v>
      </c>
      <c r="B983" s="3">
        <v>4</v>
      </c>
      <c r="C983" s="3" t="s">
        <v>60</v>
      </c>
      <c r="D983" s="3">
        <v>9</v>
      </c>
      <c r="E983" s="3"/>
      <c r="F983" s="6">
        <v>41295</v>
      </c>
      <c r="G983" s="5">
        <v>9</v>
      </c>
      <c r="H983" s="3" t="s">
        <v>63</v>
      </c>
      <c r="I983" s="3" t="s">
        <v>7</v>
      </c>
      <c r="J983" s="7" t="b">
        <v>1</v>
      </c>
      <c r="K983" s="7"/>
      <c r="L983" s="7"/>
      <c r="M983" s="7"/>
      <c r="N983" s="7"/>
      <c r="O983" s="7"/>
      <c r="P983" s="7"/>
      <c r="Q983" s="7"/>
    </row>
    <row r="984" spans="1:17" ht="13.9">
      <c r="A984" s="3">
        <v>7214147</v>
      </c>
      <c r="B984" s="3">
        <v>5</v>
      </c>
      <c r="C984" s="3" t="s">
        <v>60</v>
      </c>
      <c r="D984" s="3">
        <v>9</v>
      </c>
      <c r="E984" s="3"/>
      <c r="F984" s="6">
        <v>40766</v>
      </c>
      <c r="G984" s="5">
        <v>11</v>
      </c>
      <c r="H984" s="3" t="s">
        <v>61</v>
      </c>
      <c r="I984" s="3" t="s">
        <v>7</v>
      </c>
      <c r="J984" s="7" t="b">
        <v>1</v>
      </c>
      <c r="K984" s="7"/>
      <c r="L984" s="7"/>
      <c r="M984" s="7"/>
      <c r="N984" s="7"/>
      <c r="O984" s="7"/>
      <c r="P984" s="7"/>
      <c r="Q984" s="7"/>
    </row>
    <row r="985" spans="1:17" ht="13.9">
      <c r="A985" s="3">
        <v>31812009</v>
      </c>
      <c r="B985" s="3">
        <v>9</v>
      </c>
      <c r="C985" s="3" t="s">
        <v>60</v>
      </c>
      <c r="D985" s="5">
        <v>10</v>
      </c>
      <c r="E985" s="3"/>
      <c r="F985" s="6">
        <v>39142</v>
      </c>
      <c r="G985" s="5">
        <v>15</v>
      </c>
      <c r="H985" s="3" t="s">
        <v>61</v>
      </c>
      <c r="I985" s="3" t="s">
        <v>7</v>
      </c>
      <c r="J985" s="7" t="b">
        <v>1</v>
      </c>
      <c r="K985" s="7"/>
      <c r="L985" s="7"/>
      <c r="M985" s="7"/>
      <c r="N985" s="7"/>
      <c r="O985" s="7"/>
      <c r="P985" s="7"/>
      <c r="Q985" s="7"/>
    </row>
    <row r="986" spans="1:17" ht="13.9">
      <c r="A986" s="3" t="s">
        <v>154</v>
      </c>
      <c r="B986" s="3">
        <v>7</v>
      </c>
      <c r="C986" s="3" t="s">
        <v>64</v>
      </c>
      <c r="D986" s="3">
        <v>7</v>
      </c>
      <c r="E986" s="3"/>
      <c r="F986" s="6">
        <v>40358</v>
      </c>
      <c r="G986" s="5">
        <v>12</v>
      </c>
      <c r="H986" s="3" t="s">
        <v>61</v>
      </c>
      <c r="I986" s="3" t="s">
        <v>6</v>
      </c>
      <c r="J986" s="7" t="b">
        <v>1</v>
      </c>
      <c r="K986" s="7"/>
      <c r="L986" s="7"/>
      <c r="M986" s="7"/>
      <c r="N986" s="7"/>
      <c r="O986" s="7"/>
      <c r="P986" s="7"/>
      <c r="Q986" s="7"/>
    </row>
    <row r="987" spans="1:17" ht="13.9">
      <c r="A987" s="3">
        <v>35422067</v>
      </c>
      <c r="B987" s="3" t="s">
        <v>41</v>
      </c>
      <c r="C987" s="3" t="s">
        <v>60</v>
      </c>
      <c r="D987" s="3">
        <v>9</v>
      </c>
      <c r="E987" s="3"/>
      <c r="F987" s="6">
        <v>42943</v>
      </c>
      <c r="G987" s="5">
        <v>5</v>
      </c>
      <c r="H987" s="3" t="s">
        <v>63</v>
      </c>
      <c r="I987" s="3" t="s">
        <v>7</v>
      </c>
      <c r="J987" s="7" t="b">
        <v>1</v>
      </c>
      <c r="K987" s="7"/>
      <c r="L987" s="7"/>
      <c r="M987" s="7"/>
      <c r="N987" s="7"/>
      <c r="O987" s="7"/>
      <c r="P987" s="7"/>
      <c r="Q987" s="7"/>
    </row>
    <row r="988" spans="1:17" ht="13.9">
      <c r="A988" s="3">
        <v>24120049</v>
      </c>
      <c r="B988" s="3">
        <v>2</v>
      </c>
      <c r="C988" s="3" t="s">
        <v>60</v>
      </c>
      <c r="D988" s="3">
        <v>9</v>
      </c>
      <c r="E988" s="3"/>
      <c r="F988" s="6">
        <v>41934</v>
      </c>
      <c r="G988" s="5">
        <v>8</v>
      </c>
      <c r="H988" s="3" t="s">
        <v>61</v>
      </c>
      <c r="I988" s="3" t="s">
        <v>6</v>
      </c>
      <c r="J988" s="7" t="b">
        <v>1</v>
      </c>
      <c r="K988" s="7"/>
      <c r="L988" s="7"/>
      <c r="M988" s="7"/>
      <c r="N988" s="7"/>
      <c r="O988" s="7"/>
      <c r="P988" s="7"/>
      <c r="Q988" s="7"/>
    </row>
    <row r="989" spans="1:17" ht="13.9">
      <c r="A989" s="3">
        <v>8912637</v>
      </c>
      <c r="B989" s="3">
        <v>5</v>
      </c>
      <c r="C989" s="3" t="s">
        <v>62</v>
      </c>
      <c r="D989" s="5">
        <v>11</v>
      </c>
      <c r="E989" s="3">
        <v>9</v>
      </c>
      <c r="F989" s="6">
        <v>40136</v>
      </c>
      <c r="G989" s="5">
        <v>13</v>
      </c>
      <c r="H989" s="3" t="s">
        <v>63</v>
      </c>
      <c r="I989" s="3" t="s">
        <v>7</v>
      </c>
      <c r="J989" s="7" t="b">
        <v>1</v>
      </c>
      <c r="K989" s="7"/>
      <c r="L989" s="7"/>
      <c r="M989" s="7"/>
      <c r="N989" s="7"/>
      <c r="O989" s="7"/>
      <c r="P989" s="7"/>
      <c r="Q989" s="7"/>
    </row>
    <row r="990" spans="1:17" ht="13.9">
      <c r="A990" s="3">
        <v>24915043</v>
      </c>
      <c r="B990" s="3">
        <v>7</v>
      </c>
      <c r="C990" s="3" t="s">
        <v>65</v>
      </c>
      <c r="D990" s="3">
        <v>7</v>
      </c>
      <c r="E990" s="3"/>
      <c r="F990" s="6">
        <v>40212</v>
      </c>
      <c r="G990" s="5">
        <v>12</v>
      </c>
      <c r="H990" s="3" t="s">
        <v>61</v>
      </c>
      <c r="I990" s="3" t="s">
        <v>6</v>
      </c>
      <c r="J990" s="7" t="b">
        <v>1</v>
      </c>
      <c r="K990" s="7"/>
      <c r="L990" s="7"/>
      <c r="M990" s="7"/>
      <c r="N990" s="7"/>
      <c r="O990" s="7"/>
      <c r="P990" s="7"/>
      <c r="Q990" s="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outlinePr summaryBelow="0" summaryRight="0"/>
  </sheetPr>
  <dimension ref="A1:J449"/>
  <sheetViews>
    <sheetView topLeftCell="E1" workbookViewId="0">
      <selection activeCell="L249" sqref="L249"/>
    </sheetView>
  </sheetViews>
  <sheetFormatPr defaultColWidth="12.5703125" defaultRowHeight="15.75" customHeight="1"/>
  <cols>
    <col min="3" max="3" width="17.42578125" customWidth="1"/>
    <col min="4" max="4" width="24.85546875" customWidth="1"/>
    <col min="5" max="5" width="28" customWidth="1"/>
    <col min="6" max="6" width="15.28515625" customWidth="1"/>
    <col min="7" max="7" width="15.140625" customWidth="1"/>
    <col min="10" max="10" width="16.5703125" customWidth="1"/>
  </cols>
  <sheetData>
    <row r="1" spans="1:10" ht="13.9">
      <c r="A1" s="3" t="s">
        <v>10</v>
      </c>
      <c r="B1" s="3" t="s">
        <v>52</v>
      </c>
      <c r="C1" s="3" t="s">
        <v>53</v>
      </c>
      <c r="D1" s="3" t="s">
        <v>54</v>
      </c>
      <c r="E1" s="3" t="s">
        <v>55</v>
      </c>
      <c r="F1" s="3" t="s">
        <v>56</v>
      </c>
      <c r="G1" s="3" t="s">
        <v>57</v>
      </c>
      <c r="H1" s="3" t="s">
        <v>58</v>
      </c>
      <c r="I1" s="3" t="s">
        <v>23</v>
      </c>
      <c r="J1" s="3" t="s">
        <v>59</v>
      </c>
    </row>
    <row r="2" spans="1:10" ht="15.75" hidden="1" customHeight="1">
      <c r="A2" s="1">
        <v>919610141</v>
      </c>
      <c r="B2" s="1">
        <v>11</v>
      </c>
      <c r="C2" s="3" t="s">
        <v>60</v>
      </c>
      <c r="D2" s="3">
        <v>8</v>
      </c>
      <c r="E2" s="3"/>
      <c r="F2" s="6">
        <v>42284</v>
      </c>
      <c r="G2" s="5">
        <v>7</v>
      </c>
      <c r="H2" s="3" t="s">
        <v>63</v>
      </c>
      <c r="I2" s="3" t="s">
        <v>7</v>
      </c>
      <c r="J2" s="7" t="b">
        <v>1</v>
      </c>
    </row>
    <row r="3" spans="1:10" ht="15.75" hidden="1" customHeight="1">
      <c r="A3" s="1">
        <v>919618110</v>
      </c>
      <c r="B3" s="1">
        <v>7</v>
      </c>
      <c r="C3" s="3" t="s">
        <v>60</v>
      </c>
      <c r="D3" s="3">
        <v>7</v>
      </c>
      <c r="E3" s="3"/>
      <c r="F3" s="6">
        <v>40625</v>
      </c>
      <c r="G3" s="5">
        <v>11</v>
      </c>
      <c r="H3" s="3" t="s">
        <v>63</v>
      </c>
      <c r="I3" s="3" t="s">
        <v>7</v>
      </c>
      <c r="J3" s="7" t="b">
        <v>1</v>
      </c>
    </row>
    <row r="4" spans="1:10" ht="15.75" hidden="1" customHeight="1">
      <c r="A4" s="1">
        <v>999810022</v>
      </c>
      <c r="B4" s="1">
        <v>10</v>
      </c>
      <c r="C4" s="3" t="s">
        <v>60</v>
      </c>
      <c r="D4" s="5">
        <v>15</v>
      </c>
      <c r="E4" s="3">
        <v>9</v>
      </c>
      <c r="F4" s="6">
        <v>40938</v>
      </c>
      <c r="G4" s="5">
        <v>10</v>
      </c>
      <c r="H4" s="3" t="s">
        <v>63</v>
      </c>
      <c r="I4" s="3" t="s">
        <v>7</v>
      </c>
      <c r="J4" s="7" t="b">
        <v>1</v>
      </c>
    </row>
    <row r="5" spans="1:10" ht="15.75" hidden="1" customHeight="1">
      <c r="A5" s="1">
        <v>536918032</v>
      </c>
      <c r="B5" s="1">
        <v>3</v>
      </c>
      <c r="C5" s="3" t="s">
        <v>60</v>
      </c>
      <c r="D5" s="3">
        <v>7</v>
      </c>
      <c r="E5" s="3"/>
      <c r="F5" s="6">
        <v>39328</v>
      </c>
      <c r="G5" s="5">
        <v>15</v>
      </c>
      <c r="H5" s="3" t="s">
        <v>63</v>
      </c>
      <c r="I5" s="3" t="s">
        <v>7</v>
      </c>
      <c r="J5" s="7" t="b">
        <v>1</v>
      </c>
    </row>
    <row r="6" spans="1:10" ht="15.75" hidden="1" customHeight="1">
      <c r="A6" s="1">
        <v>536918032</v>
      </c>
      <c r="B6" s="1">
        <v>3</v>
      </c>
      <c r="C6" s="3" t="s">
        <v>60</v>
      </c>
      <c r="D6" s="3">
        <v>9</v>
      </c>
      <c r="E6" s="3"/>
      <c r="F6" s="6">
        <v>42265</v>
      </c>
      <c r="G6" s="5">
        <v>7</v>
      </c>
      <c r="H6" s="3" t="s">
        <v>63</v>
      </c>
      <c r="I6" s="3" t="s">
        <v>7</v>
      </c>
      <c r="J6" s="7" t="b">
        <v>1</v>
      </c>
    </row>
    <row r="7" spans="1:10" ht="15.75" hidden="1" customHeight="1">
      <c r="A7" s="1">
        <v>537320019</v>
      </c>
      <c r="B7" s="1">
        <v>1</v>
      </c>
      <c r="C7" s="3" t="s">
        <v>65</v>
      </c>
      <c r="D7" s="3">
        <v>7</v>
      </c>
      <c r="E7" s="3"/>
      <c r="F7" s="9">
        <v>38489</v>
      </c>
      <c r="G7" s="5">
        <v>17</v>
      </c>
      <c r="H7" s="3" t="s">
        <v>63</v>
      </c>
      <c r="I7" s="3" t="s">
        <v>7</v>
      </c>
      <c r="J7" s="7" t="b">
        <v>1</v>
      </c>
    </row>
    <row r="8" spans="1:10" ht="15.75" hidden="1" customHeight="1">
      <c r="A8" s="1">
        <v>537320019</v>
      </c>
      <c r="B8" s="1">
        <v>1</v>
      </c>
      <c r="C8" s="3" t="s">
        <v>62</v>
      </c>
      <c r="D8" s="3">
        <v>8</v>
      </c>
      <c r="E8" s="3">
        <v>9</v>
      </c>
      <c r="F8" s="6">
        <v>42713</v>
      </c>
      <c r="G8" s="5">
        <v>5</v>
      </c>
      <c r="H8" s="3" t="s">
        <v>61</v>
      </c>
      <c r="I8" s="3" t="s">
        <v>7</v>
      </c>
      <c r="J8" s="7" t="b">
        <v>1</v>
      </c>
    </row>
    <row r="9" spans="1:10" ht="15.75" hidden="1" customHeight="1">
      <c r="A9" s="1">
        <v>537514058</v>
      </c>
      <c r="B9" s="1">
        <v>11</v>
      </c>
      <c r="C9" s="3" t="s">
        <v>65</v>
      </c>
      <c r="D9" s="5">
        <v>17</v>
      </c>
      <c r="E9" s="3"/>
      <c r="F9" s="6">
        <v>39479</v>
      </c>
      <c r="G9" s="5">
        <v>14</v>
      </c>
      <c r="H9" s="3" t="s">
        <v>61</v>
      </c>
      <c r="I9" s="3" t="s">
        <v>7</v>
      </c>
      <c r="J9" s="7" t="b">
        <v>1</v>
      </c>
    </row>
    <row r="10" spans="1:10" ht="15.75" hidden="1" customHeight="1">
      <c r="A10" s="1">
        <v>537711024</v>
      </c>
      <c r="B10" s="1">
        <v>10</v>
      </c>
      <c r="C10" s="3" t="s">
        <v>65</v>
      </c>
      <c r="D10" s="3">
        <v>7</v>
      </c>
      <c r="E10" s="3">
        <v>9</v>
      </c>
      <c r="F10" s="6">
        <v>39003</v>
      </c>
      <c r="G10" s="5">
        <v>16</v>
      </c>
      <c r="H10" s="3" t="s">
        <v>61</v>
      </c>
      <c r="I10" s="3" t="s">
        <v>7</v>
      </c>
      <c r="J10" s="7" t="b">
        <v>1</v>
      </c>
    </row>
    <row r="11" spans="1:10" ht="15.75" hidden="1" customHeight="1">
      <c r="A11" s="1">
        <v>537711738</v>
      </c>
      <c r="B11" s="1">
        <v>10</v>
      </c>
      <c r="C11" s="3" t="s">
        <v>60</v>
      </c>
      <c r="D11" s="5">
        <v>17</v>
      </c>
      <c r="E11" s="3"/>
      <c r="F11" s="6">
        <v>39486</v>
      </c>
      <c r="G11" s="5">
        <v>14</v>
      </c>
      <c r="H11" s="3" t="s">
        <v>63</v>
      </c>
      <c r="I11" s="3" t="s">
        <v>7</v>
      </c>
      <c r="J11" s="7" t="b">
        <v>1</v>
      </c>
    </row>
    <row r="12" spans="1:10" ht="15.75" hidden="1" customHeight="1">
      <c r="A12" s="1">
        <v>538110109</v>
      </c>
      <c r="B12" s="1">
        <v>11</v>
      </c>
      <c r="C12" s="3" t="s">
        <v>60</v>
      </c>
      <c r="D12" s="3">
        <v>7</v>
      </c>
      <c r="E12" s="3">
        <v>9</v>
      </c>
      <c r="F12" s="6">
        <v>39980</v>
      </c>
      <c r="G12" s="5">
        <v>13</v>
      </c>
      <c r="H12" s="3" t="s">
        <v>61</v>
      </c>
      <c r="I12" s="3" t="s">
        <v>7</v>
      </c>
      <c r="J12" s="7" t="b">
        <v>1</v>
      </c>
    </row>
    <row r="13" spans="1:10" ht="15.75" hidden="1" customHeight="1">
      <c r="A13" s="1">
        <v>538110109</v>
      </c>
      <c r="B13" s="1">
        <v>11</v>
      </c>
      <c r="C13" s="3" t="s">
        <v>60</v>
      </c>
      <c r="D13" s="3">
        <v>9</v>
      </c>
      <c r="E13" s="3"/>
      <c r="F13" s="6">
        <v>41427</v>
      </c>
      <c r="G13" s="5">
        <v>9</v>
      </c>
      <c r="H13" s="3" t="s">
        <v>61</v>
      </c>
      <c r="I13" s="3" t="s">
        <v>7</v>
      </c>
      <c r="J13" s="7" t="b">
        <v>1</v>
      </c>
    </row>
    <row r="14" spans="1:10" ht="15.75" hidden="1" customHeight="1">
      <c r="A14" s="1">
        <v>538611871</v>
      </c>
      <c r="B14" s="1">
        <v>10</v>
      </c>
      <c r="C14" s="3" t="s">
        <v>60</v>
      </c>
      <c r="D14" s="3">
        <v>7</v>
      </c>
      <c r="E14" s="3"/>
      <c r="F14" s="6">
        <v>39196</v>
      </c>
      <c r="G14" s="5">
        <v>15</v>
      </c>
      <c r="H14" s="3" t="s">
        <v>61</v>
      </c>
      <c r="I14" s="3" t="s">
        <v>7</v>
      </c>
      <c r="J14" s="7" t="b">
        <v>1</v>
      </c>
    </row>
    <row r="15" spans="1:10" ht="15.75" hidden="1" customHeight="1">
      <c r="A15" s="1">
        <v>538611871</v>
      </c>
      <c r="B15" s="1">
        <v>10</v>
      </c>
      <c r="C15" s="3" t="s">
        <v>60</v>
      </c>
      <c r="D15" s="3">
        <v>9</v>
      </c>
      <c r="E15" s="3"/>
      <c r="F15" s="6">
        <v>42203</v>
      </c>
      <c r="G15" s="5">
        <v>7</v>
      </c>
      <c r="H15" s="3" t="s">
        <v>61</v>
      </c>
      <c r="I15" s="3" t="s">
        <v>6</v>
      </c>
      <c r="J15" s="7" t="b">
        <v>1</v>
      </c>
    </row>
    <row r="16" spans="1:10" ht="15.75" hidden="1" customHeight="1">
      <c r="A16" s="1">
        <v>538611871</v>
      </c>
      <c r="B16" s="1">
        <v>10</v>
      </c>
      <c r="C16" s="3" t="s">
        <v>60</v>
      </c>
      <c r="D16" s="3">
        <v>9</v>
      </c>
      <c r="E16" s="3"/>
      <c r="F16" s="6">
        <v>41887</v>
      </c>
      <c r="G16" s="5">
        <v>8</v>
      </c>
      <c r="H16" s="3" t="s">
        <v>63</v>
      </c>
      <c r="I16" s="3" t="s">
        <v>7</v>
      </c>
      <c r="J16" s="7" t="b">
        <v>1</v>
      </c>
    </row>
    <row r="17" spans="1:10" ht="15.75" hidden="1" customHeight="1">
      <c r="A17" s="1">
        <v>538612110</v>
      </c>
      <c r="B17" s="1">
        <v>9</v>
      </c>
      <c r="C17" s="3" t="s">
        <v>60</v>
      </c>
      <c r="D17" s="5">
        <v>17</v>
      </c>
      <c r="E17" s="3"/>
      <c r="F17" s="6">
        <v>39770</v>
      </c>
      <c r="G17" s="5">
        <v>14</v>
      </c>
      <c r="H17" s="3" t="s">
        <v>63</v>
      </c>
      <c r="I17" s="3" t="s">
        <v>7</v>
      </c>
      <c r="J17" s="7" t="b">
        <v>1</v>
      </c>
    </row>
    <row r="18" spans="1:10" ht="15.75" hidden="1" customHeight="1">
      <c r="A18" s="1">
        <v>538612160</v>
      </c>
      <c r="B18" s="1">
        <v>9</v>
      </c>
      <c r="C18" s="3" t="s">
        <v>60</v>
      </c>
      <c r="D18" s="3">
        <v>7</v>
      </c>
      <c r="E18" s="3"/>
      <c r="F18" s="6">
        <v>39118</v>
      </c>
      <c r="G18" s="5">
        <v>15</v>
      </c>
      <c r="H18" s="3" t="s">
        <v>61</v>
      </c>
      <c r="I18" s="3" t="s">
        <v>7</v>
      </c>
      <c r="J18" s="7" t="b">
        <v>1</v>
      </c>
    </row>
    <row r="19" spans="1:10" ht="15.75" hidden="1" customHeight="1">
      <c r="A19" s="1">
        <v>538919030</v>
      </c>
      <c r="B19" s="1">
        <v>2</v>
      </c>
      <c r="C19" s="3" t="s">
        <v>60</v>
      </c>
      <c r="D19" s="3">
        <v>9</v>
      </c>
      <c r="E19" s="3"/>
      <c r="F19" s="6">
        <v>42296</v>
      </c>
      <c r="G19" s="5">
        <v>7</v>
      </c>
      <c r="H19" s="3" t="s">
        <v>63</v>
      </c>
      <c r="I19" s="3" t="s">
        <v>8</v>
      </c>
      <c r="J19" s="7" t="b">
        <v>1</v>
      </c>
    </row>
    <row r="20" spans="1:10" ht="15.75" hidden="1" customHeight="1">
      <c r="A20" s="1">
        <v>539112111</v>
      </c>
      <c r="B20" s="1">
        <v>9</v>
      </c>
      <c r="C20" s="3" t="s">
        <v>60</v>
      </c>
      <c r="D20" s="3">
        <v>9</v>
      </c>
      <c r="E20" s="3"/>
      <c r="F20" s="6">
        <v>40591</v>
      </c>
      <c r="G20" s="5">
        <v>11</v>
      </c>
      <c r="H20" s="3" t="s">
        <v>63</v>
      </c>
      <c r="I20" s="3" t="s">
        <v>7</v>
      </c>
      <c r="J20" s="7" t="b">
        <v>1</v>
      </c>
    </row>
    <row r="21" spans="1:10" ht="15.75" customHeight="1">
      <c r="A21" s="1">
        <v>539507260</v>
      </c>
      <c r="B21" s="1">
        <v>10</v>
      </c>
      <c r="C21" s="3" t="s">
        <v>60</v>
      </c>
      <c r="D21" s="5">
        <v>10</v>
      </c>
      <c r="E21" s="3">
        <v>9</v>
      </c>
      <c r="F21" s="6">
        <v>39673</v>
      </c>
      <c r="G21" s="5">
        <v>14</v>
      </c>
      <c r="H21" s="3" t="s">
        <v>61</v>
      </c>
      <c r="I21" s="3" t="s">
        <v>4</v>
      </c>
      <c r="J21" s="7" t="b">
        <v>1</v>
      </c>
    </row>
    <row r="22" spans="1:10" ht="15.75" hidden="1" customHeight="1">
      <c r="A22" s="1">
        <v>539508242</v>
      </c>
      <c r="B22" s="1">
        <v>9</v>
      </c>
      <c r="C22" s="3" t="s">
        <v>60</v>
      </c>
      <c r="D22" s="5">
        <v>11</v>
      </c>
      <c r="E22" s="3"/>
      <c r="F22" s="6">
        <v>37115</v>
      </c>
      <c r="G22" s="5">
        <v>21</v>
      </c>
      <c r="H22" s="3" t="s">
        <v>63</v>
      </c>
      <c r="I22" s="3" t="s">
        <v>7</v>
      </c>
      <c r="J22" s="7" t="b">
        <v>1</v>
      </c>
    </row>
    <row r="23" spans="1:10" ht="14.45">
      <c r="A23" s="1">
        <v>535418069</v>
      </c>
      <c r="B23" s="1">
        <v>3</v>
      </c>
      <c r="C23" s="3" t="s">
        <v>65</v>
      </c>
      <c r="D23" s="3">
        <v>4</v>
      </c>
      <c r="E23" s="3"/>
      <c r="F23" s="6">
        <v>40742</v>
      </c>
      <c r="G23" s="5">
        <v>11</v>
      </c>
      <c r="H23" s="3" t="s">
        <v>63</v>
      </c>
      <c r="I23" s="3" t="s">
        <v>4</v>
      </c>
      <c r="J23" s="7" t="b">
        <v>1</v>
      </c>
    </row>
    <row r="24" spans="1:10" ht="14.45" hidden="1">
      <c r="A24" s="1">
        <v>535711125</v>
      </c>
      <c r="B24" s="1">
        <v>10</v>
      </c>
      <c r="C24" s="3" t="s">
        <v>65</v>
      </c>
      <c r="D24" s="5">
        <v>15</v>
      </c>
      <c r="E24" s="5">
        <v>17</v>
      </c>
      <c r="F24" s="6">
        <v>38692</v>
      </c>
      <c r="G24" s="5">
        <v>16</v>
      </c>
      <c r="H24" s="3" t="s">
        <v>63</v>
      </c>
      <c r="I24" s="3" t="s">
        <v>7</v>
      </c>
      <c r="J24" s="7" t="b">
        <v>1</v>
      </c>
    </row>
    <row r="25" spans="1:10" ht="14.45" hidden="1">
      <c r="A25" s="1">
        <v>540610121</v>
      </c>
      <c r="B25" s="1">
        <v>10</v>
      </c>
      <c r="C25" s="3" t="s">
        <v>60</v>
      </c>
      <c r="D25" s="3">
        <v>9</v>
      </c>
      <c r="E25" s="3"/>
      <c r="F25" s="6">
        <v>42112</v>
      </c>
      <c r="G25" s="5">
        <v>7</v>
      </c>
      <c r="H25" s="3" t="s">
        <v>63</v>
      </c>
      <c r="I25" s="3" t="s">
        <v>7</v>
      </c>
      <c r="J25" s="7" t="b">
        <v>1</v>
      </c>
    </row>
    <row r="26" spans="1:10" ht="14.45" hidden="1">
      <c r="A26" s="1">
        <v>543017005</v>
      </c>
      <c r="B26" s="1">
        <v>4</v>
      </c>
      <c r="C26" s="3" t="s">
        <v>60</v>
      </c>
      <c r="D26" s="3">
        <v>9</v>
      </c>
      <c r="E26" s="3"/>
      <c r="F26" s="6">
        <v>41546</v>
      </c>
      <c r="G26" s="5">
        <v>9</v>
      </c>
      <c r="H26" s="3" t="s">
        <v>63</v>
      </c>
      <c r="I26" s="3" t="s">
        <v>7</v>
      </c>
      <c r="J26" s="7" t="b">
        <v>1</v>
      </c>
    </row>
    <row r="27" spans="1:10" ht="14.45">
      <c r="A27" s="1">
        <v>543020013</v>
      </c>
      <c r="B27" s="1">
        <v>1</v>
      </c>
      <c r="C27" s="3" t="s">
        <v>60</v>
      </c>
      <c r="D27" s="5">
        <v>17</v>
      </c>
      <c r="E27" s="3"/>
      <c r="F27" s="6">
        <v>39784</v>
      </c>
      <c r="G27" s="5">
        <v>13</v>
      </c>
      <c r="H27" s="3" t="s">
        <v>63</v>
      </c>
      <c r="I27" s="3" t="s">
        <v>4</v>
      </c>
      <c r="J27" s="7" t="b">
        <v>1</v>
      </c>
    </row>
    <row r="28" spans="1:10" ht="14.45" hidden="1">
      <c r="A28" s="1">
        <v>543020013</v>
      </c>
      <c r="B28" s="1">
        <v>1</v>
      </c>
      <c r="C28" s="3" t="s">
        <v>60</v>
      </c>
      <c r="D28" s="3">
        <v>8</v>
      </c>
      <c r="E28" s="3">
        <v>9</v>
      </c>
      <c r="F28" s="6">
        <v>42470</v>
      </c>
      <c r="G28" s="5">
        <v>6</v>
      </c>
      <c r="H28" s="3" t="s">
        <v>63</v>
      </c>
      <c r="I28" s="3" t="s">
        <v>8</v>
      </c>
      <c r="J28" s="7" t="b">
        <v>1</v>
      </c>
    </row>
    <row r="29" spans="1:10" ht="14.45" hidden="1">
      <c r="A29" s="1">
        <v>543020013</v>
      </c>
      <c r="B29" s="1">
        <v>1</v>
      </c>
      <c r="C29" s="3" t="s">
        <v>60</v>
      </c>
      <c r="D29" s="3">
        <v>9</v>
      </c>
      <c r="E29" s="3"/>
      <c r="F29" s="6">
        <v>41355</v>
      </c>
      <c r="G29" s="5">
        <v>9</v>
      </c>
      <c r="H29" s="3" t="s">
        <v>61</v>
      </c>
      <c r="I29" s="3" t="s">
        <v>7</v>
      </c>
      <c r="J29" s="7" t="b">
        <v>1</v>
      </c>
    </row>
    <row r="30" spans="1:10" ht="14.45" hidden="1">
      <c r="A30" s="1">
        <v>543020052</v>
      </c>
      <c r="B30" s="1">
        <v>4</v>
      </c>
      <c r="C30" s="3" t="s">
        <v>60</v>
      </c>
      <c r="D30" s="5">
        <v>17</v>
      </c>
      <c r="E30" s="3"/>
      <c r="F30" s="6">
        <v>38952</v>
      </c>
      <c r="G30" s="5">
        <v>16</v>
      </c>
      <c r="H30" s="3" t="s">
        <v>63</v>
      </c>
      <c r="I30" s="3" t="s">
        <v>7</v>
      </c>
      <c r="J30" s="7" t="b">
        <v>1</v>
      </c>
    </row>
    <row r="31" spans="1:10" ht="14.45" hidden="1">
      <c r="A31" s="1">
        <v>543616042</v>
      </c>
      <c r="B31" s="1">
        <v>5</v>
      </c>
      <c r="C31" s="3" t="s">
        <v>60</v>
      </c>
      <c r="D31" s="5">
        <v>17</v>
      </c>
      <c r="E31" s="3"/>
      <c r="F31" s="6">
        <v>40966</v>
      </c>
      <c r="G31" s="5">
        <v>10</v>
      </c>
      <c r="H31" s="3" t="s">
        <v>63</v>
      </c>
      <c r="I31" s="3" t="s">
        <v>7</v>
      </c>
      <c r="J31" s="7" t="b">
        <v>1</v>
      </c>
    </row>
    <row r="32" spans="1:10" ht="14.45" hidden="1">
      <c r="A32" s="1">
        <v>544410051</v>
      </c>
      <c r="B32" s="1">
        <v>10</v>
      </c>
      <c r="C32" s="3" t="s">
        <v>62</v>
      </c>
      <c r="D32" s="5">
        <v>10</v>
      </c>
      <c r="E32" s="3">
        <v>9</v>
      </c>
      <c r="F32" s="6">
        <v>41222</v>
      </c>
      <c r="G32" s="5">
        <v>10</v>
      </c>
      <c r="H32" s="3" t="s">
        <v>63</v>
      </c>
      <c r="I32" s="3" t="s">
        <v>7</v>
      </c>
      <c r="J32" s="7" t="b">
        <v>1</v>
      </c>
    </row>
    <row r="33" spans="1:10" ht="14.45" hidden="1">
      <c r="A33" s="1">
        <v>539508242</v>
      </c>
      <c r="B33" s="1">
        <v>9</v>
      </c>
      <c r="C33" s="3" t="s">
        <v>60</v>
      </c>
      <c r="D33" s="3">
        <v>7</v>
      </c>
      <c r="E33" s="3"/>
      <c r="F33" s="6">
        <v>40822</v>
      </c>
      <c r="G33" s="5">
        <v>11</v>
      </c>
      <c r="H33" s="3" t="s">
        <v>63</v>
      </c>
      <c r="I33" s="3" t="s">
        <v>7</v>
      </c>
      <c r="J33" s="7" t="b">
        <v>1</v>
      </c>
    </row>
    <row r="34" spans="1:10" ht="14.45" hidden="1">
      <c r="A34" s="1">
        <v>539509187</v>
      </c>
      <c r="B34" s="1">
        <v>9</v>
      </c>
      <c r="C34" s="3" t="s">
        <v>60</v>
      </c>
      <c r="D34" s="3">
        <v>8</v>
      </c>
      <c r="E34" s="3">
        <v>9</v>
      </c>
      <c r="F34" s="6">
        <v>41974</v>
      </c>
      <c r="G34" s="5">
        <v>8</v>
      </c>
      <c r="H34" s="3" t="s">
        <v>63</v>
      </c>
      <c r="I34" s="3" t="s">
        <v>7</v>
      </c>
      <c r="J34" s="7" t="b">
        <v>1</v>
      </c>
    </row>
    <row r="35" spans="1:10" ht="14.45" hidden="1">
      <c r="A35" s="1">
        <v>539509194</v>
      </c>
      <c r="B35" s="1">
        <v>12</v>
      </c>
      <c r="C35" s="3" t="s">
        <v>60</v>
      </c>
      <c r="D35" s="3">
        <v>9</v>
      </c>
      <c r="E35" s="3"/>
      <c r="F35" s="6">
        <v>42936</v>
      </c>
      <c r="G35" s="5">
        <v>5</v>
      </c>
      <c r="H35" s="3" t="s">
        <v>61</v>
      </c>
      <c r="I35" s="3" t="s">
        <v>7</v>
      </c>
      <c r="J35" s="7" t="b">
        <v>1</v>
      </c>
    </row>
    <row r="36" spans="1:10" ht="14.45" hidden="1">
      <c r="A36" s="1">
        <v>539516005</v>
      </c>
      <c r="B36" s="1">
        <v>4</v>
      </c>
      <c r="C36" s="3" t="s">
        <v>60</v>
      </c>
      <c r="D36" s="3">
        <v>7</v>
      </c>
      <c r="E36" s="3"/>
      <c r="F36" s="6">
        <v>39744</v>
      </c>
      <c r="G36" s="5">
        <v>14</v>
      </c>
      <c r="H36" s="3" t="s">
        <v>63</v>
      </c>
      <c r="I36" s="3" t="s">
        <v>7</v>
      </c>
      <c r="J36" s="7" t="b">
        <v>1</v>
      </c>
    </row>
    <row r="37" spans="1:10" ht="14.45" hidden="1">
      <c r="A37" s="1">
        <v>539550823</v>
      </c>
      <c r="B37" s="1">
        <v>2</v>
      </c>
      <c r="C37" s="3" t="s">
        <v>60</v>
      </c>
      <c r="D37" s="3">
        <v>9</v>
      </c>
      <c r="E37" s="3"/>
      <c r="F37" s="6">
        <v>39768</v>
      </c>
      <c r="G37" s="5">
        <v>14</v>
      </c>
      <c r="H37" s="3" t="s">
        <v>63</v>
      </c>
      <c r="I37" s="3" t="s">
        <v>7</v>
      </c>
      <c r="J37" s="7" t="b">
        <v>1</v>
      </c>
    </row>
    <row r="38" spans="1:10" ht="14.45" hidden="1">
      <c r="A38" s="1">
        <v>539550823</v>
      </c>
      <c r="B38" s="1">
        <v>2</v>
      </c>
      <c r="C38" s="3" t="s">
        <v>60</v>
      </c>
      <c r="D38" s="3">
        <v>7</v>
      </c>
      <c r="E38" s="3">
        <v>9</v>
      </c>
      <c r="F38" s="6">
        <v>40014</v>
      </c>
      <c r="G38" s="5">
        <v>13</v>
      </c>
      <c r="H38" s="3" t="s">
        <v>63</v>
      </c>
      <c r="I38" s="3" t="s">
        <v>7</v>
      </c>
      <c r="J38" s="7" t="b">
        <v>1</v>
      </c>
    </row>
    <row r="39" spans="1:10" ht="14.45" hidden="1">
      <c r="A39" s="1">
        <v>539550897</v>
      </c>
      <c r="B39" s="1">
        <v>1</v>
      </c>
      <c r="C39" s="3" t="s">
        <v>60</v>
      </c>
      <c r="D39" s="3">
        <v>9</v>
      </c>
      <c r="E39" s="3"/>
      <c r="F39" s="6">
        <v>41638</v>
      </c>
      <c r="G39" s="5">
        <v>8</v>
      </c>
      <c r="H39" s="3" t="s">
        <v>63</v>
      </c>
      <c r="I39" s="3" t="s">
        <v>7</v>
      </c>
      <c r="J39" s="7" t="b">
        <v>1</v>
      </c>
    </row>
    <row r="40" spans="1:10" ht="14.45" hidden="1">
      <c r="A40" s="1">
        <v>539550897</v>
      </c>
      <c r="B40" s="1">
        <v>1</v>
      </c>
      <c r="C40" s="3" t="s">
        <v>65</v>
      </c>
      <c r="D40" s="3">
        <v>7</v>
      </c>
      <c r="E40" s="3"/>
      <c r="F40" s="9">
        <v>39945</v>
      </c>
      <c r="G40" s="5">
        <v>13</v>
      </c>
      <c r="H40" s="3" t="s">
        <v>61</v>
      </c>
      <c r="I40" s="3" t="s">
        <v>7</v>
      </c>
      <c r="J40" s="7" t="b">
        <v>1</v>
      </c>
    </row>
    <row r="41" spans="1:10" ht="14.45" hidden="1">
      <c r="A41" s="1">
        <v>539550897</v>
      </c>
      <c r="B41" s="1">
        <v>1</v>
      </c>
      <c r="C41" s="3" t="s">
        <v>60</v>
      </c>
      <c r="D41" s="3">
        <v>9</v>
      </c>
      <c r="E41" s="3"/>
      <c r="F41" s="6">
        <v>42230</v>
      </c>
      <c r="G41" s="5">
        <v>7</v>
      </c>
      <c r="H41" s="3" t="s">
        <v>61</v>
      </c>
      <c r="I41" s="3" t="s">
        <v>7</v>
      </c>
      <c r="J41" s="7" t="b">
        <v>1</v>
      </c>
    </row>
    <row r="42" spans="1:10" ht="14.45" hidden="1">
      <c r="A42" s="1">
        <v>539550897</v>
      </c>
      <c r="B42" s="1">
        <v>1</v>
      </c>
      <c r="C42" s="3" t="s">
        <v>60</v>
      </c>
      <c r="D42" s="5">
        <v>17</v>
      </c>
      <c r="E42" s="3">
        <v>7</v>
      </c>
      <c r="F42" s="6">
        <v>38470</v>
      </c>
      <c r="G42" s="5">
        <v>17</v>
      </c>
      <c r="H42" s="3" t="s">
        <v>63</v>
      </c>
      <c r="I42" s="3" t="s">
        <v>7</v>
      </c>
      <c r="J42" s="7" t="b">
        <v>1</v>
      </c>
    </row>
    <row r="43" spans="1:10" ht="14.45" hidden="1">
      <c r="A43" s="1">
        <v>539550897</v>
      </c>
      <c r="B43" s="1">
        <v>1</v>
      </c>
      <c r="C43" s="3" t="s">
        <v>60</v>
      </c>
      <c r="D43" s="3">
        <v>7</v>
      </c>
      <c r="E43" s="3">
        <v>9</v>
      </c>
      <c r="F43" s="6">
        <v>40553</v>
      </c>
      <c r="G43" s="5">
        <v>11</v>
      </c>
      <c r="H43" s="3" t="s">
        <v>63</v>
      </c>
      <c r="I43" s="3" t="s">
        <v>7</v>
      </c>
      <c r="J43" s="7" t="b">
        <v>1</v>
      </c>
    </row>
    <row r="44" spans="1:10" ht="14.45" hidden="1">
      <c r="A44" s="1">
        <v>539716043</v>
      </c>
      <c r="B44" s="1">
        <v>4</v>
      </c>
      <c r="C44" s="3" t="s">
        <v>60</v>
      </c>
      <c r="D44" s="3">
        <v>7</v>
      </c>
      <c r="E44" s="3"/>
      <c r="F44" s="6">
        <v>40955</v>
      </c>
      <c r="G44" s="5">
        <v>10</v>
      </c>
      <c r="H44" s="3" t="s">
        <v>63</v>
      </c>
      <c r="I44" s="3" t="s">
        <v>7</v>
      </c>
      <c r="J44" s="7" t="b">
        <v>1</v>
      </c>
    </row>
    <row r="45" spans="1:10" ht="14.45">
      <c r="A45" s="1">
        <v>539716081</v>
      </c>
      <c r="B45" s="1">
        <v>9</v>
      </c>
      <c r="C45" s="3" t="s">
        <v>65</v>
      </c>
      <c r="D45" s="3">
        <v>6</v>
      </c>
      <c r="E45" s="5">
        <v>17</v>
      </c>
      <c r="F45" s="6">
        <v>38777</v>
      </c>
      <c r="G45" s="5">
        <v>16</v>
      </c>
      <c r="H45" s="3" t="s">
        <v>61</v>
      </c>
      <c r="I45" s="3" t="s">
        <v>4</v>
      </c>
      <c r="J45" s="7" t="b">
        <v>1</v>
      </c>
    </row>
    <row r="46" spans="1:10" ht="14.45" hidden="1">
      <c r="A46" s="1">
        <v>539716081</v>
      </c>
      <c r="B46" s="1">
        <v>9</v>
      </c>
      <c r="C46" s="3" t="s">
        <v>62</v>
      </c>
      <c r="D46" s="5">
        <v>15</v>
      </c>
      <c r="E46" s="3">
        <v>9</v>
      </c>
      <c r="F46" s="9">
        <v>41045</v>
      </c>
      <c r="G46" s="5">
        <v>10</v>
      </c>
      <c r="H46" s="3" t="s">
        <v>63</v>
      </c>
      <c r="I46" s="3" t="s">
        <v>7</v>
      </c>
      <c r="J46" s="7" t="b">
        <v>1</v>
      </c>
    </row>
    <row r="47" spans="1:10" ht="14.45" hidden="1">
      <c r="A47" s="1">
        <v>539716081</v>
      </c>
      <c r="B47" s="1">
        <v>9</v>
      </c>
      <c r="C47" s="3" t="s">
        <v>60</v>
      </c>
      <c r="D47" s="5">
        <v>17</v>
      </c>
      <c r="E47" s="3"/>
      <c r="F47" s="6">
        <v>41002</v>
      </c>
      <c r="G47" s="5">
        <v>10</v>
      </c>
      <c r="H47" s="3" t="s">
        <v>63</v>
      </c>
      <c r="I47" s="3" t="s">
        <v>7</v>
      </c>
      <c r="J47" s="7" t="b">
        <v>1</v>
      </c>
    </row>
    <row r="48" spans="1:10" ht="14.45" hidden="1">
      <c r="A48" s="1">
        <v>539716081</v>
      </c>
      <c r="B48" s="1">
        <v>9</v>
      </c>
      <c r="C48" s="3" t="s">
        <v>60</v>
      </c>
      <c r="D48" s="3">
        <v>7</v>
      </c>
      <c r="E48" s="3"/>
      <c r="F48" s="6">
        <v>41185</v>
      </c>
      <c r="G48" s="5">
        <v>10</v>
      </c>
      <c r="H48" s="3" t="s">
        <v>63</v>
      </c>
      <c r="I48" s="3" t="s">
        <v>9</v>
      </c>
      <c r="J48" s="7" t="b">
        <v>1</v>
      </c>
    </row>
    <row r="49" spans="1:10" ht="14.45" hidden="1">
      <c r="A49" s="1">
        <v>539716081</v>
      </c>
      <c r="B49" s="1">
        <v>9</v>
      </c>
      <c r="C49" s="3" t="s">
        <v>60</v>
      </c>
      <c r="D49" s="3">
        <v>7</v>
      </c>
      <c r="E49" s="3"/>
      <c r="F49" s="6">
        <v>40266</v>
      </c>
      <c r="G49" s="5">
        <v>12</v>
      </c>
      <c r="H49" s="3" t="s">
        <v>63</v>
      </c>
      <c r="I49" s="3" t="s">
        <v>7</v>
      </c>
      <c r="J49" s="7" t="b">
        <v>1</v>
      </c>
    </row>
    <row r="50" spans="1:10" ht="14.45" hidden="1">
      <c r="A50" s="1">
        <v>539716081</v>
      </c>
      <c r="B50" s="1">
        <v>9</v>
      </c>
      <c r="C50" s="3" t="s">
        <v>60</v>
      </c>
      <c r="D50" s="5">
        <v>17</v>
      </c>
      <c r="E50" s="3">
        <v>9</v>
      </c>
      <c r="F50" s="6">
        <v>38415</v>
      </c>
      <c r="G50" s="5">
        <v>17</v>
      </c>
      <c r="H50" s="3" t="s">
        <v>63</v>
      </c>
      <c r="I50" s="3" t="s">
        <v>7</v>
      </c>
      <c r="J50" s="7" t="b">
        <v>1</v>
      </c>
    </row>
    <row r="51" spans="1:10" ht="14.45" hidden="1">
      <c r="A51" s="1">
        <v>810410072</v>
      </c>
      <c r="B51" s="1">
        <v>11</v>
      </c>
      <c r="C51" s="3" t="s">
        <v>60</v>
      </c>
      <c r="D51" s="3">
        <v>6</v>
      </c>
      <c r="E51" s="3"/>
      <c r="F51" s="6">
        <v>40835</v>
      </c>
      <c r="G51" s="5">
        <v>11</v>
      </c>
      <c r="H51" s="3" t="s">
        <v>61</v>
      </c>
      <c r="I51" s="3" t="s">
        <v>7</v>
      </c>
      <c r="J51" s="7" t="b">
        <v>1</v>
      </c>
    </row>
    <row r="52" spans="1:10" ht="14.45" hidden="1">
      <c r="A52" s="1">
        <v>810411045</v>
      </c>
      <c r="B52" s="1">
        <v>10</v>
      </c>
      <c r="C52" s="3" t="s">
        <v>65</v>
      </c>
      <c r="D52" s="5">
        <v>11</v>
      </c>
      <c r="E52" s="3"/>
      <c r="F52" s="6">
        <v>38253</v>
      </c>
      <c r="G52" s="5">
        <v>18</v>
      </c>
      <c r="H52" s="3" t="s">
        <v>63</v>
      </c>
      <c r="I52" s="3" t="s">
        <v>7</v>
      </c>
      <c r="J52" s="7" t="b">
        <v>1</v>
      </c>
    </row>
    <row r="53" spans="1:10" ht="14.45" hidden="1">
      <c r="A53" s="1">
        <v>820314053</v>
      </c>
      <c r="B53" s="1">
        <v>7</v>
      </c>
      <c r="C53" s="3" t="s">
        <v>60</v>
      </c>
      <c r="D53" s="3">
        <v>7</v>
      </c>
      <c r="E53" s="3"/>
      <c r="F53" s="6">
        <v>39636</v>
      </c>
      <c r="G53" s="5">
        <v>14</v>
      </c>
      <c r="H53" s="3" t="s">
        <v>61</v>
      </c>
      <c r="I53" s="3" t="s">
        <v>7</v>
      </c>
      <c r="J53" s="7" t="b">
        <v>1</v>
      </c>
    </row>
    <row r="54" spans="1:10" ht="14.45" hidden="1">
      <c r="A54" s="1">
        <v>808907012</v>
      </c>
      <c r="B54" s="1">
        <v>12</v>
      </c>
      <c r="C54" s="3" t="s">
        <v>60</v>
      </c>
      <c r="D54" s="3">
        <v>7</v>
      </c>
      <c r="E54" s="3"/>
      <c r="F54" s="6">
        <v>37967</v>
      </c>
      <c r="G54" s="5">
        <v>18</v>
      </c>
      <c r="H54" s="3" t="s">
        <v>63</v>
      </c>
      <c r="I54" s="3" t="s">
        <v>7</v>
      </c>
      <c r="J54" s="7" t="b">
        <v>1</v>
      </c>
    </row>
    <row r="55" spans="1:10" ht="14.45" hidden="1">
      <c r="A55" s="1">
        <v>822514028</v>
      </c>
      <c r="B55" s="1">
        <v>6</v>
      </c>
      <c r="C55" s="3" t="s">
        <v>65</v>
      </c>
      <c r="D55" s="3">
        <v>5</v>
      </c>
      <c r="E55" s="3">
        <v>7</v>
      </c>
      <c r="F55" s="6">
        <v>40647</v>
      </c>
      <c r="G55" s="5">
        <v>11</v>
      </c>
      <c r="H55" s="3" t="s">
        <v>63</v>
      </c>
      <c r="I55" s="3" t="s">
        <v>7</v>
      </c>
      <c r="J55" s="7" t="b">
        <v>1</v>
      </c>
    </row>
    <row r="56" spans="1:10" ht="14.45" hidden="1">
      <c r="A56" s="1">
        <v>823114064</v>
      </c>
      <c r="B56" s="1">
        <v>6</v>
      </c>
      <c r="C56" s="3" t="s">
        <v>60</v>
      </c>
      <c r="D56" s="3">
        <v>9</v>
      </c>
      <c r="E56" s="3"/>
      <c r="F56" s="6">
        <v>41953</v>
      </c>
      <c r="G56" s="5">
        <v>8</v>
      </c>
      <c r="H56" s="3" t="s">
        <v>61</v>
      </c>
      <c r="I56" s="3" t="s">
        <v>7</v>
      </c>
      <c r="J56" s="7" t="b">
        <v>1</v>
      </c>
    </row>
    <row r="57" spans="1:10" ht="14.45">
      <c r="A57" s="1">
        <v>823721021</v>
      </c>
      <c r="B57" s="1">
        <v>11</v>
      </c>
      <c r="C57" s="3" t="s">
        <v>60</v>
      </c>
      <c r="D57" s="3">
        <v>7</v>
      </c>
      <c r="E57" s="3">
        <v>9</v>
      </c>
      <c r="F57" s="6">
        <v>40774</v>
      </c>
      <c r="G57" s="5">
        <v>11</v>
      </c>
      <c r="H57" s="3" t="s">
        <v>63</v>
      </c>
      <c r="I57" s="3" t="s">
        <v>4</v>
      </c>
      <c r="J57" s="7" t="b">
        <v>1</v>
      </c>
    </row>
    <row r="58" spans="1:10" ht="14.45" hidden="1">
      <c r="A58" s="1">
        <v>825108010</v>
      </c>
      <c r="B58" s="1">
        <v>10</v>
      </c>
      <c r="C58" s="3" t="s">
        <v>60</v>
      </c>
      <c r="D58" s="3">
        <v>9</v>
      </c>
      <c r="E58" s="3"/>
      <c r="F58" s="6">
        <v>41755</v>
      </c>
      <c r="G58" s="5">
        <v>8</v>
      </c>
      <c r="H58" s="3" t="s">
        <v>63</v>
      </c>
      <c r="I58" s="3" t="s">
        <v>7</v>
      </c>
      <c r="J58" s="7" t="b">
        <v>1</v>
      </c>
    </row>
    <row r="59" spans="1:10" ht="14.45" hidden="1">
      <c r="A59" s="1">
        <v>825108051</v>
      </c>
      <c r="B59" s="1">
        <v>11</v>
      </c>
      <c r="C59" s="3" t="s">
        <v>60</v>
      </c>
      <c r="D59" s="5">
        <v>17</v>
      </c>
      <c r="E59" s="3">
        <v>7</v>
      </c>
      <c r="F59" s="6">
        <v>38938</v>
      </c>
      <c r="G59" s="5">
        <v>16</v>
      </c>
      <c r="H59" s="3" t="s">
        <v>63</v>
      </c>
      <c r="I59" s="3" t="s">
        <v>7</v>
      </c>
      <c r="J59" s="7" t="b">
        <v>1</v>
      </c>
    </row>
    <row r="60" spans="1:10" ht="14.45" hidden="1">
      <c r="A60" s="1">
        <v>825108051</v>
      </c>
      <c r="B60" s="1">
        <v>11</v>
      </c>
      <c r="C60" s="3" t="s">
        <v>60</v>
      </c>
      <c r="D60" s="5">
        <v>17</v>
      </c>
      <c r="E60" s="3"/>
      <c r="F60" s="9">
        <v>39226</v>
      </c>
      <c r="G60" s="5">
        <v>15</v>
      </c>
      <c r="H60" s="3" t="s">
        <v>63</v>
      </c>
      <c r="I60" s="3" t="s">
        <v>7</v>
      </c>
      <c r="J60" s="7" t="b">
        <v>1</v>
      </c>
    </row>
    <row r="61" spans="1:10" ht="14.45" hidden="1">
      <c r="A61" s="1">
        <v>825110043</v>
      </c>
      <c r="B61" s="1">
        <v>9</v>
      </c>
      <c r="C61" s="3" t="s">
        <v>62</v>
      </c>
      <c r="D61" s="3">
        <v>5</v>
      </c>
      <c r="E61" s="3">
        <v>9</v>
      </c>
      <c r="F61" s="6">
        <v>39450</v>
      </c>
      <c r="G61" s="5">
        <v>14</v>
      </c>
      <c r="H61" s="3" t="s">
        <v>61</v>
      </c>
      <c r="I61" s="3" t="s">
        <v>7</v>
      </c>
      <c r="J61" s="7" t="b">
        <v>1</v>
      </c>
    </row>
    <row r="62" spans="1:10" ht="14.45" hidden="1">
      <c r="A62" s="1">
        <v>825110043</v>
      </c>
      <c r="B62" s="1">
        <v>9</v>
      </c>
      <c r="C62" s="3" t="s">
        <v>65</v>
      </c>
      <c r="D62" s="5">
        <v>17</v>
      </c>
      <c r="E62" s="3">
        <v>7</v>
      </c>
      <c r="F62" s="9">
        <v>39211</v>
      </c>
      <c r="G62" s="5">
        <v>15</v>
      </c>
      <c r="H62" s="3" t="s">
        <v>61</v>
      </c>
      <c r="I62" s="3" t="s">
        <v>7</v>
      </c>
      <c r="J62" s="7" t="b">
        <v>1</v>
      </c>
    </row>
    <row r="63" spans="1:10" ht="14.45" hidden="1">
      <c r="A63" s="1">
        <v>825110043</v>
      </c>
      <c r="B63" s="1">
        <v>9</v>
      </c>
      <c r="C63" s="3" t="s">
        <v>60</v>
      </c>
      <c r="D63" s="3">
        <v>9</v>
      </c>
      <c r="E63" s="3"/>
      <c r="F63" s="6">
        <v>39829</v>
      </c>
      <c r="G63" s="5">
        <v>13</v>
      </c>
      <c r="H63" s="3" t="s">
        <v>61</v>
      </c>
      <c r="I63" s="3" t="s">
        <v>7</v>
      </c>
      <c r="J63" s="7" t="b">
        <v>1</v>
      </c>
    </row>
    <row r="64" spans="1:10" ht="14.45">
      <c r="A64" s="1">
        <v>825111019</v>
      </c>
      <c r="B64" s="1">
        <v>9</v>
      </c>
      <c r="C64" s="3" t="s">
        <v>60</v>
      </c>
      <c r="D64" s="3">
        <v>8</v>
      </c>
      <c r="E64" s="3">
        <v>9</v>
      </c>
      <c r="F64" s="6">
        <v>41730</v>
      </c>
      <c r="G64" s="5">
        <v>8</v>
      </c>
      <c r="H64" s="3" t="s">
        <v>63</v>
      </c>
      <c r="I64" s="3" t="s">
        <v>4</v>
      </c>
      <c r="J64" s="7" t="b">
        <v>1</v>
      </c>
    </row>
    <row r="65" spans="1:10" ht="14.45" hidden="1">
      <c r="A65" s="1">
        <v>825111019</v>
      </c>
      <c r="B65" s="1">
        <v>9</v>
      </c>
      <c r="C65" s="3" t="s">
        <v>60</v>
      </c>
      <c r="D65" s="3">
        <v>8</v>
      </c>
      <c r="E65" s="3"/>
      <c r="F65" s="6">
        <v>42448</v>
      </c>
      <c r="G65" s="5">
        <v>6</v>
      </c>
      <c r="H65" s="3" t="s">
        <v>61</v>
      </c>
      <c r="I65" s="3" t="s">
        <v>7</v>
      </c>
      <c r="J65" s="7" t="b">
        <v>1</v>
      </c>
    </row>
    <row r="66" spans="1:10" ht="14.45" hidden="1">
      <c r="A66" s="1">
        <v>825115011</v>
      </c>
      <c r="B66" s="1">
        <v>6</v>
      </c>
      <c r="C66" s="3" t="s">
        <v>60</v>
      </c>
      <c r="D66" s="5">
        <v>17</v>
      </c>
      <c r="E66" s="3"/>
      <c r="F66" s="6">
        <v>38833</v>
      </c>
      <c r="G66" s="5">
        <v>16</v>
      </c>
      <c r="H66" s="3" t="s">
        <v>63</v>
      </c>
      <c r="I66" s="3" t="s">
        <v>7</v>
      </c>
      <c r="J66" s="7" t="b">
        <v>1</v>
      </c>
    </row>
    <row r="67" spans="1:10" ht="14.45" hidden="1">
      <c r="A67" s="1">
        <v>826110041</v>
      </c>
      <c r="B67" s="1">
        <v>10</v>
      </c>
      <c r="C67" s="3" t="s">
        <v>65</v>
      </c>
      <c r="D67" s="5">
        <v>10</v>
      </c>
      <c r="E67" s="3">
        <v>9</v>
      </c>
      <c r="F67" s="6">
        <v>41515</v>
      </c>
      <c r="G67" s="5">
        <v>9</v>
      </c>
      <c r="H67" s="3" t="s">
        <v>61</v>
      </c>
      <c r="I67" s="3" t="s">
        <v>7</v>
      </c>
      <c r="J67" s="7" t="b">
        <v>1</v>
      </c>
    </row>
    <row r="68" spans="1:10" ht="14.45" hidden="1">
      <c r="A68" s="1">
        <v>826114093</v>
      </c>
      <c r="B68" s="1">
        <v>6</v>
      </c>
      <c r="C68" s="3" t="s">
        <v>60</v>
      </c>
      <c r="D68" s="3">
        <v>7</v>
      </c>
      <c r="E68" s="3"/>
      <c r="F68" s="6">
        <v>41243</v>
      </c>
      <c r="G68" s="5">
        <v>10</v>
      </c>
      <c r="H68" s="3" t="s">
        <v>63</v>
      </c>
      <c r="I68" s="3" t="s">
        <v>8</v>
      </c>
      <c r="J68" s="7" t="b">
        <v>1</v>
      </c>
    </row>
    <row r="69" spans="1:10" ht="14.45" hidden="1">
      <c r="A69" s="1">
        <v>826114093</v>
      </c>
      <c r="B69" s="1">
        <v>6</v>
      </c>
      <c r="C69" s="3" t="s">
        <v>65</v>
      </c>
      <c r="D69" s="5">
        <v>17</v>
      </c>
      <c r="E69" s="3"/>
      <c r="F69" s="6">
        <v>39337</v>
      </c>
      <c r="G69" s="5">
        <v>15</v>
      </c>
      <c r="H69" s="3" t="s">
        <v>63</v>
      </c>
      <c r="I69" s="3" t="s">
        <v>7</v>
      </c>
      <c r="J69" s="7" t="b">
        <v>1</v>
      </c>
    </row>
    <row r="70" spans="1:10" ht="14.45" hidden="1">
      <c r="A70" s="1">
        <v>919716019</v>
      </c>
      <c r="B70" s="1">
        <v>4</v>
      </c>
      <c r="C70" s="3" t="s">
        <v>60</v>
      </c>
      <c r="D70" s="5">
        <v>15</v>
      </c>
      <c r="E70" s="3"/>
      <c r="F70" s="6">
        <v>38385</v>
      </c>
      <c r="G70" s="5">
        <v>17</v>
      </c>
      <c r="H70" s="3" t="s">
        <v>63</v>
      </c>
      <c r="I70" s="3" t="s">
        <v>7</v>
      </c>
      <c r="J70" s="7" t="b">
        <v>1</v>
      </c>
    </row>
    <row r="71" spans="1:10" ht="14.45" hidden="1">
      <c r="A71" s="1" t="s">
        <v>51</v>
      </c>
      <c r="B71" s="1">
        <v>8</v>
      </c>
      <c r="C71" s="3" t="s">
        <v>65</v>
      </c>
      <c r="D71" s="3">
        <v>7</v>
      </c>
      <c r="E71" s="3"/>
      <c r="F71" s="6">
        <v>40404</v>
      </c>
      <c r="G71" s="5">
        <v>12</v>
      </c>
      <c r="H71" s="3" t="s">
        <v>63</v>
      </c>
      <c r="I71" s="3" t="s">
        <v>7</v>
      </c>
      <c r="J71" s="7" t="b">
        <v>1</v>
      </c>
    </row>
    <row r="72" spans="1:10" ht="14.45" hidden="1">
      <c r="A72" s="1">
        <v>537520042</v>
      </c>
      <c r="B72" s="1">
        <v>1</v>
      </c>
      <c r="C72" s="3" t="s">
        <v>60</v>
      </c>
      <c r="D72" s="3">
        <v>9</v>
      </c>
      <c r="E72" s="3"/>
      <c r="F72" s="6">
        <v>42656</v>
      </c>
      <c r="G72" s="5">
        <v>6</v>
      </c>
      <c r="H72" s="3" t="s">
        <v>61</v>
      </c>
      <c r="I72" s="3" t="s">
        <v>7</v>
      </c>
      <c r="J72" s="7" t="b">
        <v>1</v>
      </c>
    </row>
    <row r="73" spans="1:10" ht="14.45" hidden="1">
      <c r="A73" s="1">
        <v>538611691</v>
      </c>
      <c r="B73" s="1">
        <v>8</v>
      </c>
      <c r="C73" s="3" t="s">
        <v>60</v>
      </c>
      <c r="D73" s="5">
        <v>17</v>
      </c>
      <c r="E73" s="3">
        <v>7</v>
      </c>
      <c r="F73" s="6">
        <v>40561</v>
      </c>
      <c r="G73" s="5">
        <v>11</v>
      </c>
      <c r="H73" s="3" t="s">
        <v>63</v>
      </c>
      <c r="I73" s="3" t="s">
        <v>6</v>
      </c>
      <c r="J73" s="7" t="b">
        <v>1</v>
      </c>
    </row>
    <row r="74" spans="1:10" ht="14.45" hidden="1">
      <c r="A74" s="1">
        <v>538614067</v>
      </c>
      <c r="B74" s="1">
        <v>6</v>
      </c>
      <c r="C74" s="3" t="s">
        <v>60</v>
      </c>
      <c r="D74" s="3">
        <v>7</v>
      </c>
      <c r="E74" s="3"/>
      <c r="F74" s="6">
        <v>38576</v>
      </c>
      <c r="G74" s="5">
        <v>17</v>
      </c>
      <c r="H74" s="3" t="s">
        <v>63</v>
      </c>
      <c r="I74" s="3" t="s">
        <v>7</v>
      </c>
      <c r="J74" s="7" t="b">
        <v>1</v>
      </c>
    </row>
    <row r="75" spans="1:10" ht="14.45" hidden="1">
      <c r="A75" s="1">
        <v>538614068</v>
      </c>
      <c r="B75" s="1">
        <v>6</v>
      </c>
      <c r="C75" s="3" t="s">
        <v>65</v>
      </c>
      <c r="D75" s="5">
        <v>17</v>
      </c>
      <c r="E75" s="3">
        <v>7</v>
      </c>
      <c r="F75" s="6">
        <v>39182</v>
      </c>
      <c r="G75" s="5">
        <v>15</v>
      </c>
      <c r="H75" s="3" t="s">
        <v>63</v>
      </c>
      <c r="I75" s="3" t="s">
        <v>7</v>
      </c>
      <c r="J75" s="7" t="b">
        <v>1</v>
      </c>
    </row>
    <row r="76" spans="1:10" ht="14.45" hidden="1">
      <c r="A76" s="1">
        <v>538919019</v>
      </c>
      <c r="B76" s="1">
        <v>2</v>
      </c>
      <c r="C76" s="3" t="s">
        <v>62</v>
      </c>
      <c r="D76" s="3">
        <v>6</v>
      </c>
      <c r="E76" s="3">
        <v>9</v>
      </c>
      <c r="F76" s="6">
        <v>39396</v>
      </c>
      <c r="G76" s="5">
        <v>15</v>
      </c>
      <c r="H76" s="3" t="s">
        <v>63</v>
      </c>
      <c r="I76" s="3" t="s">
        <v>7</v>
      </c>
      <c r="J76" s="7" t="b">
        <v>1</v>
      </c>
    </row>
    <row r="77" spans="1:10" ht="14.45" hidden="1">
      <c r="A77" s="1">
        <v>539116031</v>
      </c>
      <c r="B77" s="1">
        <v>4</v>
      </c>
      <c r="C77" s="3" t="s">
        <v>60</v>
      </c>
      <c r="D77" s="5">
        <v>17</v>
      </c>
      <c r="E77" s="3"/>
      <c r="F77" s="6">
        <v>39134</v>
      </c>
      <c r="G77" s="5">
        <v>15</v>
      </c>
      <c r="H77" s="3" t="s">
        <v>63</v>
      </c>
      <c r="I77" s="3" t="s">
        <v>7</v>
      </c>
      <c r="J77" s="7" t="b">
        <v>1</v>
      </c>
    </row>
    <row r="78" spans="1:10" ht="14.45" hidden="1">
      <c r="A78" s="1">
        <v>533718007</v>
      </c>
      <c r="B78" s="1">
        <v>3</v>
      </c>
      <c r="C78" s="3" t="s">
        <v>60</v>
      </c>
      <c r="D78" s="3">
        <v>9</v>
      </c>
      <c r="E78" s="3"/>
      <c r="F78" s="6">
        <v>41649</v>
      </c>
      <c r="G78" s="5">
        <v>8</v>
      </c>
      <c r="H78" s="3" t="s">
        <v>63</v>
      </c>
      <c r="I78" s="3" t="s">
        <v>7</v>
      </c>
      <c r="J78" s="7" t="b">
        <v>1</v>
      </c>
    </row>
    <row r="79" spans="1:10" ht="14.45" hidden="1">
      <c r="A79" s="1">
        <v>533718034</v>
      </c>
      <c r="B79" s="1">
        <v>3</v>
      </c>
      <c r="C79" s="3" t="s">
        <v>60</v>
      </c>
      <c r="D79" s="5">
        <v>17</v>
      </c>
      <c r="E79" s="3"/>
      <c r="F79" s="6">
        <v>39464</v>
      </c>
      <c r="G79" s="5">
        <v>14</v>
      </c>
      <c r="H79" s="3" t="s">
        <v>63</v>
      </c>
      <c r="I79" s="3" t="s">
        <v>7</v>
      </c>
      <c r="J79" s="7" t="b">
        <v>1</v>
      </c>
    </row>
    <row r="80" spans="1:10" ht="14.45" hidden="1">
      <c r="A80" s="1">
        <v>533718111</v>
      </c>
      <c r="B80" s="1">
        <v>2</v>
      </c>
      <c r="C80" s="3" t="s">
        <v>60</v>
      </c>
      <c r="D80" s="3">
        <v>9</v>
      </c>
      <c r="E80" s="3"/>
      <c r="F80" s="6">
        <v>40610</v>
      </c>
      <c r="G80" s="5">
        <v>11</v>
      </c>
      <c r="H80" s="3" t="s">
        <v>63</v>
      </c>
      <c r="I80" s="3" t="s">
        <v>7</v>
      </c>
      <c r="J80" s="7" t="b">
        <v>1</v>
      </c>
    </row>
    <row r="81" spans="1:10" ht="14.45" hidden="1">
      <c r="A81" s="1">
        <v>533718173</v>
      </c>
      <c r="B81" s="1">
        <v>2</v>
      </c>
      <c r="C81" s="3" t="s">
        <v>60</v>
      </c>
      <c r="D81" s="3">
        <v>9</v>
      </c>
      <c r="E81" s="3"/>
      <c r="F81" s="6">
        <v>42167</v>
      </c>
      <c r="G81" s="5">
        <v>7</v>
      </c>
      <c r="H81" s="3" t="s">
        <v>63</v>
      </c>
      <c r="I81" s="3" t="s">
        <v>7</v>
      </c>
      <c r="J81" s="7" t="b">
        <v>1</v>
      </c>
    </row>
    <row r="82" spans="1:10" ht="14.45" hidden="1">
      <c r="A82" s="1">
        <v>533719067</v>
      </c>
      <c r="B82" s="1">
        <v>5</v>
      </c>
      <c r="C82" s="3" t="s">
        <v>60</v>
      </c>
      <c r="D82" s="3">
        <v>9</v>
      </c>
      <c r="E82" s="3"/>
      <c r="F82" s="6">
        <v>40748</v>
      </c>
      <c r="G82" s="5">
        <v>11</v>
      </c>
      <c r="H82" s="3" t="s">
        <v>61</v>
      </c>
      <c r="I82" s="3" t="s">
        <v>7</v>
      </c>
      <c r="J82" s="7" t="b">
        <v>1</v>
      </c>
    </row>
    <row r="83" spans="1:10" ht="14.45" hidden="1">
      <c r="A83" s="1">
        <v>533820022</v>
      </c>
      <c r="B83" s="1">
        <v>1</v>
      </c>
      <c r="C83" s="3" t="s">
        <v>60</v>
      </c>
      <c r="D83" s="3">
        <v>7</v>
      </c>
      <c r="E83" s="3">
        <v>9</v>
      </c>
      <c r="F83" s="6">
        <v>41236</v>
      </c>
      <c r="G83" s="5">
        <v>10</v>
      </c>
      <c r="H83" s="3" t="s">
        <v>63</v>
      </c>
      <c r="I83" s="3" t="s">
        <v>8</v>
      </c>
      <c r="J83" s="7" t="b">
        <v>1</v>
      </c>
    </row>
    <row r="84" spans="1:10" ht="14.45" hidden="1">
      <c r="A84" s="1">
        <v>533820227</v>
      </c>
      <c r="B84" s="1" t="s">
        <v>41</v>
      </c>
      <c r="C84" s="3" t="s">
        <v>60</v>
      </c>
      <c r="D84" s="3">
        <v>3</v>
      </c>
      <c r="E84" s="3">
        <v>9</v>
      </c>
      <c r="F84" s="6">
        <v>39653</v>
      </c>
      <c r="G84" s="5">
        <v>14</v>
      </c>
      <c r="H84" s="3" t="s">
        <v>63</v>
      </c>
      <c r="I84" s="3" t="s">
        <v>8</v>
      </c>
      <c r="J84" s="7" t="b">
        <v>1</v>
      </c>
    </row>
    <row r="85" spans="1:10" ht="14.45" hidden="1">
      <c r="A85" s="1">
        <v>534711032</v>
      </c>
      <c r="B85" s="1">
        <v>10</v>
      </c>
      <c r="C85" s="3" t="s">
        <v>60</v>
      </c>
      <c r="D85" s="3">
        <v>7</v>
      </c>
      <c r="E85" s="3"/>
      <c r="F85" s="6">
        <v>39507</v>
      </c>
      <c r="G85" s="5">
        <v>14</v>
      </c>
      <c r="H85" s="3" t="s">
        <v>63</v>
      </c>
      <c r="I85" s="3" t="s">
        <v>7</v>
      </c>
      <c r="J85" s="7" t="b">
        <v>1</v>
      </c>
    </row>
    <row r="86" spans="1:10" ht="14.45" hidden="1">
      <c r="A86" s="1">
        <v>534712125</v>
      </c>
      <c r="B86" s="1">
        <v>11</v>
      </c>
      <c r="C86" s="3" t="s">
        <v>60</v>
      </c>
      <c r="D86" s="3">
        <v>9</v>
      </c>
      <c r="E86" s="3"/>
      <c r="F86" s="6">
        <v>41592</v>
      </c>
      <c r="G86" s="5">
        <v>9</v>
      </c>
      <c r="H86" s="3" t="s">
        <v>63</v>
      </c>
      <c r="I86" s="3" t="s">
        <v>7</v>
      </c>
      <c r="J86" s="7" t="b">
        <v>1</v>
      </c>
    </row>
    <row r="87" spans="1:10" ht="14.45" hidden="1">
      <c r="A87" s="1">
        <v>534716126</v>
      </c>
      <c r="B87" s="1">
        <v>4</v>
      </c>
      <c r="C87" s="3" t="s">
        <v>60</v>
      </c>
      <c r="D87" s="3">
        <v>8</v>
      </c>
      <c r="E87" s="3">
        <v>9</v>
      </c>
      <c r="F87" s="6">
        <v>42475</v>
      </c>
      <c r="G87" s="5">
        <v>6</v>
      </c>
      <c r="H87" s="3" t="s">
        <v>63</v>
      </c>
      <c r="I87" s="3" t="s">
        <v>7</v>
      </c>
      <c r="J87" s="7" t="b">
        <v>1</v>
      </c>
    </row>
    <row r="88" spans="1:10" ht="14.45" hidden="1">
      <c r="A88" s="1">
        <v>538615070</v>
      </c>
      <c r="B88" s="1">
        <v>6</v>
      </c>
      <c r="C88" s="3" t="s">
        <v>60</v>
      </c>
      <c r="D88" s="3">
        <v>2</v>
      </c>
      <c r="E88" s="3"/>
      <c r="F88" s="6">
        <v>41673</v>
      </c>
      <c r="G88" s="5">
        <v>8</v>
      </c>
      <c r="H88" s="3" t="s">
        <v>61</v>
      </c>
      <c r="I88" s="3" t="s">
        <v>7</v>
      </c>
      <c r="J88" s="7" t="b">
        <v>1</v>
      </c>
    </row>
    <row r="89" spans="1:10" ht="14.45">
      <c r="A89" s="1">
        <v>538615070</v>
      </c>
      <c r="B89" s="1">
        <v>6</v>
      </c>
      <c r="C89" s="3" t="s">
        <v>65</v>
      </c>
      <c r="D89" s="5">
        <v>17</v>
      </c>
      <c r="E89" s="3"/>
      <c r="F89" s="6">
        <v>40121</v>
      </c>
      <c r="G89" s="5">
        <v>13</v>
      </c>
      <c r="H89" s="3" t="s">
        <v>61</v>
      </c>
      <c r="I89" s="3" t="s">
        <v>4</v>
      </c>
      <c r="J89" s="7" t="b">
        <v>1</v>
      </c>
    </row>
    <row r="90" spans="1:10" ht="14.45" hidden="1">
      <c r="A90" s="1">
        <v>538616045</v>
      </c>
      <c r="B90" s="1">
        <v>5</v>
      </c>
      <c r="C90" s="3" t="s">
        <v>62</v>
      </c>
      <c r="D90" s="5">
        <v>11</v>
      </c>
      <c r="E90" s="3">
        <v>9</v>
      </c>
      <c r="F90" s="6">
        <v>39054</v>
      </c>
      <c r="G90" s="5">
        <v>15</v>
      </c>
      <c r="H90" s="3" t="s">
        <v>63</v>
      </c>
      <c r="I90" s="3" t="s">
        <v>7</v>
      </c>
      <c r="J90" s="7" t="b">
        <v>1</v>
      </c>
    </row>
    <row r="91" spans="1:10" ht="14.45" hidden="1">
      <c r="A91" s="1">
        <v>535116018</v>
      </c>
      <c r="B91" s="1">
        <v>5</v>
      </c>
      <c r="C91" s="3" t="s">
        <v>65</v>
      </c>
      <c r="D91" s="3">
        <v>7</v>
      </c>
      <c r="E91" s="3">
        <v>9</v>
      </c>
      <c r="F91" s="6">
        <v>41478</v>
      </c>
      <c r="G91" s="5">
        <v>9</v>
      </c>
      <c r="H91" s="3" t="s">
        <v>63</v>
      </c>
      <c r="I91" s="3" t="s">
        <v>8</v>
      </c>
      <c r="J91" s="7" t="b">
        <v>1</v>
      </c>
    </row>
    <row r="92" spans="1:10" ht="14.45" hidden="1">
      <c r="A92" s="1">
        <v>816310222</v>
      </c>
      <c r="B92" s="1">
        <v>8</v>
      </c>
      <c r="C92" s="3" t="s">
        <v>60</v>
      </c>
      <c r="D92" s="3">
        <v>7</v>
      </c>
      <c r="E92" s="3">
        <v>9</v>
      </c>
      <c r="F92" s="6">
        <v>41711</v>
      </c>
      <c r="G92" s="5">
        <v>8</v>
      </c>
      <c r="H92" s="3" t="s">
        <v>63</v>
      </c>
      <c r="I92" s="3" t="s">
        <v>7</v>
      </c>
      <c r="J92" s="7" t="b">
        <v>1</v>
      </c>
    </row>
    <row r="93" spans="1:10" ht="14.45" hidden="1">
      <c r="A93" s="1">
        <v>371414051</v>
      </c>
      <c r="B93" s="1">
        <v>7</v>
      </c>
      <c r="C93" s="3" t="s">
        <v>60</v>
      </c>
      <c r="D93" s="3">
        <v>9</v>
      </c>
      <c r="E93" s="3"/>
      <c r="F93" s="6">
        <v>42557</v>
      </c>
      <c r="G93" s="5">
        <v>6</v>
      </c>
      <c r="H93" s="3" t="s">
        <v>63</v>
      </c>
      <c r="I93" s="3" t="s">
        <v>7</v>
      </c>
      <c r="J93" s="7" t="b">
        <v>1</v>
      </c>
    </row>
    <row r="94" spans="1:10" ht="14.45" hidden="1">
      <c r="A94" s="1">
        <v>649111043</v>
      </c>
      <c r="B94" s="1">
        <v>9</v>
      </c>
      <c r="C94" s="3" t="s">
        <v>60</v>
      </c>
      <c r="D94" s="3">
        <v>9</v>
      </c>
      <c r="E94" s="3"/>
      <c r="F94" s="6">
        <v>38987</v>
      </c>
      <c r="G94" s="5">
        <v>16</v>
      </c>
      <c r="H94" s="3" t="s">
        <v>61</v>
      </c>
      <c r="I94" s="3" t="s">
        <v>7</v>
      </c>
      <c r="J94" s="7" t="b">
        <v>1</v>
      </c>
    </row>
    <row r="95" spans="1:10" ht="14.45" hidden="1">
      <c r="A95" s="1">
        <v>809118099</v>
      </c>
      <c r="B95" s="1">
        <v>6</v>
      </c>
      <c r="C95" s="3" t="s">
        <v>60</v>
      </c>
      <c r="D95" s="3">
        <v>2</v>
      </c>
      <c r="E95" s="3"/>
      <c r="F95" s="6">
        <v>38939</v>
      </c>
      <c r="G95" s="5">
        <v>16</v>
      </c>
      <c r="H95" s="3" t="s">
        <v>63</v>
      </c>
      <c r="I95" s="3" t="s">
        <v>7</v>
      </c>
      <c r="J95" s="7" t="b">
        <v>1</v>
      </c>
    </row>
    <row r="96" spans="1:10" ht="14.45" hidden="1">
      <c r="A96" s="1">
        <v>535415073</v>
      </c>
      <c r="B96" s="1">
        <v>6</v>
      </c>
      <c r="C96" s="3" t="s">
        <v>60</v>
      </c>
      <c r="D96" s="5">
        <v>17</v>
      </c>
      <c r="E96" s="3"/>
      <c r="F96" s="6">
        <v>38462</v>
      </c>
      <c r="G96" s="5">
        <v>17</v>
      </c>
      <c r="H96" s="3" t="s">
        <v>63</v>
      </c>
      <c r="I96" s="3" t="s">
        <v>7</v>
      </c>
      <c r="J96" s="7" t="b">
        <v>1</v>
      </c>
    </row>
    <row r="97" spans="1:10" ht="14.45" hidden="1">
      <c r="A97" s="1">
        <v>535416021</v>
      </c>
      <c r="B97" s="1">
        <v>6</v>
      </c>
      <c r="C97" s="3" t="s">
        <v>60</v>
      </c>
      <c r="D97" s="3">
        <v>9</v>
      </c>
      <c r="E97" s="3"/>
      <c r="F97" s="6">
        <v>40817</v>
      </c>
      <c r="G97" s="5">
        <v>11</v>
      </c>
      <c r="H97" s="3" t="s">
        <v>63</v>
      </c>
      <c r="I97" s="3" t="s">
        <v>7</v>
      </c>
      <c r="J97" s="7" t="b">
        <v>1</v>
      </c>
    </row>
    <row r="98" spans="1:10" ht="14.45" hidden="1">
      <c r="A98" s="1">
        <v>535416021</v>
      </c>
      <c r="B98" s="1">
        <v>6</v>
      </c>
      <c r="C98" s="3" t="s">
        <v>60</v>
      </c>
      <c r="D98" s="5">
        <v>17</v>
      </c>
      <c r="E98" s="3"/>
      <c r="F98" s="6">
        <v>39549</v>
      </c>
      <c r="G98" s="5">
        <v>14</v>
      </c>
      <c r="H98" s="3" t="s">
        <v>63</v>
      </c>
      <c r="I98" s="3" t="s">
        <v>7</v>
      </c>
      <c r="J98" s="7" t="b">
        <v>1</v>
      </c>
    </row>
    <row r="99" spans="1:10" ht="14.45" hidden="1">
      <c r="A99" s="1">
        <v>919609006</v>
      </c>
      <c r="B99" s="1">
        <v>12</v>
      </c>
      <c r="C99" s="3" t="s">
        <v>60</v>
      </c>
      <c r="D99" s="5">
        <v>17</v>
      </c>
      <c r="E99" s="3">
        <v>9</v>
      </c>
      <c r="F99" s="6">
        <v>39669</v>
      </c>
      <c r="G99" s="5">
        <v>14</v>
      </c>
      <c r="H99" s="3" t="s">
        <v>63</v>
      </c>
      <c r="I99" s="3" t="s">
        <v>7</v>
      </c>
      <c r="J99" s="7" t="b">
        <v>1</v>
      </c>
    </row>
    <row r="100" spans="1:10" ht="14.45" hidden="1">
      <c r="A100" s="1">
        <v>919609006</v>
      </c>
      <c r="B100" s="1">
        <v>12</v>
      </c>
      <c r="C100" s="3" t="s">
        <v>60</v>
      </c>
      <c r="D100" s="3">
        <v>7</v>
      </c>
      <c r="E100" s="3"/>
      <c r="F100" s="6">
        <v>39645</v>
      </c>
      <c r="G100" s="5">
        <v>14</v>
      </c>
      <c r="H100" s="3" t="s">
        <v>63</v>
      </c>
      <c r="I100" s="3" t="s">
        <v>7</v>
      </c>
      <c r="J100" s="7" t="b">
        <v>1</v>
      </c>
    </row>
    <row r="101" spans="1:10" ht="14.45" hidden="1">
      <c r="A101" s="1">
        <v>919609006</v>
      </c>
      <c r="B101" s="1">
        <v>12</v>
      </c>
      <c r="C101" s="3" t="s">
        <v>60</v>
      </c>
      <c r="D101" s="3">
        <v>9</v>
      </c>
      <c r="E101" s="3"/>
      <c r="F101" s="6">
        <v>41717</v>
      </c>
      <c r="G101" s="5">
        <v>8</v>
      </c>
      <c r="H101" s="3" t="s">
        <v>63</v>
      </c>
      <c r="I101" s="3" t="s">
        <v>7</v>
      </c>
      <c r="J101" s="7" t="b">
        <v>1</v>
      </c>
    </row>
    <row r="102" spans="1:10" ht="14.45" hidden="1">
      <c r="A102" s="1">
        <v>535716082</v>
      </c>
      <c r="B102" s="1">
        <v>5</v>
      </c>
      <c r="C102" s="3" t="s">
        <v>60</v>
      </c>
      <c r="D102" s="3">
        <v>7</v>
      </c>
      <c r="E102" s="3">
        <v>9</v>
      </c>
      <c r="F102" s="6">
        <v>41600</v>
      </c>
      <c r="G102" s="5">
        <v>9</v>
      </c>
      <c r="H102" s="3" t="s">
        <v>61</v>
      </c>
      <c r="I102" s="3" t="s">
        <v>7</v>
      </c>
      <c r="J102" s="7" t="b">
        <v>1</v>
      </c>
    </row>
    <row r="103" spans="1:10" ht="14.45" hidden="1">
      <c r="A103" s="1">
        <v>342312206</v>
      </c>
      <c r="B103" s="1">
        <v>8</v>
      </c>
      <c r="C103" s="3" t="s">
        <v>60</v>
      </c>
      <c r="D103" s="5">
        <v>17</v>
      </c>
      <c r="E103" s="3"/>
      <c r="F103" s="6">
        <v>40654</v>
      </c>
      <c r="G103" s="5">
        <v>11</v>
      </c>
      <c r="H103" s="3" t="s">
        <v>61</v>
      </c>
      <c r="I103" s="3" t="s">
        <v>7</v>
      </c>
      <c r="J103" s="7" t="b">
        <v>1</v>
      </c>
    </row>
    <row r="104" spans="1:10" ht="14.45">
      <c r="A104" s="1">
        <v>535807899</v>
      </c>
      <c r="B104" s="1">
        <v>11</v>
      </c>
      <c r="C104" s="3" t="s">
        <v>60</v>
      </c>
      <c r="D104" s="3">
        <v>8</v>
      </c>
      <c r="E104" s="3">
        <v>9</v>
      </c>
      <c r="F104" s="6">
        <v>42284</v>
      </c>
      <c r="G104" s="5">
        <v>7</v>
      </c>
      <c r="H104" s="3" t="s">
        <v>63</v>
      </c>
      <c r="I104" s="3" t="s">
        <v>4</v>
      </c>
      <c r="J104" s="7" t="b">
        <v>1</v>
      </c>
    </row>
    <row r="105" spans="1:10" ht="14.45" hidden="1">
      <c r="A105" s="1">
        <v>535807899</v>
      </c>
      <c r="B105" s="1">
        <v>11</v>
      </c>
      <c r="C105" s="3" t="s">
        <v>62</v>
      </c>
      <c r="D105" s="5">
        <v>15</v>
      </c>
      <c r="E105" s="3">
        <v>9</v>
      </c>
      <c r="F105" s="6">
        <v>41089</v>
      </c>
      <c r="G105" s="5">
        <v>10</v>
      </c>
      <c r="H105" s="3" t="s">
        <v>63</v>
      </c>
      <c r="I105" s="3" t="s">
        <v>7</v>
      </c>
      <c r="J105" s="7" t="b">
        <v>1</v>
      </c>
    </row>
    <row r="106" spans="1:10" ht="14.45" hidden="1">
      <c r="A106" s="1">
        <v>536912979</v>
      </c>
      <c r="B106" s="1">
        <v>9</v>
      </c>
      <c r="C106" s="3" t="s">
        <v>60</v>
      </c>
      <c r="D106" s="5">
        <v>15</v>
      </c>
      <c r="E106" s="3"/>
      <c r="F106" s="6">
        <v>38793</v>
      </c>
      <c r="G106" s="5">
        <v>16</v>
      </c>
      <c r="H106" s="3" t="s">
        <v>63</v>
      </c>
      <c r="I106" s="3" t="s">
        <v>7</v>
      </c>
      <c r="J106" s="7" t="b">
        <v>1</v>
      </c>
    </row>
    <row r="107" spans="1:10" ht="14.45">
      <c r="A107" s="1">
        <v>537012061</v>
      </c>
      <c r="B107" s="1">
        <v>9</v>
      </c>
      <c r="C107" s="3" t="s">
        <v>62</v>
      </c>
      <c r="D107" s="3">
        <v>5</v>
      </c>
      <c r="E107" s="3"/>
      <c r="F107" s="6">
        <v>38662</v>
      </c>
      <c r="G107" s="5">
        <v>17</v>
      </c>
      <c r="H107" s="3" t="s">
        <v>61</v>
      </c>
      <c r="I107" s="3" t="s">
        <v>4</v>
      </c>
      <c r="J107" s="7" t="b">
        <v>1</v>
      </c>
    </row>
    <row r="108" spans="1:10" ht="14.45" hidden="1">
      <c r="A108" s="1">
        <v>537012061</v>
      </c>
      <c r="B108" s="1">
        <v>9</v>
      </c>
      <c r="C108" s="3" t="s">
        <v>60</v>
      </c>
      <c r="D108" s="3">
        <v>9</v>
      </c>
      <c r="E108" s="3"/>
      <c r="F108" s="6">
        <v>40925</v>
      </c>
      <c r="G108" s="5">
        <v>10</v>
      </c>
      <c r="H108" s="3" t="s">
        <v>63</v>
      </c>
      <c r="I108" s="3" t="s">
        <v>7</v>
      </c>
      <c r="J108" s="7" t="b">
        <v>1</v>
      </c>
    </row>
    <row r="109" spans="1:10" ht="14.45" hidden="1">
      <c r="A109" s="1">
        <v>536914037</v>
      </c>
      <c r="B109" s="1">
        <v>7</v>
      </c>
      <c r="C109" s="3" t="s">
        <v>62</v>
      </c>
      <c r="D109" s="3">
        <v>8</v>
      </c>
      <c r="E109" s="3"/>
      <c r="F109" s="6">
        <v>42065</v>
      </c>
      <c r="G109" s="5">
        <v>7</v>
      </c>
      <c r="H109" s="3" t="s">
        <v>63</v>
      </c>
      <c r="I109" s="3" t="s">
        <v>7</v>
      </c>
      <c r="J109" s="7" t="b">
        <v>1</v>
      </c>
    </row>
    <row r="110" spans="1:10" ht="14.45" hidden="1">
      <c r="A110" s="1">
        <v>953221023</v>
      </c>
      <c r="B110" s="1" t="s">
        <v>41</v>
      </c>
      <c r="C110" s="3" t="s">
        <v>60</v>
      </c>
      <c r="D110" s="3">
        <v>7</v>
      </c>
      <c r="E110" s="3"/>
      <c r="F110" s="6">
        <v>39396</v>
      </c>
      <c r="G110" s="5">
        <v>15</v>
      </c>
      <c r="H110" s="3" t="s">
        <v>61</v>
      </c>
      <c r="I110" s="3" t="s">
        <v>6</v>
      </c>
      <c r="J110" s="7" t="b">
        <v>1</v>
      </c>
    </row>
    <row r="111" spans="1:10" ht="14.45" hidden="1">
      <c r="A111" s="1">
        <v>342314001</v>
      </c>
      <c r="B111" s="1">
        <v>5</v>
      </c>
      <c r="C111" s="3" t="s">
        <v>60</v>
      </c>
      <c r="D111" s="3">
        <v>8</v>
      </c>
      <c r="E111" s="3"/>
      <c r="F111" s="6">
        <v>42240</v>
      </c>
      <c r="G111" s="5">
        <v>7</v>
      </c>
      <c r="H111" s="3" t="s">
        <v>63</v>
      </c>
      <c r="I111" s="3" t="s">
        <v>7</v>
      </c>
      <c r="J111" s="7" t="b">
        <v>1</v>
      </c>
    </row>
    <row r="112" spans="1:10" ht="14.45" hidden="1">
      <c r="A112" s="1">
        <v>342314001</v>
      </c>
      <c r="B112" s="1">
        <v>5</v>
      </c>
      <c r="C112" s="3" t="s">
        <v>60</v>
      </c>
      <c r="D112" s="3">
        <v>7</v>
      </c>
      <c r="E112" s="3">
        <v>9</v>
      </c>
      <c r="F112" s="6">
        <v>39433</v>
      </c>
      <c r="G112" s="5">
        <v>14</v>
      </c>
      <c r="H112" s="3" t="s">
        <v>61</v>
      </c>
      <c r="I112" s="3" t="s">
        <v>7</v>
      </c>
      <c r="J112" s="7" t="b">
        <v>1</v>
      </c>
    </row>
    <row r="113" spans="1:10" ht="14.45" hidden="1">
      <c r="A113" s="1">
        <v>536317088</v>
      </c>
      <c r="B113" s="1">
        <v>4</v>
      </c>
      <c r="C113" s="3" t="s">
        <v>65</v>
      </c>
      <c r="D113" s="5">
        <v>17</v>
      </c>
      <c r="E113" s="3"/>
      <c r="F113" s="6">
        <v>38397</v>
      </c>
      <c r="G113" s="5">
        <v>17</v>
      </c>
      <c r="H113" s="3" t="s">
        <v>63</v>
      </c>
      <c r="I113" s="3" t="s">
        <v>7</v>
      </c>
      <c r="J113" s="7" t="b">
        <v>1</v>
      </c>
    </row>
    <row r="114" spans="1:10" ht="14.45">
      <c r="A114" s="1">
        <v>810419028</v>
      </c>
      <c r="B114" s="1">
        <v>2</v>
      </c>
      <c r="C114" s="3" t="s">
        <v>65</v>
      </c>
      <c r="D114" s="3">
        <v>7</v>
      </c>
      <c r="E114" s="3"/>
      <c r="F114" s="6">
        <v>41109</v>
      </c>
      <c r="G114" s="5">
        <v>10</v>
      </c>
      <c r="H114" s="3" t="s">
        <v>61</v>
      </c>
      <c r="I114" s="3" t="s">
        <v>4</v>
      </c>
      <c r="J114" s="7" t="b">
        <v>1</v>
      </c>
    </row>
    <row r="115" spans="1:10" ht="14.45" hidden="1">
      <c r="A115" s="1">
        <v>533712014</v>
      </c>
      <c r="B115" s="1">
        <v>8</v>
      </c>
      <c r="C115" s="3" t="s">
        <v>65</v>
      </c>
      <c r="D115" s="3">
        <v>7</v>
      </c>
      <c r="E115" s="3">
        <v>9</v>
      </c>
      <c r="F115" s="6">
        <v>39552</v>
      </c>
      <c r="G115" s="5">
        <v>14</v>
      </c>
      <c r="H115" s="3" t="s">
        <v>63</v>
      </c>
      <c r="I115" s="3" t="s">
        <v>7</v>
      </c>
      <c r="J115" s="7" t="b">
        <v>1</v>
      </c>
    </row>
    <row r="116" spans="1:10" ht="14.45" hidden="1">
      <c r="A116" s="1">
        <v>541816048</v>
      </c>
      <c r="B116" s="1">
        <v>5</v>
      </c>
      <c r="C116" s="3" t="s">
        <v>65</v>
      </c>
      <c r="D116" s="3">
        <v>7</v>
      </c>
      <c r="E116" s="3"/>
      <c r="F116" s="6">
        <v>40450</v>
      </c>
      <c r="G116" s="5">
        <v>12</v>
      </c>
      <c r="H116" s="3" t="s">
        <v>63</v>
      </c>
      <c r="I116" s="3" t="s">
        <v>6</v>
      </c>
      <c r="J116" s="7" t="b">
        <v>1</v>
      </c>
    </row>
    <row r="117" spans="1:10" ht="14.45" hidden="1">
      <c r="A117" s="1">
        <v>541818107</v>
      </c>
      <c r="B117" s="1">
        <v>1</v>
      </c>
      <c r="C117" s="3" t="s">
        <v>60</v>
      </c>
      <c r="D117" s="3">
        <v>6</v>
      </c>
      <c r="E117" s="3"/>
      <c r="F117" s="6">
        <v>40340</v>
      </c>
      <c r="G117" s="5">
        <v>12</v>
      </c>
      <c r="H117" s="3" t="s">
        <v>63</v>
      </c>
      <c r="I117" s="3" t="s">
        <v>7</v>
      </c>
      <c r="J117" s="7" t="b">
        <v>1</v>
      </c>
    </row>
    <row r="118" spans="1:10" ht="14.45" hidden="1">
      <c r="A118" s="1">
        <v>541818107</v>
      </c>
      <c r="B118" s="1">
        <v>1</v>
      </c>
      <c r="C118" s="3" t="s">
        <v>65</v>
      </c>
      <c r="D118" s="5">
        <v>10</v>
      </c>
      <c r="E118" s="3"/>
      <c r="F118" s="6">
        <v>38377</v>
      </c>
      <c r="G118" s="5">
        <v>17</v>
      </c>
      <c r="H118" s="3" t="s">
        <v>61</v>
      </c>
      <c r="I118" s="3" t="s">
        <v>7</v>
      </c>
      <c r="J118" s="7" t="b">
        <v>1</v>
      </c>
    </row>
    <row r="119" spans="1:10" ht="14.45" hidden="1">
      <c r="A119" s="1">
        <v>542719001</v>
      </c>
      <c r="B119" s="1">
        <v>2</v>
      </c>
      <c r="C119" s="3" t="s">
        <v>60</v>
      </c>
      <c r="D119" s="3">
        <v>9</v>
      </c>
      <c r="E119" s="3"/>
      <c r="F119" s="6">
        <v>40162</v>
      </c>
      <c r="G119" s="5">
        <v>12</v>
      </c>
      <c r="H119" s="3" t="s">
        <v>63</v>
      </c>
      <c r="I119" s="3" t="s">
        <v>7</v>
      </c>
      <c r="J119" s="7" t="b">
        <v>1</v>
      </c>
    </row>
    <row r="120" spans="1:10" ht="14.45" hidden="1">
      <c r="A120" s="1">
        <v>543015043</v>
      </c>
      <c r="B120" s="1">
        <v>6</v>
      </c>
      <c r="C120" s="3" t="s">
        <v>65</v>
      </c>
      <c r="D120" s="3">
        <v>7</v>
      </c>
      <c r="E120" s="3"/>
      <c r="F120" s="6">
        <v>41294</v>
      </c>
      <c r="G120" s="5">
        <v>9</v>
      </c>
      <c r="H120" s="3" t="s">
        <v>61</v>
      </c>
      <c r="I120" s="3" t="s">
        <v>6</v>
      </c>
      <c r="J120" s="7" t="b">
        <v>1</v>
      </c>
    </row>
    <row r="121" spans="1:10" ht="14.45" hidden="1">
      <c r="A121" s="1">
        <v>537017031</v>
      </c>
      <c r="B121" s="1">
        <v>4</v>
      </c>
      <c r="C121" s="3" t="s">
        <v>60</v>
      </c>
      <c r="D121" s="3">
        <v>6</v>
      </c>
      <c r="E121" s="3"/>
      <c r="F121" s="6">
        <v>39535</v>
      </c>
      <c r="G121" s="5">
        <v>14</v>
      </c>
      <c r="H121" s="3" t="s">
        <v>61</v>
      </c>
      <c r="I121" s="3" t="s">
        <v>7</v>
      </c>
      <c r="J121" s="7" t="b">
        <v>1</v>
      </c>
    </row>
    <row r="122" spans="1:10" ht="14.45" hidden="1">
      <c r="A122" s="1">
        <v>537109065</v>
      </c>
      <c r="B122" s="1">
        <v>12</v>
      </c>
      <c r="C122" s="3" t="s">
        <v>60</v>
      </c>
      <c r="D122" s="3">
        <v>7</v>
      </c>
      <c r="E122" s="3"/>
      <c r="F122" s="6">
        <v>41605</v>
      </c>
      <c r="G122" s="5">
        <v>9</v>
      </c>
      <c r="H122" s="3" t="s">
        <v>63</v>
      </c>
      <c r="I122" s="3" t="s">
        <v>6</v>
      </c>
      <c r="J122" s="7" t="b">
        <v>1</v>
      </c>
    </row>
    <row r="123" spans="1:10" ht="14.45" hidden="1">
      <c r="A123" s="1">
        <v>537316039</v>
      </c>
      <c r="B123" s="1">
        <v>5</v>
      </c>
      <c r="C123" s="3" t="s">
        <v>65</v>
      </c>
      <c r="D123" s="5">
        <v>15</v>
      </c>
      <c r="E123" s="3">
        <v>9</v>
      </c>
      <c r="F123" s="9">
        <v>40677</v>
      </c>
      <c r="G123" s="5">
        <v>11</v>
      </c>
      <c r="H123" s="3" t="s">
        <v>63</v>
      </c>
      <c r="I123" s="3" t="s">
        <v>8</v>
      </c>
      <c r="J123" s="7" t="b">
        <v>1</v>
      </c>
    </row>
    <row r="124" spans="1:10" ht="14.45" hidden="1">
      <c r="A124" s="1">
        <v>537316039</v>
      </c>
      <c r="B124" s="1">
        <v>5</v>
      </c>
      <c r="C124" s="3" t="s">
        <v>60</v>
      </c>
      <c r="D124" s="3">
        <v>8</v>
      </c>
      <c r="E124" s="3"/>
      <c r="F124" s="6">
        <v>42817</v>
      </c>
      <c r="G124" s="5">
        <v>5</v>
      </c>
      <c r="H124" s="3" t="s">
        <v>63</v>
      </c>
      <c r="I124" s="3" t="s">
        <v>7</v>
      </c>
      <c r="J124" s="7" t="b">
        <v>1</v>
      </c>
    </row>
    <row r="125" spans="1:10" ht="14.45" hidden="1">
      <c r="A125" s="1">
        <v>536317133</v>
      </c>
      <c r="B125" s="1">
        <v>3</v>
      </c>
      <c r="C125" s="3" t="s">
        <v>62</v>
      </c>
      <c r="D125" s="5">
        <v>17</v>
      </c>
      <c r="E125" s="3">
        <v>9</v>
      </c>
      <c r="F125" s="6">
        <v>38091</v>
      </c>
      <c r="G125" s="5">
        <v>18</v>
      </c>
      <c r="H125" s="3" t="s">
        <v>63</v>
      </c>
      <c r="I125" s="3" t="s">
        <v>7</v>
      </c>
      <c r="J125" s="7" t="b">
        <v>1</v>
      </c>
    </row>
    <row r="126" spans="1:10" ht="14.45" hidden="1">
      <c r="A126" s="1">
        <v>536317133</v>
      </c>
      <c r="B126" s="1">
        <v>3</v>
      </c>
      <c r="C126" s="3" t="s">
        <v>60</v>
      </c>
      <c r="D126" s="3">
        <v>9</v>
      </c>
      <c r="E126" s="3"/>
      <c r="F126" s="6">
        <v>40894</v>
      </c>
      <c r="G126" s="5">
        <v>10</v>
      </c>
      <c r="H126" s="3" t="s">
        <v>63</v>
      </c>
      <c r="I126" s="3" t="s">
        <v>7</v>
      </c>
      <c r="J126" s="7" t="b">
        <v>1</v>
      </c>
    </row>
    <row r="127" spans="1:10" ht="14.45" hidden="1">
      <c r="A127" s="1">
        <v>536317133</v>
      </c>
      <c r="B127" s="1">
        <v>3</v>
      </c>
      <c r="C127" s="3" t="s">
        <v>60</v>
      </c>
      <c r="D127" s="3">
        <v>7</v>
      </c>
      <c r="E127" s="3">
        <v>9</v>
      </c>
      <c r="F127" s="6">
        <v>40127</v>
      </c>
      <c r="G127" s="5">
        <v>13</v>
      </c>
      <c r="H127" s="3" t="s">
        <v>63</v>
      </c>
      <c r="I127" s="3" t="s">
        <v>7</v>
      </c>
      <c r="J127" s="7" t="b">
        <v>1</v>
      </c>
    </row>
    <row r="128" spans="1:10" ht="14.45" hidden="1">
      <c r="A128" s="1">
        <v>536317133</v>
      </c>
      <c r="B128" s="1">
        <v>3</v>
      </c>
      <c r="C128" s="3" t="s">
        <v>60</v>
      </c>
      <c r="D128" s="5">
        <v>17</v>
      </c>
      <c r="E128" s="3">
        <v>9</v>
      </c>
      <c r="F128" s="6">
        <v>41227</v>
      </c>
      <c r="G128" s="5">
        <v>10</v>
      </c>
      <c r="H128" s="3" t="s">
        <v>63</v>
      </c>
      <c r="I128" s="3" t="s">
        <v>7</v>
      </c>
      <c r="J128" s="7" t="b">
        <v>1</v>
      </c>
    </row>
    <row r="129" spans="1:10" ht="14.45" hidden="1">
      <c r="A129" s="1">
        <v>536317133</v>
      </c>
      <c r="B129" s="1">
        <v>3</v>
      </c>
      <c r="C129" s="3" t="s">
        <v>60</v>
      </c>
      <c r="D129" s="5">
        <v>17</v>
      </c>
      <c r="E129" s="3"/>
      <c r="F129" s="6">
        <v>39982</v>
      </c>
      <c r="G129" s="5">
        <v>13</v>
      </c>
      <c r="H129" s="3" t="s">
        <v>61</v>
      </c>
      <c r="I129" s="3" t="s">
        <v>7</v>
      </c>
      <c r="J129" s="7" t="b">
        <v>1</v>
      </c>
    </row>
    <row r="130" spans="1:10" ht="14.45" hidden="1">
      <c r="A130" s="1">
        <v>536317133</v>
      </c>
      <c r="B130" s="1">
        <v>3</v>
      </c>
      <c r="C130" s="3" t="s">
        <v>60</v>
      </c>
      <c r="D130" s="3">
        <v>6</v>
      </c>
      <c r="E130" s="3"/>
      <c r="F130" s="6">
        <v>39464</v>
      </c>
      <c r="G130" s="5">
        <v>14</v>
      </c>
      <c r="H130" s="3" t="s">
        <v>63</v>
      </c>
      <c r="I130" s="3" t="s">
        <v>7</v>
      </c>
      <c r="J130" s="7" t="b">
        <v>1</v>
      </c>
    </row>
    <row r="131" spans="1:10" ht="14.45" hidden="1">
      <c r="A131" s="1">
        <v>533713155</v>
      </c>
      <c r="B131" s="1">
        <v>4</v>
      </c>
      <c r="C131" s="3" t="s">
        <v>60</v>
      </c>
      <c r="D131" s="3">
        <v>9</v>
      </c>
      <c r="E131" s="3"/>
      <c r="F131" s="6">
        <v>41899</v>
      </c>
      <c r="G131" s="5">
        <v>8</v>
      </c>
      <c r="H131" s="3" t="s">
        <v>61</v>
      </c>
      <c r="I131" s="3" t="s">
        <v>7</v>
      </c>
      <c r="J131" s="7" t="b">
        <v>1</v>
      </c>
    </row>
    <row r="132" spans="1:10" ht="14.45" hidden="1">
      <c r="A132" s="1">
        <v>651010142</v>
      </c>
      <c r="B132" s="1">
        <v>10</v>
      </c>
      <c r="C132" s="3" t="s">
        <v>60</v>
      </c>
      <c r="D132" s="3">
        <v>7</v>
      </c>
      <c r="E132" s="3"/>
      <c r="F132" s="6">
        <v>39270</v>
      </c>
      <c r="G132" s="5">
        <v>15</v>
      </c>
      <c r="H132" s="3" t="s">
        <v>61</v>
      </c>
      <c r="I132" s="3" t="s">
        <v>7</v>
      </c>
      <c r="J132" s="7" t="b">
        <v>1</v>
      </c>
    </row>
    <row r="133" spans="1:10" ht="14.45" hidden="1">
      <c r="A133" s="1">
        <v>809121052</v>
      </c>
      <c r="B133" s="1" t="s">
        <v>41</v>
      </c>
      <c r="C133" s="3" t="s">
        <v>60</v>
      </c>
      <c r="D133" s="3">
        <v>7</v>
      </c>
      <c r="E133" s="3"/>
      <c r="F133" s="6">
        <v>40793</v>
      </c>
      <c r="G133" s="5">
        <v>11</v>
      </c>
      <c r="H133" s="3" t="s">
        <v>61</v>
      </c>
      <c r="I133" s="3" t="s">
        <v>7</v>
      </c>
      <c r="J133" s="7" t="b">
        <v>1</v>
      </c>
    </row>
    <row r="134" spans="1:10" ht="14.45" hidden="1">
      <c r="A134" s="1">
        <v>809121052</v>
      </c>
      <c r="B134" s="1" t="s">
        <v>41</v>
      </c>
      <c r="C134" s="3" t="s">
        <v>60</v>
      </c>
      <c r="D134" s="3">
        <v>9</v>
      </c>
      <c r="E134" s="3"/>
      <c r="F134" s="6">
        <v>41370</v>
      </c>
      <c r="G134" s="5">
        <v>9</v>
      </c>
      <c r="H134" s="3" t="s">
        <v>63</v>
      </c>
      <c r="I134" s="3" t="s">
        <v>7</v>
      </c>
      <c r="J134" s="7" t="b">
        <v>1</v>
      </c>
    </row>
    <row r="135" spans="1:10" ht="14.45" hidden="1">
      <c r="A135" s="1">
        <v>810318925</v>
      </c>
      <c r="B135" s="1">
        <v>1</v>
      </c>
      <c r="C135" s="3" t="s">
        <v>60</v>
      </c>
      <c r="D135" s="5">
        <v>15</v>
      </c>
      <c r="E135" s="3">
        <v>9</v>
      </c>
      <c r="F135" s="6">
        <v>42783</v>
      </c>
      <c r="G135" s="5">
        <v>5</v>
      </c>
      <c r="H135" s="3" t="s">
        <v>63</v>
      </c>
      <c r="I135" s="3" t="s">
        <v>5</v>
      </c>
      <c r="J135" s="7" t="b">
        <v>1</v>
      </c>
    </row>
    <row r="136" spans="1:10" ht="14.45" hidden="1">
      <c r="A136" s="1">
        <v>810318925</v>
      </c>
      <c r="B136" s="1">
        <v>1</v>
      </c>
      <c r="C136" s="3" t="s">
        <v>62</v>
      </c>
      <c r="D136" s="3">
        <v>8</v>
      </c>
      <c r="E136" s="3">
        <v>9</v>
      </c>
      <c r="F136" s="6">
        <v>42703</v>
      </c>
      <c r="G136" s="5">
        <v>6</v>
      </c>
      <c r="H136" s="3" t="s">
        <v>63</v>
      </c>
      <c r="I136" s="3" t="s">
        <v>7</v>
      </c>
      <c r="J136" s="7" t="b">
        <v>1</v>
      </c>
    </row>
    <row r="137" spans="1:10" ht="14.45" hidden="1">
      <c r="A137" s="1">
        <v>810321088</v>
      </c>
      <c r="B137" s="1" t="s">
        <v>41</v>
      </c>
      <c r="C137" s="3" t="s">
        <v>60</v>
      </c>
      <c r="D137" s="3">
        <v>8</v>
      </c>
      <c r="E137" s="3">
        <v>9</v>
      </c>
      <c r="F137" s="6">
        <v>42465</v>
      </c>
      <c r="G137" s="5">
        <v>6</v>
      </c>
      <c r="H137" s="3" t="s">
        <v>63</v>
      </c>
      <c r="I137" s="3" t="s">
        <v>7</v>
      </c>
      <c r="J137" s="7" t="b">
        <v>1</v>
      </c>
    </row>
    <row r="138" spans="1:10" ht="14.45" hidden="1">
      <c r="A138" s="1">
        <v>533712014</v>
      </c>
      <c r="B138" s="1">
        <v>8</v>
      </c>
      <c r="C138" s="3" t="s">
        <v>60</v>
      </c>
      <c r="D138" s="3">
        <v>7</v>
      </c>
      <c r="E138" s="3"/>
      <c r="F138" s="6">
        <v>39825</v>
      </c>
      <c r="G138" s="5">
        <v>13</v>
      </c>
      <c r="H138" s="3" t="s">
        <v>63</v>
      </c>
      <c r="I138" s="3" t="s">
        <v>7</v>
      </c>
      <c r="J138" s="7" t="b">
        <v>1</v>
      </c>
    </row>
    <row r="139" spans="1:10" ht="14.45" hidden="1">
      <c r="A139" s="1">
        <v>533712014</v>
      </c>
      <c r="B139" s="1">
        <v>8</v>
      </c>
      <c r="C139" s="3" t="s">
        <v>60</v>
      </c>
      <c r="D139" s="3">
        <v>9</v>
      </c>
      <c r="E139" s="3"/>
      <c r="F139" s="6">
        <v>42752</v>
      </c>
      <c r="G139" s="5">
        <v>5</v>
      </c>
      <c r="H139" s="3" t="s">
        <v>63</v>
      </c>
      <c r="I139" s="3" t="s">
        <v>8</v>
      </c>
      <c r="J139" s="7" t="b">
        <v>1</v>
      </c>
    </row>
    <row r="140" spans="1:10" ht="14.45" hidden="1">
      <c r="A140" s="1">
        <v>657708109</v>
      </c>
      <c r="B140" s="1">
        <v>12</v>
      </c>
      <c r="C140" s="3" t="s">
        <v>60</v>
      </c>
      <c r="D140" s="3">
        <v>7</v>
      </c>
      <c r="E140" s="3"/>
      <c r="F140" s="6">
        <v>38997</v>
      </c>
      <c r="G140" s="5">
        <v>16</v>
      </c>
      <c r="H140" s="3" t="s">
        <v>61</v>
      </c>
      <c r="I140" s="3" t="s">
        <v>6</v>
      </c>
      <c r="J140" s="7" t="b">
        <v>1</v>
      </c>
    </row>
    <row r="141" spans="1:10" ht="14.45" hidden="1">
      <c r="A141" s="1">
        <v>657711202</v>
      </c>
      <c r="B141" s="1">
        <v>10</v>
      </c>
      <c r="C141" s="3" t="s">
        <v>60</v>
      </c>
      <c r="D141" s="3">
        <v>7</v>
      </c>
      <c r="E141" s="5">
        <v>17</v>
      </c>
      <c r="F141" s="6">
        <v>41260</v>
      </c>
      <c r="G141" s="5">
        <v>9</v>
      </c>
      <c r="H141" s="3" t="s">
        <v>63</v>
      </c>
      <c r="I141" s="3" t="s">
        <v>7</v>
      </c>
      <c r="J141" s="7" t="b">
        <v>1</v>
      </c>
    </row>
    <row r="142" spans="1:10" ht="14.45" hidden="1">
      <c r="A142" s="1">
        <v>657711202</v>
      </c>
      <c r="B142" s="1">
        <v>10</v>
      </c>
      <c r="C142" s="3" t="s">
        <v>60</v>
      </c>
      <c r="D142" s="3">
        <v>9</v>
      </c>
      <c r="E142" s="3"/>
      <c r="F142" s="6">
        <v>41983</v>
      </c>
      <c r="G142" s="5">
        <v>7</v>
      </c>
      <c r="H142" s="3" t="s">
        <v>61</v>
      </c>
      <c r="I142" s="3" t="s">
        <v>7</v>
      </c>
      <c r="J142" s="7" t="b">
        <v>1</v>
      </c>
    </row>
    <row r="143" spans="1:10" ht="14.45" hidden="1">
      <c r="A143" s="1">
        <v>657711202</v>
      </c>
      <c r="B143" s="1">
        <v>10</v>
      </c>
      <c r="C143" s="3" t="s">
        <v>60</v>
      </c>
      <c r="D143" s="3">
        <v>9</v>
      </c>
      <c r="E143" s="3"/>
      <c r="F143" s="9">
        <v>41761</v>
      </c>
      <c r="G143" s="5">
        <v>8</v>
      </c>
      <c r="H143" s="3" t="s">
        <v>63</v>
      </c>
      <c r="I143" s="3" t="s">
        <v>5</v>
      </c>
      <c r="J143" s="7" t="b">
        <v>1</v>
      </c>
    </row>
    <row r="144" spans="1:10" ht="14.45" hidden="1">
      <c r="A144" s="1">
        <v>657711202</v>
      </c>
      <c r="B144" s="1">
        <v>10</v>
      </c>
      <c r="C144" s="3" t="s">
        <v>60</v>
      </c>
      <c r="D144" s="3">
        <v>7</v>
      </c>
      <c r="E144" s="3"/>
      <c r="F144" s="6">
        <v>38683</v>
      </c>
      <c r="G144" s="5">
        <v>17</v>
      </c>
      <c r="H144" s="3" t="s">
        <v>63</v>
      </c>
      <c r="I144" s="3" t="s">
        <v>7</v>
      </c>
      <c r="J144" s="7" t="b">
        <v>1</v>
      </c>
    </row>
    <row r="145" spans="1:10" ht="14.45" hidden="1">
      <c r="A145" s="1">
        <v>658710016</v>
      </c>
      <c r="B145" s="1">
        <v>9</v>
      </c>
      <c r="C145" s="3" t="s">
        <v>60</v>
      </c>
      <c r="D145" s="3">
        <v>9</v>
      </c>
      <c r="E145" s="3"/>
      <c r="F145" s="6">
        <v>41795</v>
      </c>
      <c r="G145" s="5">
        <v>8</v>
      </c>
      <c r="H145" s="3" t="s">
        <v>63</v>
      </c>
      <c r="I145" s="3" t="s">
        <v>7</v>
      </c>
      <c r="J145" s="7" t="b">
        <v>1</v>
      </c>
    </row>
    <row r="146" spans="1:10" ht="14.45" hidden="1">
      <c r="A146" s="1">
        <v>534712128</v>
      </c>
      <c r="B146" s="1">
        <v>8</v>
      </c>
      <c r="C146" s="3" t="s">
        <v>60</v>
      </c>
      <c r="D146" s="3">
        <v>9</v>
      </c>
      <c r="E146" s="3"/>
      <c r="F146" s="6">
        <v>40910</v>
      </c>
      <c r="G146" s="5">
        <v>10</v>
      </c>
      <c r="H146" s="3" t="s">
        <v>61</v>
      </c>
      <c r="I146" s="3" t="s">
        <v>7</v>
      </c>
      <c r="J146" s="7" t="b">
        <v>1</v>
      </c>
    </row>
    <row r="147" spans="1:10" ht="14.45" hidden="1">
      <c r="A147" s="1">
        <v>537512073</v>
      </c>
      <c r="B147" s="1">
        <v>8</v>
      </c>
      <c r="C147" s="3" t="s">
        <v>60</v>
      </c>
      <c r="D147" s="3">
        <v>7</v>
      </c>
      <c r="E147" s="3">
        <v>9</v>
      </c>
      <c r="F147" s="6">
        <v>38957</v>
      </c>
      <c r="G147" s="5">
        <v>16</v>
      </c>
      <c r="H147" s="3" t="s">
        <v>63</v>
      </c>
      <c r="I147" s="3" t="s">
        <v>8</v>
      </c>
      <c r="J147" s="7" t="b">
        <v>1</v>
      </c>
    </row>
    <row r="148" spans="1:10" ht="14.45" hidden="1">
      <c r="A148" s="1">
        <v>810411045</v>
      </c>
      <c r="B148" s="1">
        <v>10</v>
      </c>
      <c r="C148" s="3" t="s">
        <v>60</v>
      </c>
      <c r="D148" s="3">
        <v>9</v>
      </c>
      <c r="E148" s="3"/>
      <c r="F148" s="6">
        <v>41538</v>
      </c>
      <c r="G148" s="5">
        <v>9</v>
      </c>
      <c r="H148" s="3" t="s">
        <v>63</v>
      </c>
      <c r="I148" s="3" t="s">
        <v>7</v>
      </c>
      <c r="J148" s="7" t="b">
        <v>1</v>
      </c>
    </row>
    <row r="149" spans="1:10" ht="14.45" hidden="1">
      <c r="A149" s="1">
        <v>810411901</v>
      </c>
      <c r="B149" s="1">
        <v>10</v>
      </c>
      <c r="C149" s="3" t="s">
        <v>60</v>
      </c>
      <c r="D149" s="3">
        <v>9</v>
      </c>
      <c r="E149" s="3"/>
      <c r="F149" s="6">
        <v>42410</v>
      </c>
      <c r="G149" s="5">
        <v>6</v>
      </c>
      <c r="H149" s="3" t="s">
        <v>61</v>
      </c>
      <c r="I149" s="3" t="s">
        <v>7</v>
      </c>
      <c r="J149" s="7" t="b">
        <v>1</v>
      </c>
    </row>
    <row r="150" spans="1:10" ht="14.45" hidden="1">
      <c r="A150" s="1">
        <v>810412009</v>
      </c>
      <c r="B150" s="1">
        <v>8</v>
      </c>
      <c r="C150" s="3" t="s">
        <v>65</v>
      </c>
      <c r="D150" s="3">
        <v>8</v>
      </c>
      <c r="E150" s="3">
        <v>9</v>
      </c>
      <c r="F150" s="6">
        <v>41915</v>
      </c>
      <c r="G150" s="5">
        <v>8</v>
      </c>
      <c r="H150" s="3" t="s">
        <v>63</v>
      </c>
      <c r="I150" s="3" t="s">
        <v>7</v>
      </c>
      <c r="J150" s="7" t="b">
        <v>1</v>
      </c>
    </row>
    <row r="151" spans="1:10" ht="14.45" hidden="1">
      <c r="A151" s="1">
        <v>810412039</v>
      </c>
      <c r="B151" s="1">
        <v>8</v>
      </c>
      <c r="C151" s="3" t="s">
        <v>71</v>
      </c>
      <c r="D151" s="5">
        <v>17</v>
      </c>
      <c r="E151" s="3">
        <v>9</v>
      </c>
      <c r="F151" s="6">
        <v>39248</v>
      </c>
      <c r="G151" s="5">
        <v>15</v>
      </c>
      <c r="H151" s="3" t="s">
        <v>61</v>
      </c>
      <c r="I151" s="3" t="s">
        <v>7</v>
      </c>
      <c r="J151" s="7" t="b">
        <v>1</v>
      </c>
    </row>
    <row r="152" spans="1:10" ht="14.45" hidden="1">
      <c r="A152" s="1">
        <v>810413032</v>
      </c>
      <c r="B152" s="1">
        <v>8</v>
      </c>
      <c r="C152" s="3" t="s">
        <v>60</v>
      </c>
      <c r="D152" s="3">
        <v>6</v>
      </c>
      <c r="E152" s="3">
        <v>9</v>
      </c>
      <c r="F152" s="6">
        <v>38405</v>
      </c>
      <c r="G152" s="5">
        <v>17</v>
      </c>
      <c r="H152" s="3" t="s">
        <v>61</v>
      </c>
      <c r="I152" s="3" t="s">
        <v>7</v>
      </c>
      <c r="J152" s="7" t="b">
        <v>1</v>
      </c>
    </row>
    <row r="153" spans="1:10" ht="14.45" hidden="1">
      <c r="A153" s="1">
        <v>810413032</v>
      </c>
      <c r="B153" s="1">
        <v>8</v>
      </c>
      <c r="C153" s="3" t="s">
        <v>60</v>
      </c>
      <c r="D153" s="3">
        <v>6</v>
      </c>
      <c r="E153" s="5">
        <v>17</v>
      </c>
      <c r="F153" s="6">
        <v>40525</v>
      </c>
      <c r="G153" s="5">
        <v>11</v>
      </c>
      <c r="H153" s="3" t="s">
        <v>61</v>
      </c>
      <c r="I153" s="3" t="s">
        <v>7</v>
      </c>
      <c r="J153" s="7" t="b">
        <v>1</v>
      </c>
    </row>
    <row r="154" spans="1:10" ht="14.45">
      <c r="A154" s="1">
        <v>810413035</v>
      </c>
      <c r="B154" s="1">
        <v>8</v>
      </c>
      <c r="C154" s="3" t="s">
        <v>60</v>
      </c>
      <c r="D154" s="3">
        <v>7</v>
      </c>
      <c r="E154" s="3"/>
      <c r="F154" s="6">
        <v>39108</v>
      </c>
      <c r="G154" s="5">
        <v>15</v>
      </c>
      <c r="H154" s="3" t="s">
        <v>63</v>
      </c>
      <c r="I154" s="3" t="s">
        <v>4</v>
      </c>
      <c r="J154" s="7" t="b">
        <v>1</v>
      </c>
    </row>
    <row r="155" spans="1:10" ht="14.45" hidden="1">
      <c r="A155" s="1">
        <v>810413035</v>
      </c>
      <c r="B155" s="1">
        <v>8</v>
      </c>
      <c r="C155" s="3" t="s">
        <v>60</v>
      </c>
      <c r="D155" s="3">
        <v>9</v>
      </c>
      <c r="E155" s="3"/>
      <c r="F155" s="6">
        <v>40852</v>
      </c>
      <c r="G155" s="5">
        <v>11</v>
      </c>
      <c r="H155" s="3" t="s">
        <v>61</v>
      </c>
      <c r="I155" s="3" t="s">
        <v>7</v>
      </c>
      <c r="J155" s="7" t="b">
        <v>1</v>
      </c>
    </row>
    <row r="156" spans="1:10" ht="14.45" hidden="1">
      <c r="A156" s="1">
        <v>810413057</v>
      </c>
      <c r="B156" s="1">
        <v>7</v>
      </c>
      <c r="C156" s="3" t="s">
        <v>60</v>
      </c>
      <c r="D156" s="5">
        <v>17</v>
      </c>
      <c r="E156" s="3"/>
      <c r="F156" s="6">
        <v>40533</v>
      </c>
      <c r="G156" s="5">
        <v>11</v>
      </c>
      <c r="H156" s="3" t="s">
        <v>63</v>
      </c>
      <c r="I156" s="3" t="s">
        <v>7</v>
      </c>
      <c r="J156" s="7" t="b">
        <v>1</v>
      </c>
    </row>
    <row r="157" spans="1:10" ht="14.45" hidden="1">
      <c r="A157" s="1">
        <v>810413057</v>
      </c>
      <c r="B157" s="1">
        <v>7</v>
      </c>
      <c r="C157" s="3" t="s">
        <v>65</v>
      </c>
      <c r="D157" s="5">
        <v>10</v>
      </c>
      <c r="E157" s="3"/>
      <c r="F157" s="6">
        <v>39968</v>
      </c>
      <c r="G157" s="5">
        <v>13</v>
      </c>
      <c r="H157" s="3" t="s">
        <v>63</v>
      </c>
      <c r="I157" s="3" t="s">
        <v>7</v>
      </c>
      <c r="J157" s="7" t="b">
        <v>1</v>
      </c>
    </row>
    <row r="158" spans="1:10" ht="14.45" hidden="1">
      <c r="A158" s="1">
        <v>810413057</v>
      </c>
      <c r="B158" s="1">
        <v>7</v>
      </c>
      <c r="C158" s="3" t="s">
        <v>60</v>
      </c>
      <c r="D158" s="3">
        <v>7</v>
      </c>
      <c r="E158" s="3"/>
      <c r="F158" s="6">
        <v>39793</v>
      </c>
      <c r="G158" s="5">
        <v>13</v>
      </c>
      <c r="H158" s="3" t="s">
        <v>61</v>
      </c>
      <c r="I158" s="3" t="s">
        <v>7</v>
      </c>
      <c r="J158" s="7" t="b">
        <v>1</v>
      </c>
    </row>
    <row r="159" spans="1:10" ht="14.45" hidden="1">
      <c r="A159" s="1">
        <v>810414142</v>
      </c>
      <c r="B159" s="1">
        <v>7</v>
      </c>
      <c r="C159" s="3" t="s">
        <v>60</v>
      </c>
      <c r="D159" s="3">
        <v>6</v>
      </c>
      <c r="E159" s="3"/>
      <c r="F159" s="6">
        <v>40530</v>
      </c>
      <c r="G159" s="5">
        <v>11</v>
      </c>
      <c r="H159" s="3" t="s">
        <v>63</v>
      </c>
      <c r="I159" s="3" t="s">
        <v>7</v>
      </c>
      <c r="J159" s="7" t="b">
        <v>1</v>
      </c>
    </row>
    <row r="160" spans="1:10" ht="14.45" hidden="1">
      <c r="A160" s="1">
        <v>810414142</v>
      </c>
      <c r="B160" s="1">
        <v>7</v>
      </c>
      <c r="C160" s="3" t="s">
        <v>60</v>
      </c>
      <c r="D160" s="3">
        <v>7</v>
      </c>
      <c r="E160" s="3"/>
      <c r="F160" s="6">
        <v>40981</v>
      </c>
      <c r="G160" s="5">
        <v>10</v>
      </c>
      <c r="H160" s="3" t="s">
        <v>63</v>
      </c>
      <c r="I160" s="3" t="s">
        <v>7</v>
      </c>
      <c r="J160" s="7" t="b">
        <v>1</v>
      </c>
    </row>
    <row r="161" spans="1:10" ht="14.45">
      <c r="A161" s="1">
        <v>810414142</v>
      </c>
      <c r="B161" s="1">
        <v>7</v>
      </c>
      <c r="C161" s="3" t="s">
        <v>60</v>
      </c>
      <c r="D161" s="3">
        <v>9</v>
      </c>
      <c r="E161" s="3"/>
      <c r="F161" s="6">
        <v>41509</v>
      </c>
      <c r="G161" s="5">
        <v>9</v>
      </c>
      <c r="H161" s="3" t="s">
        <v>61</v>
      </c>
      <c r="I161" s="3" t="s">
        <v>4</v>
      </c>
      <c r="J161" s="7" t="b">
        <v>1</v>
      </c>
    </row>
    <row r="162" spans="1:10" ht="14.45">
      <c r="A162" s="1">
        <v>810414142</v>
      </c>
      <c r="B162" s="1">
        <v>7</v>
      </c>
      <c r="C162" s="3" t="s">
        <v>155</v>
      </c>
      <c r="D162" s="3">
        <v>5</v>
      </c>
      <c r="E162" s="3"/>
      <c r="F162" s="6">
        <v>39498</v>
      </c>
      <c r="G162" s="5">
        <v>14</v>
      </c>
      <c r="H162" s="3" t="s">
        <v>63</v>
      </c>
      <c r="I162" s="3" t="s">
        <v>4</v>
      </c>
      <c r="J162" s="7" t="b">
        <v>1</v>
      </c>
    </row>
    <row r="163" spans="1:10" ht="14.45" hidden="1">
      <c r="A163" s="1">
        <v>810414142</v>
      </c>
      <c r="B163" s="1">
        <v>7</v>
      </c>
      <c r="C163" s="3" t="s">
        <v>60</v>
      </c>
      <c r="D163" s="3">
        <v>8</v>
      </c>
      <c r="E163" s="3">
        <v>9</v>
      </c>
      <c r="F163" s="6">
        <v>42896</v>
      </c>
      <c r="G163" s="5">
        <v>5</v>
      </c>
      <c r="H163" s="3" t="s">
        <v>63</v>
      </c>
      <c r="I163" s="3" t="s">
        <v>7</v>
      </c>
      <c r="J163" s="7" t="b">
        <v>1</v>
      </c>
    </row>
    <row r="164" spans="1:10" ht="14.45" hidden="1">
      <c r="A164" s="1">
        <v>810414142</v>
      </c>
      <c r="B164" s="1">
        <v>7</v>
      </c>
      <c r="C164" s="3" t="s">
        <v>60</v>
      </c>
      <c r="D164" s="5">
        <v>10</v>
      </c>
      <c r="E164" s="3"/>
      <c r="F164" s="6">
        <v>40016</v>
      </c>
      <c r="G164" s="5">
        <v>13</v>
      </c>
      <c r="H164" s="3" t="s">
        <v>63</v>
      </c>
      <c r="I164" s="3" t="s">
        <v>6</v>
      </c>
      <c r="J164" s="7" t="b">
        <v>1</v>
      </c>
    </row>
    <row r="165" spans="1:10" ht="14.45" hidden="1">
      <c r="A165" s="1">
        <v>810414150</v>
      </c>
      <c r="B165" s="1">
        <v>7</v>
      </c>
      <c r="C165" s="3" t="s">
        <v>60</v>
      </c>
      <c r="D165" s="3">
        <v>8</v>
      </c>
      <c r="E165" s="3">
        <v>9</v>
      </c>
      <c r="F165" s="6">
        <v>41796</v>
      </c>
      <c r="G165" s="5">
        <v>8</v>
      </c>
      <c r="H165" s="3" t="s">
        <v>63</v>
      </c>
      <c r="I165" s="3" t="s">
        <v>8</v>
      </c>
      <c r="J165" s="7" t="b">
        <v>1</v>
      </c>
    </row>
    <row r="166" spans="1:10" ht="14.45" hidden="1">
      <c r="A166" s="1">
        <v>810419090</v>
      </c>
      <c r="B166" s="1">
        <v>8</v>
      </c>
      <c r="C166" s="3" t="s">
        <v>60</v>
      </c>
      <c r="D166" s="3">
        <v>7</v>
      </c>
      <c r="E166" s="3"/>
      <c r="F166" s="6">
        <v>40472</v>
      </c>
      <c r="G166" s="5">
        <v>12</v>
      </c>
      <c r="H166" s="3" t="s">
        <v>61</v>
      </c>
      <c r="I166" s="3" t="s">
        <v>7</v>
      </c>
      <c r="J166" s="7" t="b">
        <v>1</v>
      </c>
    </row>
    <row r="167" spans="1:10" ht="14.45" hidden="1">
      <c r="A167" s="1">
        <v>810419090</v>
      </c>
      <c r="B167" s="1">
        <v>8</v>
      </c>
      <c r="C167" s="3" t="s">
        <v>60</v>
      </c>
      <c r="D167" s="3">
        <v>9</v>
      </c>
      <c r="E167" s="3"/>
      <c r="F167" s="9">
        <v>42141</v>
      </c>
      <c r="G167" s="5">
        <v>7</v>
      </c>
      <c r="H167" s="3" t="s">
        <v>61</v>
      </c>
      <c r="I167" s="3" t="s">
        <v>7</v>
      </c>
      <c r="J167" s="7" t="b">
        <v>1</v>
      </c>
    </row>
    <row r="168" spans="1:10" ht="14.45" hidden="1">
      <c r="A168" s="1">
        <v>810509910</v>
      </c>
      <c r="B168" s="1">
        <v>9</v>
      </c>
      <c r="C168" s="3" t="s">
        <v>60</v>
      </c>
      <c r="D168" s="3">
        <v>7</v>
      </c>
      <c r="E168" s="3"/>
      <c r="F168" s="6">
        <v>40857</v>
      </c>
      <c r="G168" s="5">
        <v>11</v>
      </c>
      <c r="H168" s="3" t="s">
        <v>61</v>
      </c>
      <c r="I168" s="3" t="s">
        <v>7</v>
      </c>
      <c r="J168" s="7" t="b">
        <v>1</v>
      </c>
    </row>
    <row r="169" spans="1:10" ht="14.45" hidden="1">
      <c r="A169" s="1">
        <v>810512012</v>
      </c>
      <c r="B169" s="1">
        <v>9</v>
      </c>
      <c r="C169" s="3" t="s">
        <v>60</v>
      </c>
      <c r="D169" s="3">
        <v>7</v>
      </c>
      <c r="E169" s="3"/>
      <c r="F169" s="9">
        <v>41424</v>
      </c>
      <c r="G169" s="5">
        <v>9</v>
      </c>
      <c r="H169" s="3" t="s">
        <v>63</v>
      </c>
      <c r="I169" s="3" t="s">
        <v>7</v>
      </c>
      <c r="J169" s="7" t="b">
        <v>1</v>
      </c>
    </row>
    <row r="170" spans="1:10" ht="14.45" hidden="1">
      <c r="A170" s="1">
        <v>810513032</v>
      </c>
      <c r="B170" s="1">
        <v>8</v>
      </c>
      <c r="C170" s="3" t="s">
        <v>65</v>
      </c>
      <c r="D170" s="5">
        <v>17</v>
      </c>
      <c r="E170" s="3">
        <v>7</v>
      </c>
      <c r="F170" s="6">
        <v>38179</v>
      </c>
      <c r="G170" s="5">
        <v>18</v>
      </c>
      <c r="H170" s="3" t="s">
        <v>61</v>
      </c>
      <c r="I170" s="3" t="s">
        <v>7</v>
      </c>
      <c r="J170" s="7" t="b">
        <v>1</v>
      </c>
    </row>
    <row r="171" spans="1:10" ht="14.45" hidden="1">
      <c r="A171" s="1">
        <v>810513032</v>
      </c>
      <c r="B171" s="1">
        <v>8</v>
      </c>
      <c r="C171" s="3" t="s">
        <v>60</v>
      </c>
      <c r="D171" s="3">
        <v>8</v>
      </c>
      <c r="E171" s="3">
        <v>9</v>
      </c>
      <c r="F171" s="6">
        <v>42685</v>
      </c>
      <c r="G171" s="5">
        <v>6</v>
      </c>
      <c r="H171" s="3" t="s">
        <v>63</v>
      </c>
      <c r="I171" s="3" t="s">
        <v>8</v>
      </c>
      <c r="J171" s="7" t="b">
        <v>1</v>
      </c>
    </row>
    <row r="172" spans="1:10" ht="14.45" hidden="1">
      <c r="A172" s="1">
        <v>539116031</v>
      </c>
      <c r="B172" s="1">
        <v>4</v>
      </c>
      <c r="C172" s="3" t="s">
        <v>60</v>
      </c>
      <c r="D172" s="3">
        <v>7</v>
      </c>
      <c r="E172" s="3"/>
      <c r="F172" s="6">
        <v>40816</v>
      </c>
      <c r="G172" s="5">
        <v>11</v>
      </c>
      <c r="H172" s="3" t="s">
        <v>61</v>
      </c>
      <c r="I172" s="3" t="s">
        <v>7</v>
      </c>
      <c r="J172" s="7" t="b">
        <v>1</v>
      </c>
    </row>
    <row r="173" spans="1:10" ht="14.45" hidden="1">
      <c r="A173" s="1">
        <v>539117039</v>
      </c>
      <c r="B173" s="1">
        <v>4</v>
      </c>
      <c r="C173" s="3" t="s">
        <v>62</v>
      </c>
      <c r="D173" s="5">
        <v>15</v>
      </c>
      <c r="E173" s="3">
        <v>9</v>
      </c>
      <c r="F173" s="6">
        <v>42029</v>
      </c>
      <c r="G173" s="5">
        <v>7</v>
      </c>
      <c r="H173" s="3" t="s">
        <v>63</v>
      </c>
      <c r="I173" s="3" t="s">
        <v>7</v>
      </c>
      <c r="J173" s="7" t="b">
        <v>1</v>
      </c>
    </row>
    <row r="174" spans="1:10" ht="14.45" hidden="1">
      <c r="A174" s="1">
        <v>539118048</v>
      </c>
      <c r="B174" s="1">
        <v>2</v>
      </c>
      <c r="C174" s="3" t="s">
        <v>60</v>
      </c>
      <c r="D174" s="3">
        <v>7</v>
      </c>
      <c r="E174" s="3"/>
      <c r="F174" s="6">
        <v>39412</v>
      </c>
      <c r="G174" s="5">
        <v>15</v>
      </c>
      <c r="H174" s="3" t="s">
        <v>61</v>
      </c>
      <c r="I174" s="3" t="s">
        <v>7</v>
      </c>
      <c r="J174" s="7" t="b">
        <v>1</v>
      </c>
    </row>
    <row r="175" spans="1:10" ht="14.45" hidden="1">
      <c r="A175" s="1">
        <v>539118048</v>
      </c>
      <c r="B175" s="1">
        <v>2</v>
      </c>
      <c r="C175" s="3" t="s">
        <v>60</v>
      </c>
      <c r="D175" s="5">
        <v>17</v>
      </c>
      <c r="E175" s="3"/>
      <c r="F175" s="6">
        <v>39665</v>
      </c>
      <c r="G175" s="5">
        <v>14</v>
      </c>
      <c r="H175" s="3" t="s">
        <v>63</v>
      </c>
      <c r="I175" s="3" t="s">
        <v>7</v>
      </c>
      <c r="J175" s="7" t="b">
        <v>1</v>
      </c>
    </row>
    <row r="176" spans="1:10" ht="14.45" hidden="1">
      <c r="A176" s="1">
        <v>539118048</v>
      </c>
      <c r="B176" s="1">
        <v>2</v>
      </c>
      <c r="C176" s="3" t="s">
        <v>60</v>
      </c>
      <c r="D176" s="3">
        <v>9</v>
      </c>
      <c r="E176" s="3"/>
      <c r="F176" s="6">
        <v>41622</v>
      </c>
      <c r="G176" s="5">
        <v>8</v>
      </c>
      <c r="H176" s="3" t="s">
        <v>63</v>
      </c>
      <c r="I176" s="3" t="s">
        <v>7</v>
      </c>
      <c r="J176" s="7" t="b">
        <v>1</v>
      </c>
    </row>
    <row r="177" spans="1:10" ht="14.45" hidden="1">
      <c r="A177" s="1">
        <v>539118048</v>
      </c>
      <c r="B177" s="1">
        <v>2</v>
      </c>
      <c r="C177" s="3" t="s">
        <v>65</v>
      </c>
      <c r="D177" s="3">
        <v>7</v>
      </c>
      <c r="E177" s="3"/>
      <c r="F177" s="6">
        <v>40894</v>
      </c>
      <c r="G177" s="5">
        <v>10</v>
      </c>
      <c r="H177" s="3" t="s">
        <v>61</v>
      </c>
      <c r="I177" s="3" t="s">
        <v>7</v>
      </c>
      <c r="J177" s="7" t="b">
        <v>1</v>
      </c>
    </row>
    <row r="178" spans="1:10" ht="14.45" hidden="1">
      <c r="A178" s="1">
        <v>539118048</v>
      </c>
      <c r="B178" s="1">
        <v>2</v>
      </c>
      <c r="C178" s="3" t="s">
        <v>60</v>
      </c>
      <c r="D178" s="5">
        <v>17</v>
      </c>
      <c r="E178" s="3"/>
      <c r="F178" s="6">
        <v>41591</v>
      </c>
      <c r="G178" s="5">
        <v>9</v>
      </c>
      <c r="H178" s="3" t="s">
        <v>61</v>
      </c>
      <c r="I178" s="3" t="s">
        <v>7</v>
      </c>
      <c r="J178" s="7" t="b">
        <v>1</v>
      </c>
    </row>
    <row r="179" spans="1:10" ht="14.45" hidden="1">
      <c r="A179" s="1">
        <v>539118048</v>
      </c>
      <c r="B179" s="1">
        <v>2</v>
      </c>
      <c r="C179" s="3" t="s">
        <v>60</v>
      </c>
      <c r="D179" s="5">
        <v>15</v>
      </c>
      <c r="E179" s="3">
        <v>9</v>
      </c>
      <c r="F179" s="6">
        <v>38020</v>
      </c>
      <c r="G179" s="5">
        <v>18</v>
      </c>
      <c r="H179" s="3" t="s">
        <v>63</v>
      </c>
      <c r="I179" s="3" t="s">
        <v>7</v>
      </c>
      <c r="J179" s="7" t="b">
        <v>1</v>
      </c>
    </row>
    <row r="180" spans="1:10" ht="14.45" hidden="1">
      <c r="A180" s="1">
        <v>539118048</v>
      </c>
      <c r="B180" s="1">
        <v>2</v>
      </c>
      <c r="C180" s="3" t="s">
        <v>60</v>
      </c>
      <c r="D180" s="5">
        <v>10</v>
      </c>
      <c r="E180" s="3">
        <v>9</v>
      </c>
      <c r="F180" s="6">
        <v>41430</v>
      </c>
      <c r="G180" s="5">
        <v>9</v>
      </c>
      <c r="H180" s="3" t="s">
        <v>63</v>
      </c>
      <c r="I180" s="3" t="s">
        <v>6</v>
      </c>
      <c r="J180" s="7" t="b">
        <v>1</v>
      </c>
    </row>
    <row r="181" spans="1:10" ht="14.45" hidden="1">
      <c r="A181" s="1">
        <v>539118048</v>
      </c>
      <c r="B181" s="1">
        <v>2</v>
      </c>
      <c r="C181" s="3" t="s">
        <v>60</v>
      </c>
      <c r="D181" s="3">
        <v>8</v>
      </c>
      <c r="E181" s="3"/>
      <c r="F181" s="6">
        <v>42336</v>
      </c>
      <c r="G181" s="5">
        <v>7</v>
      </c>
      <c r="H181" s="3" t="s">
        <v>63</v>
      </c>
      <c r="I181" s="3" t="s">
        <v>7</v>
      </c>
      <c r="J181" s="7" t="b">
        <v>1</v>
      </c>
    </row>
    <row r="182" spans="1:10" ht="14.45" hidden="1">
      <c r="A182" s="1">
        <v>539721026</v>
      </c>
      <c r="B182" s="1" t="s">
        <v>41</v>
      </c>
      <c r="C182" s="3" t="s">
        <v>65</v>
      </c>
      <c r="D182" s="5">
        <v>10</v>
      </c>
      <c r="E182" s="3">
        <v>9</v>
      </c>
      <c r="F182" s="6">
        <v>41545</v>
      </c>
      <c r="G182" s="5">
        <v>9</v>
      </c>
      <c r="H182" s="3" t="s">
        <v>63</v>
      </c>
      <c r="I182" s="3" t="s">
        <v>7</v>
      </c>
      <c r="J182" s="7" t="b">
        <v>1</v>
      </c>
    </row>
    <row r="183" spans="1:10" ht="14.45" hidden="1">
      <c r="A183" s="1">
        <v>541812029</v>
      </c>
      <c r="B183" s="1">
        <v>9</v>
      </c>
      <c r="C183" s="3" t="s">
        <v>60</v>
      </c>
      <c r="D183" s="3">
        <v>9</v>
      </c>
      <c r="E183" s="3"/>
      <c r="F183" s="6">
        <v>41166</v>
      </c>
      <c r="G183" s="5">
        <v>10</v>
      </c>
      <c r="H183" s="3" t="s">
        <v>61</v>
      </c>
      <c r="I183" s="3" t="s">
        <v>8</v>
      </c>
      <c r="J183" s="7" t="b">
        <v>1</v>
      </c>
    </row>
    <row r="184" spans="1:10" ht="14.45" hidden="1">
      <c r="A184" s="1">
        <v>541812029</v>
      </c>
      <c r="B184" s="1">
        <v>9</v>
      </c>
      <c r="C184" s="3" t="s">
        <v>60</v>
      </c>
      <c r="D184" s="5">
        <v>17</v>
      </c>
      <c r="E184" s="3"/>
      <c r="F184" s="9">
        <v>41419</v>
      </c>
      <c r="G184" s="5">
        <v>9</v>
      </c>
      <c r="H184" s="3" t="s">
        <v>61</v>
      </c>
      <c r="I184" s="3" t="s">
        <v>7</v>
      </c>
      <c r="J184" s="7" t="b">
        <v>1</v>
      </c>
    </row>
    <row r="185" spans="1:10" ht="14.45" hidden="1">
      <c r="A185" s="1">
        <v>820619018</v>
      </c>
      <c r="B185" s="1">
        <v>6</v>
      </c>
      <c r="C185" s="3" t="s">
        <v>60</v>
      </c>
      <c r="D185" s="3">
        <v>9</v>
      </c>
      <c r="E185" s="3"/>
      <c r="F185" s="6">
        <v>42901</v>
      </c>
      <c r="G185" s="5">
        <v>5</v>
      </c>
      <c r="H185" s="3" t="s">
        <v>61</v>
      </c>
      <c r="I185" s="3" t="s">
        <v>7</v>
      </c>
      <c r="J185" s="7" t="b">
        <v>1</v>
      </c>
    </row>
    <row r="186" spans="1:10" ht="14.45">
      <c r="A186" s="1">
        <v>820913031</v>
      </c>
      <c r="B186" s="1">
        <v>7</v>
      </c>
      <c r="C186" s="3" t="s">
        <v>65</v>
      </c>
      <c r="D186" s="5">
        <v>10</v>
      </c>
      <c r="E186" s="3">
        <v>6</v>
      </c>
      <c r="F186" s="6">
        <v>38232</v>
      </c>
      <c r="G186" s="5">
        <v>18</v>
      </c>
      <c r="H186" s="3" t="s">
        <v>63</v>
      </c>
      <c r="I186" s="3" t="s">
        <v>4</v>
      </c>
      <c r="J186" s="7" t="b">
        <v>1</v>
      </c>
    </row>
    <row r="187" spans="1:10" ht="14.45" hidden="1">
      <c r="A187" s="1">
        <v>820914034</v>
      </c>
      <c r="B187" s="1">
        <v>8</v>
      </c>
      <c r="C187" s="3" t="s">
        <v>62</v>
      </c>
      <c r="D187" s="5">
        <v>11</v>
      </c>
      <c r="E187" s="3">
        <v>9</v>
      </c>
      <c r="F187" s="6">
        <v>38040</v>
      </c>
      <c r="G187" s="5">
        <v>18</v>
      </c>
      <c r="H187" s="3" t="s">
        <v>63</v>
      </c>
      <c r="I187" s="3" t="s">
        <v>7</v>
      </c>
      <c r="J187" s="7" t="b">
        <v>1</v>
      </c>
    </row>
    <row r="188" spans="1:10" ht="14.45" hidden="1">
      <c r="A188" s="1">
        <v>820914037</v>
      </c>
      <c r="B188" s="1">
        <v>6</v>
      </c>
      <c r="C188" s="3" t="s">
        <v>60</v>
      </c>
      <c r="D188" s="3">
        <v>7</v>
      </c>
      <c r="E188" s="3"/>
      <c r="F188" s="6">
        <v>39975</v>
      </c>
      <c r="G188" s="5">
        <v>13</v>
      </c>
      <c r="H188" s="3" t="s">
        <v>61</v>
      </c>
      <c r="I188" s="3" t="s">
        <v>7</v>
      </c>
      <c r="J188" s="7" t="b">
        <v>1</v>
      </c>
    </row>
    <row r="189" spans="1:10" ht="14.45" hidden="1">
      <c r="A189" s="1">
        <v>820914038</v>
      </c>
      <c r="B189" s="1">
        <v>6</v>
      </c>
      <c r="C189" s="3" t="s">
        <v>65</v>
      </c>
      <c r="D189" s="5">
        <v>17</v>
      </c>
      <c r="E189" s="3">
        <v>9</v>
      </c>
      <c r="F189" s="6">
        <v>39256</v>
      </c>
      <c r="G189" s="5">
        <v>15</v>
      </c>
      <c r="H189" s="3" t="s">
        <v>63</v>
      </c>
      <c r="I189" s="3" t="s">
        <v>7</v>
      </c>
      <c r="J189" s="7" t="b">
        <v>1</v>
      </c>
    </row>
    <row r="190" spans="1:10" ht="14.45" hidden="1">
      <c r="A190" s="1">
        <v>820914038</v>
      </c>
      <c r="B190" s="1">
        <v>6</v>
      </c>
      <c r="C190" s="3" t="s">
        <v>60</v>
      </c>
      <c r="D190" s="3">
        <v>9</v>
      </c>
      <c r="E190" s="3"/>
      <c r="F190" s="9">
        <v>42125</v>
      </c>
      <c r="G190" s="5">
        <v>7</v>
      </c>
      <c r="H190" s="3" t="s">
        <v>63</v>
      </c>
      <c r="I190" s="3" t="s">
        <v>7</v>
      </c>
      <c r="J190" s="7" t="b">
        <v>1</v>
      </c>
    </row>
    <row r="191" spans="1:10" ht="14.45" hidden="1">
      <c r="A191" s="1">
        <v>821313018</v>
      </c>
      <c r="B191" s="1">
        <v>8</v>
      </c>
      <c r="C191" s="3" t="s">
        <v>65</v>
      </c>
      <c r="D191" s="5">
        <v>17</v>
      </c>
      <c r="E191" s="3"/>
      <c r="F191" s="6">
        <v>38435</v>
      </c>
      <c r="G191" s="5">
        <v>17</v>
      </c>
      <c r="H191" s="3" t="s">
        <v>63</v>
      </c>
      <c r="I191" s="3" t="s">
        <v>7</v>
      </c>
      <c r="J191" s="7" t="b">
        <v>1</v>
      </c>
    </row>
    <row r="192" spans="1:10" ht="14.45" hidden="1">
      <c r="A192" s="1">
        <v>821314019</v>
      </c>
      <c r="B192" s="1">
        <v>7</v>
      </c>
      <c r="C192" s="3" t="s">
        <v>60</v>
      </c>
      <c r="D192" s="5">
        <v>10</v>
      </c>
      <c r="E192" s="3">
        <v>9</v>
      </c>
      <c r="F192" s="6">
        <v>41082</v>
      </c>
      <c r="G192" s="5">
        <v>10</v>
      </c>
      <c r="H192" s="3" t="s">
        <v>61</v>
      </c>
      <c r="I192" s="3" t="s">
        <v>7</v>
      </c>
      <c r="J192" s="7" t="b">
        <v>1</v>
      </c>
    </row>
    <row r="193" spans="1:10" ht="14.45" hidden="1">
      <c r="A193" s="1">
        <v>821314019</v>
      </c>
      <c r="B193" s="1">
        <v>7</v>
      </c>
      <c r="C193" s="3" t="s">
        <v>60</v>
      </c>
      <c r="D193" s="3">
        <v>9</v>
      </c>
      <c r="E193" s="3"/>
      <c r="F193" s="6">
        <v>41371</v>
      </c>
      <c r="G193" s="5">
        <v>9</v>
      </c>
      <c r="H193" s="3" t="s">
        <v>63</v>
      </c>
      <c r="I193" s="3" t="s">
        <v>7</v>
      </c>
      <c r="J193" s="7" t="b">
        <v>1</v>
      </c>
    </row>
    <row r="194" spans="1:10" ht="14.45" hidden="1">
      <c r="A194" s="1">
        <v>821314029</v>
      </c>
      <c r="B194" s="1">
        <v>7</v>
      </c>
      <c r="C194" s="3" t="s">
        <v>62</v>
      </c>
      <c r="D194" s="5">
        <v>15</v>
      </c>
      <c r="E194" s="3">
        <v>9</v>
      </c>
      <c r="F194" s="6">
        <v>41561</v>
      </c>
      <c r="G194" s="5">
        <v>9</v>
      </c>
      <c r="H194" s="3" t="s">
        <v>63</v>
      </c>
      <c r="I194" s="3" t="s">
        <v>7</v>
      </c>
      <c r="J194" s="7" t="b">
        <v>1</v>
      </c>
    </row>
    <row r="195" spans="1:10" ht="14.45">
      <c r="A195" s="1">
        <v>822515042</v>
      </c>
      <c r="B195" s="1">
        <v>5</v>
      </c>
      <c r="C195" s="3" t="s">
        <v>60</v>
      </c>
      <c r="D195" s="3">
        <v>7</v>
      </c>
      <c r="E195" s="3"/>
      <c r="F195" s="6">
        <v>40007</v>
      </c>
      <c r="G195" s="5">
        <v>13</v>
      </c>
      <c r="H195" s="3" t="s">
        <v>61</v>
      </c>
      <c r="I195" s="3" t="s">
        <v>4</v>
      </c>
      <c r="J195" s="7" t="b">
        <v>1</v>
      </c>
    </row>
    <row r="196" spans="1:10" ht="14.45" hidden="1">
      <c r="A196" s="1">
        <v>809112925</v>
      </c>
      <c r="B196" s="1">
        <v>5</v>
      </c>
      <c r="C196" s="3" t="s">
        <v>60</v>
      </c>
      <c r="D196" s="5">
        <v>17</v>
      </c>
      <c r="E196" s="3"/>
      <c r="F196" s="6">
        <v>39612</v>
      </c>
      <c r="G196" s="5">
        <v>14</v>
      </c>
      <c r="H196" s="3" t="s">
        <v>61</v>
      </c>
      <c r="I196" s="3" t="s">
        <v>7</v>
      </c>
      <c r="J196" s="7" t="b">
        <v>1</v>
      </c>
    </row>
    <row r="197" spans="1:10" ht="14.45" hidden="1">
      <c r="A197" s="1">
        <v>809112925</v>
      </c>
      <c r="B197" s="1">
        <v>5</v>
      </c>
      <c r="C197" s="3" t="s">
        <v>60</v>
      </c>
      <c r="D197" s="3">
        <v>7</v>
      </c>
      <c r="E197" s="3"/>
      <c r="F197" s="6">
        <v>38370</v>
      </c>
      <c r="G197" s="5">
        <v>17</v>
      </c>
      <c r="H197" s="3" t="s">
        <v>61</v>
      </c>
      <c r="I197" s="3" t="s">
        <v>7</v>
      </c>
      <c r="J197" s="7" t="b">
        <v>1</v>
      </c>
    </row>
    <row r="198" spans="1:10" ht="14.45" hidden="1">
      <c r="A198" s="1">
        <v>810309073</v>
      </c>
      <c r="B198" s="1">
        <v>11</v>
      </c>
      <c r="C198" s="3" t="s">
        <v>60</v>
      </c>
      <c r="D198" s="3">
        <v>7</v>
      </c>
      <c r="E198" s="3"/>
      <c r="F198" s="6">
        <v>40085</v>
      </c>
      <c r="G198" s="5">
        <v>13</v>
      </c>
      <c r="H198" s="3" t="s">
        <v>63</v>
      </c>
      <c r="I198" s="3" t="s">
        <v>7</v>
      </c>
      <c r="J198" s="7" t="b">
        <v>1</v>
      </c>
    </row>
    <row r="199" spans="1:10" ht="14.45" hidden="1">
      <c r="A199" s="1">
        <v>811718003</v>
      </c>
      <c r="B199" s="1">
        <v>3</v>
      </c>
      <c r="C199" s="3" t="s">
        <v>60</v>
      </c>
      <c r="D199" s="5">
        <v>15</v>
      </c>
      <c r="E199" s="3">
        <v>9</v>
      </c>
      <c r="F199" s="6">
        <v>41878</v>
      </c>
      <c r="G199" s="5">
        <v>8</v>
      </c>
      <c r="H199" s="3" t="s">
        <v>63</v>
      </c>
      <c r="I199" s="3" t="s">
        <v>7</v>
      </c>
      <c r="J199" s="7" t="b">
        <v>1</v>
      </c>
    </row>
    <row r="200" spans="1:10" ht="14.45" hidden="1">
      <c r="A200" s="1">
        <v>919715085</v>
      </c>
      <c r="B200" s="1">
        <v>5</v>
      </c>
      <c r="C200" s="3" t="s">
        <v>60</v>
      </c>
      <c r="D200" s="3">
        <v>2</v>
      </c>
      <c r="E200" s="3"/>
      <c r="F200" s="6">
        <v>40210</v>
      </c>
      <c r="G200" s="5">
        <v>12</v>
      </c>
      <c r="H200" s="3" t="s">
        <v>61</v>
      </c>
      <c r="I200" s="3" t="s">
        <v>7</v>
      </c>
      <c r="J200" s="7" t="b">
        <v>1</v>
      </c>
    </row>
    <row r="201" spans="1:10" ht="14.45" hidden="1">
      <c r="A201" s="1">
        <v>984514142</v>
      </c>
      <c r="B201" s="1">
        <v>4</v>
      </c>
      <c r="C201" s="3" t="s">
        <v>60</v>
      </c>
      <c r="D201" s="3">
        <v>9</v>
      </c>
      <c r="E201" s="3"/>
      <c r="F201" s="6">
        <v>38226</v>
      </c>
      <c r="G201" s="5">
        <v>18</v>
      </c>
      <c r="H201" s="3" t="s">
        <v>63</v>
      </c>
      <c r="I201" s="3" t="s">
        <v>5</v>
      </c>
      <c r="J201" s="7" t="b">
        <v>1</v>
      </c>
    </row>
    <row r="202" spans="1:10" ht="14.45" hidden="1">
      <c r="A202" s="1">
        <v>999812054</v>
      </c>
      <c r="B202" s="1">
        <v>5</v>
      </c>
      <c r="C202" s="3" t="s">
        <v>65</v>
      </c>
      <c r="D202" s="5">
        <v>17</v>
      </c>
      <c r="E202" s="3"/>
      <c r="F202" s="6">
        <v>39564</v>
      </c>
      <c r="G202" s="5">
        <v>14</v>
      </c>
      <c r="H202" s="3" t="s">
        <v>61</v>
      </c>
      <c r="I202" s="3" t="s">
        <v>7</v>
      </c>
      <c r="J202" s="7" t="b">
        <v>1</v>
      </c>
    </row>
    <row r="203" spans="1:10" ht="14.45" hidden="1">
      <c r="A203" s="1">
        <v>999814003</v>
      </c>
      <c r="B203" s="1">
        <v>5</v>
      </c>
      <c r="C203" s="3" t="s">
        <v>60</v>
      </c>
      <c r="D203" s="3">
        <v>9</v>
      </c>
      <c r="E203" s="3"/>
      <c r="F203" s="6">
        <v>42705</v>
      </c>
      <c r="G203" s="5">
        <v>6</v>
      </c>
      <c r="H203" s="3" t="s">
        <v>63</v>
      </c>
      <c r="I203" s="3" t="s">
        <v>7</v>
      </c>
      <c r="J203" s="7" t="b">
        <v>1</v>
      </c>
    </row>
    <row r="204" spans="1:10" ht="14.45" hidden="1">
      <c r="A204" s="1">
        <v>999818041</v>
      </c>
      <c r="B204" s="1" t="s">
        <v>41</v>
      </c>
      <c r="C204" s="3" t="s">
        <v>60</v>
      </c>
      <c r="D204" s="5">
        <v>17</v>
      </c>
      <c r="E204" s="3"/>
      <c r="F204" s="6">
        <v>38996</v>
      </c>
      <c r="G204" s="5">
        <v>16</v>
      </c>
      <c r="H204" s="3" t="s">
        <v>63</v>
      </c>
      <c r="I204" s="3" t="s">
        <v>7</v>
      </c>
      <c r="J204" s="7" t="b">
        <v>1</v>
      </c>
    </row>
    <row r="205" spans="1:10" ht="14.45" hidden="1">
      <c r="A205" s="1">
        <v>999818041</v>
      </c>
      <c r="B205" s="1" t="s">
        <v>41</v>
      </c>
      <c r="C205" s="3" t="s">
        <v>60</v>
      </c>
      <c r="D205" s="3">
        <v>9</v>
      </c>
      <c r="E205" s="3"/>
      <c r="F205" s="6">
        <v>42122</v>
      </c>
      <c r="G205" s="5">
        <v>7</v>
      </c>
      <c r="H205" s="3" t="s">
        <v>63</v>
      </c>
      <c r="I205" s="3" t="s">
        <v>7</v>
      </c>
      <c r="J205" s="7" t="b">
        <v>1</v>
      </c>
    </row>
    <row r="206" spans="1:10" ht="14.45" hidden="1">
      <c r="A206" s="1">
        <v>999818041</v>
      </c>
      <c r="B206" s="1" t="s">
        <v>41</v>
      </c>
      <c r="C206" s="3" t="s">
        <v>60</v>
      </c>
      <c r="D206" s="5">
        <v>11</v>
      </c>
      <c r="E206" s="3">
        <v>9</v>
      </c>
      <c r="F206" s="6">
        <v>39782</v>
      </c>
      <c r="G206" s="5">
        <v>14</v>
      </c>
      <c r="H206" s="3" t="s">
        <v>63</v>
      </c>
      <c r="I206" s="3" t="s">
        <v>7</v>
      </c>
      <c r="J206" s="7" t="b">
        <v>1</v>
      </c>
    </row>
    <row r="207" spans="1:10" ht="14.45" hidden="1">
      <c r="A207" s="1">
        <v>537714086</v>
      </c>
      <c r="B207" s="1">
        <v>7</v>
      </c>
      <c r="C207" s="3" t="s">
        <v>60</v>
      </c>
      <c r="D207" s="3">
        <v>8</v>
      </c>
      <c r="E207" s="3"/>
      <c r="F207" s="9">
        <v>41765</v>
      </c>
      <c r="G207" s="5">
        <v>8</v>
      </c>
      <c r="H207" s="3" t="s">
        <v>61</v>
      </c>
      <c r="I207" s="3" t="s">
        <v>7</v>
      </c>
      <c r="J207" s="7" t="b">
        <v>1</v>
      </c>
    </row>
    <row r="208" spans="1:10" ht="14.45" hidden="1">
      <c r="A208" s="1">
        <v>539550785</v>
      </c>
      <c r="B208" s="1">
        <v>1</v>
      </c>
      <c r="C208" s="3" t="s">
        <v>65</v>
      </c>
      <c r="D208" s="5">
        <v>17</v>
      </c>
      <c r="E208" s="3">
        <v>9</v>
      </c>
      <c r="F208" s="6">
        <v>40330</v>
      </c>
      <c r="G208" s="5">
        <v>12</v>
      </c>
      <c r="H208" s="3" t="s">
        <v>63</v>
      </c>
      <c r="I208" s="3" t="s">
        <v>7</v>
      </c>
      <c r="J208" s="7" t="b">
        <v>1</v>
      </c>
    </row>
    <row r="209" spans="1:10" ht="14.45" hidden="1">
      <c r="A209" s="1">
        <v>539550785</v>
      </c>
      <c r="B209" s="1">
        <v>1</v>
      </c>
      <c r="C209" s="3" t="s">
        <v>60</v>
      </c>
      <c r="D209" s="3">
        <v>9</v>
      </c>
      <c r="E209" s="3"/>
      <c r="F209" s="6">
        <v>40866</v>
      </c>
      <c r="G209" s="5">
        <v>11</v>
      </c>
      <c r="H209" s="3" t="s">
        <v>61</v>
      </c>
      <c r="I209" s="3" t="s">
        <v>7</v>
      </c>
      <c r="J209" s="7" t="b">
        <v>1</v>
      </c>
    </row>
    <row r="210" spans="1:10" ht="14.45" hidden="1">
      <c r="A210" s="1">
        <v>539550785</v>
      </c>
      <c r="B210" s="1">
        <v>1</v>
      </c>
      <c r="C210" s="3" t="s">
        <v>60</v>
      </c>
      <c r="D210" s="3">
        <v>4</v>
      </c>
      <c r="E210" s="3"/>
      <c r="F210" s="6">
        <v>39678</v>
      </c>
      <c r="G210" s="5">
        <v>14</v>
      </c>
      <c r="H210" s="3" t="s">
        <v>63</v>
      </c>
      <c r="I210" s="3" t="s">
        <v>7</v>
      </c>
      <c r="J210" s="7" t="b">
        <v>1</v>
      </c>
    </row>
    <row r="211" spans="1:10" ht="14.45" hidden="1">
      <c r="A211" s="1">
        <v>539550785</v>
      </c>
      <c r="B211" s="1">
        <v>1</v>
      </c>
      <c r="C211" s="3" t="s">
        <v>60</v>
      </c>
      <c r="D211" s="3">
        <v>7</v>
      </c>
      <c r="E211" s="3"/>
      <c r="F211" s="6">
        <v>39893</v>
      </c>
      <c r="G211" s="5">
        <v>13</v>
      </c>
      <c r="H211" s="3" t="s">
        <v>63</v>
      </c>
      <c r="I211" s="3" t="s">
        <v>7</v>
      </c>
      <c r="J211" s="7" t="b">
        <v>1</v>
      </c>
    </row>
    <row r="212" spans="1:10" ht="14.45" hidden="1">
      <c r="A212" s="1">
        <v>543615080</v>
      </c>
      <c r="B212" s="1">
        <v>6</v>
      </c>
      <c r="C212" s="3" t="s">
        <v>60</v>
      </c>
      <c r="D212" s="5">
        <v>17</v>
      </c>
      <c r="E212" s="3"/>
      <c r="F212" s="6">
        <v>39342</v>
      </c>
      <c r="G212" s="5">
        <v>15</v>
      </c>
      <c r="H212" s="3" t="s">
        <v>61</v>
      </c>
      <c r="I212" s="3" t="s">
        <v>7</v>
      </c>
      <c r="J212" s="7" t="b">
        <v>1</v>
      </c>
    </row>
    <row r="213" spans="1:10" ht="14.45" hidden="1">
      <c r="A213" s="1">
        <v>810818038</v>
      </c>
      <c r="B213" s="1">
        <v>5</v>
      </c>
      <c r="C213" s="3" t="s">
        <v>65</v>
      </c>
      <c r="D213" s="5">
        <v>17</v>
      </c>
      <c r="E213" s="3">
        <v>9</v>
      </c>
      <c r="F213" s="6">
        <v>39700</v>
      </c>
      <c r="G213" s="5">
        <v>14</v>
      </c>
      <c r="H213" s="3" t="s">
        <v>61</v>
      </c>
      <c r="I213" s="3" t="s">
        <v>7</v>
      </c>
      <c r="J213" s="7" t="b">
        <v>1</v>
      </c>
    </row>
    <row r="214" spans="1:10" ht="14.45" hidden="1">
      <c r="A214" s="1">
        <v>811112028</v>
      </c>
      <c r="B214" s="1">
        <v>9</v>
      </c>
      <c r="C214" s="3" t="s">
        <v>60</v>
      </c>
      <c r="D214" s="3">
        <v>8</v>
      </c>
      <c r="E214" s="3">
        <v>9</v>
      </c>
      <c r="F214" s="6">
        <v>42579</v>
      </c>
      <c r="G214" s="5">
        <v>6</v>
      </c>
      <c r="H214" s="3" t="s">
        <v>61</v>
      </c>
      <c r="I214" s="3" t="s">
        <v>7</v>
      </c>
      <c r="J214" s="7" t="b">
        <v>1</v>
      </c>
    </row>
    <row r="215" spans="1:10" ht="14.45" hidden="1">
      <c r="A215" s="1">
        <v>811719017</v>
      </c>
      <c r="B215" s="1">
        <v>2</v>
      </c>
      <c r="C215" s="3" t="s">
        <v>60</v>
      </c>
      <c r="D215" s="5">
        <v>10</v>
      </c>
      <c r="E215" s="3"/>
      <c r="F215" s="6">
        <v>40716</v>
      </c>
      <c r="G215" s="5">
        <v>11</v>
      </c>
      <c r="H215" s="3" t="s">
        <v>61</v>
      </c>
      <c r="I215" s="3" t="s">
        <v>6</v>
      </c>
      <c r="J215" s="7" t="b">
        <v>1</v>
      </c>
    </row>
    <row r="216" spans="1:10" ht="14.45" hidden="1">
      <c r="A216" s="1">
        <v>811719017</v>
      </c>
      <c r="B216" s="1">
        <v>2</v>
      </c>
      <c r="C216" s="3" t="s">
        <v>60</v>
      </c>
      <c r="D216" s="3">
        <v>9</v>
      </c>
      <c r="E216" s="3"/>
      <c r="F216" s="6">
        <v>42571</v>
      </c>
      <c r="G216" s="5">
        <v>6</v>
      </c>
      <c r="H216" s="3" t="s">
        <v>61</v>
      </c>
      <c r="I216" s="3" t="s">
        <v>7</v>
      </c>
      <c r="J216" s="7" t="b">
        <v>1</v>
      </c>
    </row>
    <row r="217" spans="1:10" ht="14.45">
      <c r="A217" s="1">
        <v>811909047</v>
      </c>
      <c r="B217" s="1">
        <v>12</v>
      </c>
      <c r="C217" s="3" t="s">
        <v>60</v>
      </c>
      <c r="D217" s="5">
        <v>17</v>
      </c>
      <c r="E217" s="3"/>
      <c r="F217" s="6">
        <v>41842</v>
      </c>
      <c r="G217" s="5">
        <v>8</v>
      </c>
      <c r="H217" s="3" t="s">
        <v>63</v>
      </c>
      <c r="I217" s="3" t="s">
        <v>4</v>
      </c>
      <c r="J217" s="7" t="b">
        <v>1</v>
      </c>
    </row>
    <row r="218" spans="1:10" ht="14.45" hidden="1">
      <c r="A218" s="1">
        <v>816312223</v>
      </c>
      <c r="B218" s="1">
        <v>8</v>
      </c>
      <c r="C218" s="3" t="s">
        <v>60</v>
      </c>
      <c r="D218" s="3">
        <v>7</v>
      </c>
      <c r="E218" s="3"/>
      <c r="F218" s="6">
        <v>40736</v>
      </c>
      <c r="G218" s="5">
        <v>11</v>
      </c>
      <c r="H218" s="3" t="s">
        <v>61</v>
      </c>
      <c r="I218" s="3" t="s">
        <v>7</v>
      </c>
      <c r="J218" s="7" t="b">
        <v>1</v>
      </c>
    </row>
    <row r="219" spans="1:10" ht="14.45" hidden="1">
      <c r="A219" s="1">
        <v>816312223</v>
      </c>
      <c r="B219" s="1">
        <v>8</v>
      </c>
      <c r="C219" s="3" t="s">
        <v>60</v>
      </c>
      <c r="D219" s="5">
        <v>10</v>
      </c>
      <c r="E219" s="3">
        <v>9</v>
      </c>
      <c r="F219" s="6">
        <v>39537</v>
      </c>
      <c r="G219" s="5">
        <v>14</v>
      </c>
      <c r="H219" s="3" t="s">
        <v>61</v>
      </c>
      <c r="I219" s="3" t="s">
        <v>7</v>
      </c>
      <c r="J219" s="7" t="b">
        <v>1</v>
      </c>
    </row>
    <row r="220" spans="1:10" ht="14.45" hidden="1">
      <c r="A220" s="1">
        <v>820914012</v>
      </c>
      <c r="B220" s="1">
        <v>7</v>
      </c>
      <c r="C220" s="3" t="s">
        <v>60</v>
      </c>
      <c r="D220" s="3">
        <v>8</v>
      </c>
      <c r="E220" s="3"/>
      <c r="F220" s="6">
        <v>41914</v>
      </c>
      <c r="G220" s="5">
        <v>8</v>
      </c>
      <c r="H220" s="3" t="s">
        <v>63</v>
      </c>
      <c r="I220" s="3" t="s">
        <v>7</v>
      </c>
      <c r="J220" s="7" t="b">
        <v>1</v>
      </c>
    </row>
    <row r="221" spans="1:10" ht="14.45" hidden="1">
      <c r="A221" s="1">
        <v>820916036</v>
      </c>
      <c r="B221" s="1">
        <v>7</v>
      </c>
      <c r="C221" s="3" t="s">
        <v>60</v>
      </c>
      <c r="D221" s="5">
        <v>17</v>
      </c>
      <c r="E221" s="3"/>
      <c r="F221" s="6">
        <v>38292</v>
      </c>
      <c r="G221" s="5">
        <v>18</v>
      </c>
      <c r="H221" s="3" t="s">
        <v>61</v>
      </c>
      <c r="I221" s="3" t="s">
        <v>7</v>
      </c>
      <c r="J221" s="7" t="b">
        <v>1</v>
      </c>
    </row>
    <row r="222" spans="1:10" ht="14.45" hidden="1">
      <c r="A222" s="1">
        <v>820916036</v>
      </c>
      <c r="B222" s="1">
        <v>7</v>
      </c>
      <c r="C222" s="3" t="s">
        <v>60</v>
      </c>
      <c r="D222" s="3">
        <v>7</v>
      </c>
      <c r="E222" s="3"/>
      <c r="F222" s="6">
        <v>39843</v>
      </c>
      <c r="G222" s="5">
        <v>13</v>
      </c>
      <c r="H222" s="3" t="s">
        <v>61</v>
      </c>
      <c r="I222" s="3" t="s">
        <v>7</v>
      </c>
      <c r="J222" s="7" t="b">
        <v>1</v>
      </c>
    </row>
    <row r="223" spans="1:10" ht="14.45" hidden="1">
      <c r="A223" s="1">
        <v>821313016</v>
      </c>
      <c r="B223" s="1">
        <v>8</v>
      </c>
      <c r="C223" s="3" t="s">
        <v>65</v>
      </c>
      <c r="D223" s="3">
        <v>8</v>
      </c>
      <c r="E223" s="3">
        <v>9</v>
      </c>
      <c r="F223" s="6">
        <v>41797</v>
      </c>
      <c r="G223" s="5">
        <v>8</v>
      </c>
      <c r="H223" s="3" t="s">
        <v>63</v>
      </c>
      <c r="I223" s="3" t="s">
        <v>7</v>
      </c>
      <c r="J223" s="7" t="b">
        <v>1</v>
      </c>
    </row>
    <row r="224" spans="1:10" ht="14.45" hidden="1">
      <c r="A224" s="1">
        <v>821314014</v>
      </c>
      <c r="B224" s="1">
        <v>7</v>
      </c>
      <c r="C224" s="3" t="s">
        <v>60</v>
      </c>
      <c r="D224" s="3">
        <v>7</v>
      </c>
      <c r="E224" s="3"/>
      <c r="F224" s="6">
        <v>38896</v>
      </c>
      <c r="G224" s="5">
        <v>16</v>
      </c>
      <c r="H224" s="3" t="s">
        <v>61</v>
      </c>
      <c r="I224" s="3" t="s">
        <v>7</v>
      </c>
      <c r="J224" s="7" t="b">
        <v>1</v>
      </c>
    </row>
    <row r="225" spans="1:10" ht="14.45">
      <c r="A225" s="1">
        <v>821314014</v>
      </c>
      <c r="B225" s="1">
        <v>7</v>
      </c>
      <c r="C225" s="3" t="s">
        <v>60</v>
      </c>
      <c r="D225" s="3">
        <v>8</v>
      </c>
      <c r="E225" s="3">
        <v>9</v>
      </c>
      <c r="F225" s="6">
        <v>42347</v>
      </c>
      <c r="G225" s="5">
        <v>6</v>
      </c>
      <c r="H225" s="3" t="s">
        <v>63</v>
      </c>
      <c r="I225" s="3" t="s">
        <v>4</v>
      </c>
      <c r="J225" s="7" t="b">
        <v>1</v>
      </c>
    </row>
    <row r="226" spans="1:10" ht="14.45" hidden="1">
      <c r="A226" s="1">
        <v>821314014</v>
      </c>
      <c r="B226" s="1">
        <v>7</v>
      </c>
      <c r="C226" s="3" t="s">
        <v>60</v>
      </c>
      <c r="D226" s="3">
        <v>8</v>
      </c>
      <c r="E226" s="3">
        <v>9</v>
      </c>
      <c r="F226" s="6">
        <v>42121</v>
      </c>
      <c r="G226" s="5">
        <v>7</v>
      </c>
      <c r="H226" s="3" t="s">
        <v>63</v>
      </c>
      <c r="I226" s="3" t="s">
        <v>7</v>
      </c>
      <c r="J226" s="7" t="b">
        <v>1</v>
      </c>
    </row>
    <row r="227" spans="1:10" ht="14.45" hidden="1">
      <c r="A227" s="1">
        <v>821314014</v>
      </c>
      <c r="B227" s="1">
        <v>7</v>
      </c>
      <c r="C227" s="3" t="s">
        <v>60</v>
      </c>
      <c r="D227" s="3">
        <v>7</v>
      </c>
      <c r="E227" s="3"/>
      <c r="F227" s="6">
        <v>38381</v>
      </c>
      <c r="G227" s="5">
        <v>17</v>
      </c>
      <c r="H227" s="3" t="s">
        <v>63</v>
      </c>
      <c r="I227" s="3" t="s">
        <v>7</v>
      </c>
      <c r="J227" s="7" t="b">
        <v>1</v>
      </c>
    </row>
    <row r="228" spans="1:10" ht="14.45" hidden="1">
      <c r="A228" s="1">
        <v>821314015</v>
      </c>
      <c r="B228" s="1">
        <v>7</v>
      </c>
      <c r="C228" s="3" t="s">
        <v>60</v>
      </c>
      <c r="D228" s="3">
        <v>7</v>
      </c>
      <c r="E228" s="3"/>
      <c r="F228" s="6">
        <v>38677</v>
      </c>
      <c r="G228" s="5">
        <v>17</v>
      </c>
      <c r="H228" s="3" t="s">
        <v>61</v>
      </c>
      <c r="I228" s="3" t="s">
        <v>7</v>
      </c>
      <c r="J228" s="7" t="b">
        <v>1</v>
      </c>
    </row>
    <row r="229" spans="1:10" ht="14.45" hidden="1">
      <c r="A229" s="1">
        <v>821314015</v>
      </c>
      <c r="B229" s="1">
        <v>7</v>
      </c>
      <c r="C229" s="3" t="s">
        <v>60</v>
      </c>
      <c r="D229" s="5">
        <v>17</v>
      </c>
      <c r="E229" s="3"/>
      <c r="F229" s="6">
        <v>40712</v>
      </c>
      <c r="G229" s="5">
        <v>11</v>
      </c>
      <c r="H229" s="3" t="s">
        <v>61</v>
      </c>
      <c r="I229" s="3" t="s">
        <v>8</v>
      </c>
      <c r="J229" s="7" t="b">
        <v>1</v>
      </c>
    </row>
    <row r="230" spans="1:10" ht="14.45">
      <c r="A230" s="1">
        <v>821315009</v>
      </c>
      <c r="B230" s="1">
        <v>6</v>
      </c>
      <c r="C230" s="3" t="s">
        <v>65</v>
      </c>
      <c r="D230" s="5">
        <v>17</v>
      </c>
      <c r="E230" s="3">
        <v>9</v>
      </c>
      <c r="F230" s="6">
        <v>41572</v>
      </c>
      <c r="G230" s="5">
        <v>9</v>
      </c>
      <c r="H230" s="3" t="s">
        <v>61</v>
      </c>
      <c r="I230" s="3" t="s">
        <v>4</v>
      </c>
      <c r="J230" s="7" t="b">
        <v>1</v>
      </c>
    </row>
    <row r="231" spans="1:10" ht="14.45" hidden="1">
      <c r="A231" s="1">
        <v>821317060</v>
      </c>
      <c r="B231" s="1">
        <v>8</v>
      </c>
      <c r="C231" s="3" t="s">
        <v>60</v>
      </c>
      <c r="D231" s="5">
        <v>17</v>
      </c>
      <c r="E231" s="3"/>
      <c r="F231" s="9">
        <v>39959</v>
      </c>
      <c r="G231" s="5">
        <v>13</v>
      </c>
      <c r="H231" s="3" t="s">
        <v>63</v>
      </c>
      <c r="I231" s="3" t="s">
        <v>7</v>
      </c>
      <c r="J231" s="7" t="b">
        <v>1</v>
      </c>
    </row>
    <row r="232" spans="1:10" ht="14.45" hidden="1">
      <c r="A232" s="1">
        <v>541812029</v>
      </c>
      <c r="B232" s="1">
        <v>9</v>
      </c>
      <c r="C232" s="3" t="s">
        <v>60</v>
      </c>
      <c r="D232" s="3">
        <v>7</v>
      </c>
      <c r="E232" s="3"/>
      <c r="F232" s="6">
        <v>39492</v>
      </c>
      <c r="G232" s="5">
        <v>14</v>
      </c>
      <c r="H232" s="3" t="s">
        <v>63</v>
      </c>
      <c r="I232" s="3" t="s">
        <v>7</v>
      </c>
      <c r="J232" s="7" t="b">
        <v>1</v>
      </c>
    </row>
    <row r="233" spans="1:10" ht="14.45" hidden="1">
      <c r="A233" s="1">
        <v>541812029</v>
      </c>
      <c r="B233" s="1">
        <v>9</v>
      </c>
      <c r="C233" s="3" t="s">
        <v>60</v>
      </c>
      <c r="D233" s="3">
        <v>9</v>
      </c>
      <c r="E233" s="3"/>
      <c r="F233" s="9">
        <v>42513</v>
      </c>
      <c r="G233" s="5">
        <v>6</v>
      </c>
      <c r="H233" s="3" t="s">
        <v>63</v>
      </c>
      <c r="I233" s="3" t="s">
        <v>8</v>
      </c>
      <c r="J233" s="7" t="b">
        <v>1</v>
      </c>
    </row>
    <row r="234" spans="1:10" ht="14.45" hidden="1">
      <c r="A234" s="1">
        <v>541812029</v>
      </c>
      <c r="B234" s="1">
        <v>9</v>
      </c>
      <c r="C234" s="3" t="s">
        <v>60</v>
      </c>
      <c r="D234" s="3">
        <v>7</v>
      </c>
      <c r="E234" s="3"/>
      <c r="F234" s="6">
        <v>38521</v>
      </c>
      <c r="G234" s="5">
        <v>17</v>
      </c>
      <c r="H234" s="3" t="s">
        <v>63</v>
      </c>
      <c r="I234" s="3" t="s">
        <v>7</v>
      </c>
      <c r="J234" s="7" t="b">
        <v>1</v>
      </c>
    </row>
    <row r="235" spans="1:10" ht="14.45" hidden="1">
      <c r="A235" s="1">
        <v>543017055</v>
      </c>
      <c r="B235" s="1">
        <v>9</v>
      </c>
      <c r="C235" s="3" t="s">
        <v>60</v>
      </c>
      <c r="D235" s="3">
        <v>7</v>
      </c>
      <c r="E235" s="3"/>
      <c r="F235" s="6">
        <v>38966</v>
      </c>
      <c r="G235" s="5">
        <v>16</v>
      </c>
      <c r="H235" s="3" t="s">
        <v>61</v>
      </c>
      <c r="I235" s="3" t="s">
        <v>7</v>
      </c>
      <c r="J235" s="7" t="b">
        <v>1</v>
      </c>
    </row>
    <row r="236" spans="1:10" ht="14.45" hidden="1">
      <c r="A236" s="1">
        <v>543612103</v>
      </c>
      <c r="B236" s="1">
        <v>9</v>
      </c>
      <c r="C236" s="3" t="s">
        <v>62</v>
      </c>
      <c r="D236" s="5">
        <v>16</v>
      </c>
      <c r="E236" s="3">
        <v>9</v>
      </c>
      <c r="F236" s="6">
        <v>39274</v>
      </c>
      <c r="G236" s="5">
        <v>15</v>
      </c>
      <c r="H236" s="3" t="s">
        <v>63</v>
      </c>
      <c r="I236" s="3" t="s">
        <v>7</v>
      </c>
      <c r="J236" s="7" t="b">
        <v>1</v>
      </c>
    </row>
    <row r="237" spans="1:10" ht="14.45" hidden="1">
      <c r="A237" s="1">
        <v>811111092</v>
      </c>
      <c r="B237" s="1">
        <v>10</v>
      </c>
      <c r="C237" s="3" t="s">
        <v>62</v>
      </c>
      <c r="D237" s="5">
        <v>15</v>
      </c>
      <c r="E237" s="3">
        <v>9</v>
      </c>
      <c r="F237" s="6">
        <v>39433</v>
      </c>
      <c r="G237" s="5">
        <v>14</v>
      </c>
      <c r="H237" s="3" t="s">
        <v>63</v>
      </c>
      <c r="I237" s="3" t="s">
        <v>7</v>
      </c>
      <c r="J237" s="7" t="b">
        <v>1</v>
      </c>
    </row>
    <row r="238" spans="1:10" ht="14.45" hidden="1">
      <c r="A238" s="1">
        <v>811111092</v>
      </c>
      <c r="B238" s="1">
        <v>10</v>
      </c>
      <c r="C238" s="3" t="s">
        <v>60</v>
      </c>
      <c r="D238" s="3">
        <v>7</v>
      </c>
      <c r="E238" s="3"/>
      <c r="F238" s="6">
        <v>38268</v>
      </c>
      <c r="G238" s="5">
        <v>18</v>
      </c>
      <c r="H238" s="3" t="s">
        <v>63</v>
      </c>
      <c r="I238" s="3" t="s">
        <v>7</v>
      </c>
      <c r="J238" s="7" t="b">
        <v>1</v>
      </c>
    </row>
    <row r="239" spans="1:10" ht="14.45" hidden="1">
      <c r="A239" s="1">
        <v>815409100</v>
      </c>
      <c r="B239" s="1">
        <v>9</v>
      </c>
      <c r="C239" s="3" t="s">
        <v>147</v>
      </c>
      <c r="D239" s="3">
        <v>1</v>
      </c>
      <c r="E239" s="3">
        <v>9</v>
      </c>
      <c r="F239" s="6">
        <v>37724</v>
      </c>
      <c r="G239" s="5">
        <v>19</v>
      </c>
      <c r="H239" s="3" t="s">
        <v>61</v>
      </c>
      <c r="I239" s="3" t="s">
        <v>7</v>
      </c>
      <c r="J239" s="7" t="b">
        <v>1</v>
      </c>
    </row>
    <row r="240" spans="1:10" ht="14.45" hidden="1">
      <c r="A240" s="1">
        <v>815412130</v>
      </c>
      <c r="B240" s="1">
        <v>7</v>
      </c>
      <c r="C240" s="3" t="s">
        <v>60</v>
      </c>
      <c r="D240" s="3">
        <v>7</v>
      </c>
      <c r="E240" s="3"/>
      <c r="F240" s="6">
        <v>41577</v>
      </c>
      <c r="G240" s="5">
        <v>9</v>
      </c>
      <c r="H240" s="3" t="s">
        <v>61</v>
      </c>
      <c r="I240" s="3" t="s">
        <v>7</v>
      </c>
      <c r="J240" s="7" t="b">
        <v>1</v>
      </c>
    </row>
    <row r="241" spans="1:10" ht="14.45" hidden="1">
      <c r="A241" s="1">
        <v>815412130</v>
      </c>
      <c r="B241" s="1">
        <v>7</v>
      </c>
      <c r="C241" s="3" t="s">
        <v>60</v>
      </c>
      <c r="D241" s="5">
        <v>17</v>
      </c>
      <c r="E241" s="3"/>
      <c r="F241" s="6">
        <v>40945</v>
      </c>
      <c r="G241" s="5">
        <v>10</v>
      </c>
      <c r="H241" s="3" t="s">
        <v>63</v>
      </c>
      <c r="I241" s="3" t="s">
        <v>7</v>
      </c>
      <c r="J241" s="7" t="b">
        <v>1</v>
      </c>
    </row>
    <row r="242" spans="1:10" ht="14.45">
      <c r="A242" s="1">
        <v>820312021</v>
      </c>
      <c r="B242" s="1">
        <v>9</v>
      </c>
      <c r="C242" s="3" t="s">
        <v>62</v>
      </c>
      <c r="D242" s="3">
        <v>1</v>
      </c>
      <c r="E242" s="3">
        <v>3</v>
      </c>
      <c r="F242" s="6">
        <v>40172</v>
      </c>
      <c r="G242" s="5">
        <v>12</v>
      </c>
      <c r="H242" s="3" t="s">
        <v>63</v>
      </c>
      <c r="I242" s="3" t="s">
        <v>4</v>
      </c>
      <c r="J242" s="7" t="b">
        <v>1</v>
      </c>
    </row>
    <row r="243" spans="1:10" ht="14.45" hidden="1">
      <c r="A243" s="1">
        <v>822517028</v>
      </c>
      <c r="B243" s="1">
        <v>3</v>
      </c>
      <c r="C243" s="3" t="s">
        <v>60</v>
      </c>
      <c r="D243" s="5">
        <v>17</v>
      </c>
      <c r="E243" s="3"/>
      <c r="F243" s="9">
        <v>38847</v>
      </c>
      <c r="G243" s="5">
        <v>16</v>
      </c>
      <c r="H243" s="3" t="s">
        <v>61</v>
      </c>
      <c r="I243" s="3" t="s">
        <v>7</v>
      </c>
      <c r="J243" s="7" t="b">
        <v>1</v>
      </c>
    </row>
    <row r="244" spans="1:10" ht="14.45" hidden="1">
      <c r="A244" s="1">
        <v>822518006</v>
      </c>
      <c r="B244" s="1">
        <v>3</v>
      </c>
      <c r="C244" s="3" t="s">
        <v>62</v>
      </c>
      <c r="D244" s="5">
        <v>10</v>
      </c>
      <c r="E244" s="3">
        <v>9</v>
      </c>
      <c r="F244" s="6">
        <v>39172</v>
      </c>
      <c r="G244" s="5">
        <v>15</v>
      </c>
      <c r="H244" s="3" t="s">
        <v>63</v>
      </c>
      <c r="I244" s="3" t="s">
        <v>6</v>
      </c>
      <c r="J244" s="7" t="b">
        <v>1</v>
      </c>
    </row>
    <row r="245" spans="1:10" ht="14.45">
      <c r="A245" s="1">
        <v>822911094</v>
      </c>
      <c r="B245" s="1">
        <v>8</v>
      </c>
      <c r="C245" s="3" t="s">
        <v>65</v>
      </c>
      <c r="D245" s="3">
        <v>7</v>
      </c>
      <c r="E245" s="3"/>
      <c r="F245" s="6">
        <v>39157</v>
      </c>
      <c r="G245" s="5">
        <v>15</v>
      </c>
      <c r="H245" s="3" t="s">
        <v>61</v>
      </c>
      <c r="I245" s="3" t="s">
        <v>4</v>
      </c>
      <c r="J245" s="7" t="b">
        <v>1</v>
      </c>
    </row>
    <row r="246" spans="1:10" ht="14.45" hidden="1">
      <c r="A246" s="1">
        <v>539118048</v>
      </c>
      <c r="B246" s="1">
        <v>2</v>
      </c>
      <c r="C246" s="3" t="s">
        <v>60</v>
      </c>
      <c r="D246" s="3">
        <v>8</v>
      </c>
      <c r="E246" s="3">
        <v>9</v>
      </c>
      <c r="F246" s="6">
        <v>41889</v>
      </c>
      <c r="G246" s="5">
        <v>8</v>
      </c>
      <c r="H246" s="3" t="s">
        <v>63</v>
      </c>
      <c r="I246" s="3" t="s">
        <v>7</v>
      </c>
      <c r="J246" s="7" t="b">
        <v>1</v>
      </c>
    </row>
    <row r="247" spans="1:10" ht="14.45" hidden="1">
      <c r="A247" s="1">
        <v>539119024</v>
      </c>
      <c r="B247" s="1">
        <v>2</v>
      </c>
      <c r="C247" s="3" t="s">
        <v>60</v>
      </c>
      <c r="D247" s="3">
        <v>9</v>
      </c>
      <c r="E247" s="3"/>
      <c r="F247" s="6">
        <v>41617</v>
      </c>
      <c r="G247" s="5">
        <v>8</v>
      </c>
      <c r="H247" s="3" t="s">
        <v>61</v>
      </c>
      <c r="I247" s="3" t="s">
        <v>7</v>
      </c>
      <c r="J247" s="7" t="b">
        <v>1</v>
      </c>
    </row>
    <row r="248" spans="1:10" ht="14.45" hidden="1">
      <c r="A248" s="1">
        <v>539120042</v>
      </c>
      <c r="B248" s="1">
        <v>1</v>
      </c>
      <c r="C248" s="3" t="s">
        <v>60</v>
      </c>
      <c r="D248" s="3">
        <v>7</v>
      </c>
      <c r="E248" s="3">
        <v>6</v>
      </c>
      <c r="F248" s="6">
        <v>38339</v>
      </c>
      <c r="G248" s="5">
        <v>17</v>
      </c>
      <c r="H248" s="3" t="s">
        <v>61</v>
      </c>
      <c r="I248" s="3" t="s">
        <v>7</v>
      </c>
      <c r="J248" s="7" t="b">
        <v>1</v>
      </c>
    </row>
    <row r="249" spans="1:10" ht="14.45">
      <c r="A249" s="1">
        <v>539120042</v>
      </c>
      <c r="B249" s="1">
        <v>1</v>
      </c>
      <c r="C249" s="3" t="s">
        <v>71</v>
      </c>
      <c r="D249" s="3">
        <v>5</v>
      </c>
      <c r="E249" s="3">
        <v>9</v>
      </c>
      <c r="F249" s="6">
        <v>39883</v>
      </c>
      <c r="G249" s="5">
        <v>13</v>
      </c>
      <c r="H249" s="3" t="s">
        <v>63</v>
      </c>
      <c r="I249" s="3" t="s">
        <v>4</v>
      </c>
      <c r="J249" s="7" t="b">
        <v>1</v>
      </c>
    </row>
    <row r="250" spans="1:10" ht="14.45" hidden="1">
      <c r="A250" s="1">
        <v>539120042</v>
      </c>
      <c r="B250" s="1">
        <v>1</v>
      </c>
      <c r="C250" s="3" t="s">
        <v>60</v>
      </c>
      <c r="D250" s="3">
        <v>9</v>
      </c>
      <c r="E250" s="3"/>
      <c r="F250" s="6">
        <v>42619</v>
      </c>
      <c r="G250" s="5">
        <v>6</v>
      </c>
      <c r="H250" s="3" t="s">
        <v>61</v>
      </c>
      <c r="I250" s="3" t="s">
        <v>7</v>
      </c>
      <c r="J250" s="7" t="b">
        <v>1</v>
      </c>
    </row>
    <row r="251" spans="1:10" ht="14.45" hidden="1">
      <c r="A251" s="1">
        <v>539120042</v>
      </c>
      <c r="B251" s="1">
        <v>1</v>
      </c>
      <c r="C251" s="3" t="s">
        <v>60</v>
      </c>
      <c r="D251" s="3">
        <v>7</v>
      </c>
      <c r="E251" s="3"/>
      <c r="F251" s="6">
        <v>39403</v>
      </c>
      <c r="G251" s="5">
        <v>15</v>
      </c>
      <c r="H251" s="3" t="s">
        <v>63</v>
      </c>
      <c r="I251" s="3" t="s">
        <v>7</v>
      </c>
      <c r="J251" s="7" t="b">
        <v>1</v>
      </c>
    </row>
    <row r="252" spans="1:10" ht="14.45" hidden="1">
      <c r="A252" s="1">
        <v>651104304</v>
      </c>
      <c r="B252" s="1">
        <v>3</v>
      </c>
      <c r="C252" s="3" t="s">
        <v>65</v>
      </c>
      <c r="D252" s="5">
        <v>15</v>
      </c>
      <c r="E252" s="3">
        <v>9</v>
      </c>
      <c r="F252" s="6">
        <v>39128</v>
      </c>
      <c r="G252" s="5">
        <v>15</v>
      </c>
      <c r="H252" s="3" t="s">
        <v>63</v>
      </c>
      <c r="I252" s="3" t="s">
        <v>8</v>
      </c>
      <c r="J252" s="7" t="b">
        <v>1</v>
      </c>
    </row>
    <row r="253" spans="1:10" ht="14.45" hidden="1">
      <c r="A253" s="1">
        <v>651104304</v>
      </c>
      <c r="B253" s="1">
        <v>1</v>
      </c>
      <c r="C253" s="3" t="s">
        <v>60</v>
      </c>
      <c r="D253" s="3">
        <v>9</v>
      </c>
      <c r="E253" s="3"/>
      <c r="F253" s="6">
        <v>41327</v>
      </c>
      <c r="G253" s="5">
        <v>9</v>
      </c>
      <c r="H253" s="3" t="s">
        <v>61</v>
      </c>
      <c r="I253" s="3" t="s">
        <v>7</v>
      </c>
      <c r="J253" s="7" t="b">
        <v>1</v>
      </c>
    </row>
    <row r="254" spans="1:10" ht="14.45" hidden="1">
      <c r="A254" s="1">
        <v>651104348</v>
      </c>
      <c r="B254" s="1">
        <v>2</v>
      </c>
      <c r="C254" s="3" t="s">
        <v>62</v>
      </c>
      <c r="D254" s="5">
        <v>15</v>
      </c>
      <c r="E254" s="3">
        <v>9</v>
      </c>
      <c r="F254" s="9">
        <v>42880</v>
      </c>
      <c r="G254" s="5">
        <v>5</v>
      </c>
      <c r="H254" s="3" t="s">
        <v>63</v>
      </c>
      <c r="I254" s="3" t="s">
        <v>7</v>
      </c>
      <c r="J254" s="7" t="b">
        <v>1</v>
      </c>
    </row>
    <row r="255" spans="1:10" ht="14.45" hidden="1">
      <c r="A255" s="1">
        <v>651104348</v>
      </c>
      <c r="B255" s="1">
        <v>2</v>
      </c>
      <c r="C255" s="3" t="s">
        <v>60</v>
      </c>
      <c r="D255" s="3">
        <v>7</v>
      </c>
      <c r="E255" s="3"/>
      <c r="F255" s="9">
        <v>38127</v>
      </c>
      <c r="G255" s="5">
        <v>18</v>
      </c>
      <c r="H255" s="3" t="s">
        <v>63</v>
      </c>
      <c r="I255" s="3" t="s">
        <v>7</v>
      </c>
      <c r="J255" s="7" t="b">
        <v>1</v>
      </c>
    </row>
    <row r="256" spans="1:10" ht="14.45" hidden="1">
      <c r="A256" s="1">
        <v>651105002</v>
      </c>
      <c r="B256" s="1">
        <v>5</v>
      </c>
      <c r="C256" s="3" t="s">
        <v>60</v>
      </c>
      <c r="D256" s="3">
        <v>7</v>
      </c>
      <c r="E256" s="3"/>
      <c r="F256" s="6">
        <v>39387</v>
      </c>
      <c r="G256" s="5">
        <v>15</v>
      </c>
      <c r="H256" s="3" t="s">
        <v>61</v>
      </c>
      <c r="I256" s="3" t="s">
        <v>7</v>
      </c>
      <c r="J256" s="7" t="b">
        <v>1</v>
      </c>
    </row>
    <row r="257" spans="1:10" ht="14.45" hidden="1">
      <c r="A257" s="1">
        <v>810317123</v>
      </c>
      <c r="B257" s="1">
        <v>4</v>
      </c>
      <c r="C257" s="3" t="s">
        <v>60</v>
      </c>
      <c r="D257" s="5">
        <v>17</v>
      </c>
      <c r="E257" s="3"/>
      <c r="F257" s="6">
        <v>40016</v>
      </c>
      <c r="G257" s="5">
        <v>13</v>
      </c>
      <c r="H257" s="3" t="s">
        <v>63</v>
      </c>
      <c r="I257" s="3" t="s">
        <v>8</v>
      </c>
      <c r="J257" s="7" t="b">
        <v>1</v>
      </c>
    </row>
    <row r="258" spans="1:10" ht="14.45" hidden="1">
      <c r="A258" s="1">
        <v>810317123</v>
      </c>
      <c r="B258" s="1">
        <v>4</v>
      </c>
      <c r="C258" s="3" t="s">
        <v>65</v>
      </c>
      <c r="D258" s="5">
        <v>15</v>
      </c>
      <c r="E258" s="3">
        <v>9</v>
      </c>
      <c r="F258" s="6">
        <v>38448</v>
      </c>
      <c r="G258" s="5">
        <v>17</v>
      </c>
      <c r="H258" s="3" t="s">
        <v>63</v>
      </c>
      <c r="I258" s="3" t="s">
        <v>7</v>
      </c>
      <c r="J258" s="7" t="b">
        <v>1</v>
      </c>
    </row>
    <row r="259" spans="1:10" ht="14.45" hidden="1">
      <c r="A259" s="1">
        <v>919611217</v>
      </c>
      <c r="B259" s="1">
        <v>8</v>
      </c>
      <c r="C259" s="3" t="s">
        <v>60</v>
      </c>
      <c r="D259" s="5">
        <v>15</v>
      </c>
      <c r="E259" s="3">
        <v>9</v>
      </c>
      <c r="F259" s="6">
        <v>38403</v>
      </c>
      <c r="G259" s="5">
        <v>17</v>
      </c>
      <c r="H259" s="3" t="s">
        <v>63</v>
      </c>
      <c r="I259" s="3" t="s">
        <v>7</v>
      </c>
      <c r="J259" s="7" t="b">
        <v>1</v>
      </c>
    </row>
    <row r="260" spans="1:10" ht="14.45">
      <c r="A260" s="1">
        <v>919617045</v>
      </c>
      <c r="B260" s="1">
        <v>2</v>
      </c>
      <c r="C260" s="3" t="s">
        <v>60</v>
      </c>
      <c r="D260" s="3">
        <v>9</v>
      </c>
      <c r="E260" s="3"/>
      <c r="F260" s="6">
        <v>41984</v>
      </c>
      <c r="G260" s="5">
        <v>7</v>
      </c>
      <c r="H260" s="3" t="s">
        <v>63</v>
      </c>
      <c r="I260" s="3" t="s">
        <v>4</v>
      </c>
      <c r="J260" s="7" t="b">
        <v>1</v>
      </c>
    </row>
    <row r="261" spans="1:10" ht="14.45">
      <c r="A261" s="1">
        <v>810513037</v>
      </c>
      <c r="B261" s="1">
        <v>8</v>
      </c>
      <c r="C261" s="3" t="s">
        <v>60</v>
      </c>
      <c r="D261" s="3">
        <v>7</v>
      </c>
      <c r="E261" s="3"/>
      <c r="F261" s="6">
        <v>38053</v>
      </c>
      <c r="G261" s="5">
        <v>18</v>
      </c>
      <c r="H261" s="3" t="s">
        <v>63</v>
      </c>
      <c r="I261" s="3" t="s">
        <v>4</v>
      </c>
      <c r="J261" s="7" t="b">
        <v>1</v>
      </c>
    </row>
    <row r="262" spans="1:10" ht="14.45" hidden="1">
      <c r="A262" s="1">
        <v>810513037</v>
      </c>
      <c r="B262" s="1">
        <v>8</v>
      </c>
      <c r="C262" s="3" t="s">
        <v>60</v>
      </c>
      <c r="D262" s="3">
        <v>9</v>
      </c>
      <c r="E262" s="3"/>
      <c r="F262" s="6">
        <v>41593</v>
      </c>
      <c r="G262" s="5">
        <v>9</v>
      </c>
      <c r="H262" s="3" t="s">
        <v>61</v>
      </c>
      <c r="I262" s="3" t="s">
        <v>7</v>
      </c>
      <c r="J262" s="7" t="b">
        <v>1</v>
      </c>
    </row>
    <row r="263" spans="1:10" ht="14.45" hidden="1">
      <c r="A263" s="1">
        <v>810513037</v>
      </c>
      <c r="B263" s="1">
        <v>8</v>
      </c>
      <c r="C263" s="3" t="s">
        <v>60</v>
      </c>
      <c r="D263" s="3">
        <v>9</v>
      </c>
      <c r="E263" s="3"/>
      <c r="F263" s="6">
        <v>42623</v>
      </c>
      <c r="G263" s="5">
        <v>6</v>
      </c>
      <c r="H263" s="3" t="s">
        <v>61</v>
      </c>
      <c r="I263" s="3" t="s">
        <v>6</v>
      </c>
      <c r="J263" s="7" t="b">
        <v>1</v>
      </c>
    </row>
    <row r="264" spans="1:10" ht="14.45" hidden="1">
      <c r="A264" s="1">
        <v>810513040</v>
      </c>
      <c r="B264" s="1">
        <v>8</v>
      </c>
      <c r="C264" s="3" t="s">
        <v>65</v>
      </c>
      <c r="D264" s="3">
        <v>5</v>
      </c>
      <c r="E264" s="3"/>
      <c r="F264" s="6">
        <v>39486</v>
      </c>
      <c r="G264" s="5">
        <v>14</v>
      </c>
      <c r="H264" s="3" t="s">
        <v>61</v>
      </c>
      <c r="I264" s="3" t="s">
        <v>7</v>
      </c>
      <c r="J264" s="7" t="b">
        <v>1</v>
      </c>
    </row>
    <row r="265" spans="1:10" ht="14.45" hidden="1">
      <c r="A265" s="1">
        <v>810821044</v>
      </c>
      <c r="B265" s="1" t="s">
        <v>41</v>
      </c>
      <c r="C265" s="3" t="s">
        <v>60</v>
      </c>
      <c r="D265" s="3">
        <v>9</v>
      </c>
      <c r="E265" s="3"/>
      <c r="F265" s="6">
        <v>42824</v>
      </c>
      <c r="G265" s="5">
        <v>5</v>
      </c>
      <c r="H265" s="3" t="s">
        <v>63</v>
      </c>
      <c r="I265" s="3" t="s">
        <v>7</v>
      </c>
      <c r="J265" s="7" t="b">
        <v>1</v>
      </c>
    </row>
    <row r="266" spans="1:10" ht="14.45" hidden="1">
      <c r="A266" s="1">
        <v>811111012</v>
      </c>
      <c r="B266" s="1">
        <v>10</v>
      </c>
      <c r="C266" s="3" t="s">
        <v>60</v>
      </c>
      <c r="D266" s="3">
        <v>9</v>
      </c>
      <c r="E266" s="3"/>
      <c r="F266" s="6">
        <v>42321</v>
      </c>
      <c r="G266" s="5">
        <v>7</v>
      </c>
      <c r="H266" s="3" t="s">
        <v>63</v>
      </c>
      <c r="I266" s="3" t="s">
        <v>7</v>
      </c>
      <c r="J266" s="7" t="b">
        <v>1</v>
      </c>
    </row>
    <row r="267" spans="1:10" ht="14.45" hidden="1">
      <c r="A267" s="1">
        <v>811710088</v>
      </c>
      <c r="B267" s="1">
        <v>11</v>
      </c>
      <c r="C267" s="3" t="s">
        <v>60</v>
      </c>
      <c r="D267" s="3">
        <v>9</v>
      </c>
      <c r="E267" s="3"/>
      <c r="F267" s="6">
        <v>42062</v>
      </c>
      <c r="G267" s="5">
        <v>7</v>
      </c>
      <c r="H267" s="3" t="s">
        <v>63</v>
      </c>
      <c r="I267" s="3" t="s">
        <v>7</v>
      </c>
      <c r="J267" s="7" t="b">
        <v>1</v>
      </c>
    </row>
    <row r="268" spans="1:10" ht="14.45" hidden="1">
      <c r="A268" s="1">
        <v>811710922</v>
      </c>
      <c r="B268" s="1">
        <v>7</v>
      </c>
      <c r="C268" s="3" t="s">
        <v>60</v>
      </c>
      <c r="D268" s="3">
        <v>7</v>
      </c>
      <c r="E268" s="3"/>
      <c r="F268" s="6">
        <v>39463</v>
      </c>
      <c r="G268" s="5">
        <v>14</v>
      </c>
      <c r="H268" s="3" t="s">
        <v>61</v>
      </c>
      <c r="I268" s="3" t="s">
        <v>7</v>
      </c>
      <c r="J268" s="7" t="b">
        <v>1</v>
      </c>
    </row>
    <row r="269" spans="1:10" ht="14.45" hidden="1">
      <c r="A269" s="1">
        <v>811710922</v>
      </c>
      <c r="B269" s="1">
        <v>7</v>
      </c>
      <c r="C269" s="3" t="s">
        <v>60</v>
      </c>
      <c r="D269" s="3">
        <v>7</v>
      </c>
      <c r="E269" s="3"/>
      <c r="F269" s="6">
        <v>40361</v>
      </c>
      <c r="G269" s="5">
        <v>12</v>
      </c>
      <c r="H269" s="3" t="s">
        <v>63</v>
      </c>
      <c r="I269" s="3" t="s">
        <v>7</v>
      </c>
      <c r="J269" s="7" t="b">
        <v>1</v>
      </c>
    </row>
    <row r="270" spans="1:10" ht="14.45">
      <c r="A270" s="1">
        <v>811710922</v>
      </c>
      <c r="B270" s="1">
        <v>7</v>
      </c>
      <c r="C270" s="3" t="s">
        <v>60</v>
      </c>
      <c r="D270" s="3">
        <v>8</v>
      </c>
      <c r="E270" s="3"/>
      <c r="F270" s="9">
        <v>42499</v>
      </c>
      <c r="G270" s="5">
        <v>6</v>
      </c>
      <c r="H270" s="3" t="s">
        <v>63</v>
      </c>
      <c r="I270" s="3" t="s">
        <v>4</v>
      </c>
      <c r="J270" s="7" t="b">
        <v>1</v>
      </c>
    </row>
    <row r="271" spans="1:10" ht="14.45" hidden="1">
      <c r="A271" s="1">
        <v>811710922</v>
      </c>
      <c r="B271" s="1">
        <v>7</v>
      </c>
      <c r="C271" s="3" t="s">
        <v>60</v>
      </c>
      <c r="D271" s="3">
        <v>7</v>
      </c>
      <c r="E271" s="3"/>
      <c r="F271" s="6">
        <v>41340</v>
      </c>
      <c r="G271" s="5">
        <v>9</v>
      </c>
      <c r="H271" s="3" t="s">
        <v>61</v>
      </c>
      <c r="I271" s="3" t="s">
        <v>7</v>
      </c>
      <c r="J271" s="7" t="b">
        <v>1</v>
      </c>
    </row>
    <row r="272" spans="1:10" ht="14.45" hidden="1">
      <c r="A272" s="1">
        <v>811711060</v>
      </c>
      <c r="B272" s="1">
        <v>10</v>
      </c>
      <c r="C272" s="3" t="s">
        <v>60</v>
      </c>
      <c r="D272" s="3">
        <v>8</v>
      </c>
      <c r="E272" s="3">
        <v>9</v>
      </c>
      <c r="F272" s="6">
        <v>42667</v>
      </c>
      <c r="G272" s="5">
        <v>6</v>
      </c>
      <c r="H272" s="3" t="s">
        <v>63</v>
      </c>
      <c r="I272" s="3" t="s">
        <v>7</v>
      </c>
      <c r="J272" s="7" t="b">
        <v>1</v>
      </c>
    </row>
    <row r="273" spans="1:10" ht="14.45" hidden="1">
      <c r="A273" s="1">
        <v>811711090</v>
      </c>
      <c r="B273" s="1">
        <v>9</v>
      </c>
      <c r="C273" s="3" t="s">
        <v>60</v>
      </c>
      <c r="D273" s="3">
        <v>9</v>
      </c>
      <c r="E273" s="3"/>
      <c r="F273" s="6">
        <v>42219</v>
      </c>
      <c r="G273" s="5">
        <v>7</v>
      </c>
      <c r="H273" s="3" t="s">
        <v>63</v>
      </c>
      <c r="I273" s="3" t="s">
        <v>7</v>
      </c>
      <c r="J273" s="7" t="b">
        <v>1</v>
      </c>
    </row>
    <row r="274" spans="1:10" ht="14.45" hidden="1">
      <c r="A274" s="1">
        <v>811711090</v>
      </c>
      <c r="B274" s="1">
        <v>9</v>
      </c>
      <c r="C274" s="3" t="s">
        <v>60</v>
      </c>
      <c r="D274" s="3">
        <v>9</v>
      </c>
      <c r="E274" s="3"/>
      <c r="F274" s="6">
        <v>39710</v>
      </c>
      <c r="G274" s="5">
        <v>14</v>
      </c>
      <c r="H274" s="3" t="s">
        <v>63</v>
      </c>
      <c r="I274" s="3" t="s">
        <v>8</v>
      </c>
      <c r="J274" s="7" t="b">
        <v>1</v>
      </c>
    </row>
    <row r="275" spans="1:10" ht="14.45" hidden="1">
      <c r="A275" s="1">
        <v>811711090</v>
      </c>
      <c r="B275" s="1">
        <v>9</v>
      </c>
      <c r="C275" s="3" t="s">
        <v>60</v>
      </c>
      <c r="D275" s="3">
        <v>7</v>
      </c>
      <c r="E275" s="3">
        <v>9</v>
      </c>
      <c r="F275" s="6">
        <v>39020</v>
      </c>
      <c r="G275" s="5">
        <v>16</v>
      </c>
      <c r="H275" s="3" t="s">
        <v>61</v>
      </c>
      <c r="I275" s="3" t="s">
        <v>7</v>
      </c>
      <c r="J275" s="7" t="b">
        <v>1</v>
      </c>
    </row>
    <row r="276" spans="1:10" ht="14.45" hidden="1">
      <c r="A276" s="1">
        <v>811711090</v>
      </c>
      <c r="B276" s="1">
        <v>9</v>
      </c>
      <c r="C276" s="3" t="s">
        <v>60</v>
      </c>
      <c r="D276" s="3">
        <v>9</v>
      </c>
      <c r="E276" s="3"/>
      <c r="F276" s="6">
        <v>40661</v>
      </c>
      <c r="G276" s="5">
        <v>11</v>
      </c>
      <c r="H276" s="3" t="s">
        <v>61</v>
      </c>
      <c r="I276" s="3" t="s">
        <v>7</v>
      </c>
      <c r="J276" s="7" t="b">
        <v>1</v>
      </c>
    </row>
    <row r="277" spans="1:10" ht="14.45" hidden="1">
      <c r="A277" s="1">
        <v>811711090</v>
      </c>
      <c r="B277" s="1">
        <v>9</v>
      </c>
      <c r="C277" s="3" t="s">
        <v>60</v>
      </c>
      <c r="D277" s="3">
        <v>9</v>
      </c>
      <c r="E277" s="3"/>
      <c r="F277" s="6">
        <v>42424</v>
      </c>
      <c r="G277" s="5">
        <v>6</v>
      </c>
      <c r="H277" s="3" t="s">
        <v>61</v>
      </c>
      <c r="I277" s="3" t="s">
        <v>7</v>
      </c>
      <c r="J277" s="7" t="b">
        <v>1</v>
      </c>
    </row>
    <row r="278" spans="1:10" ht="14.45" hidden="1">
      <c r="A278" s="1">
        <v>811711090</v>
      </c>
      <c r="B278" s="1">
        <v>9</v>
      </c>
      <c r="C278" s="3" t="s">
        <v>60</v>
      </c>
      <c r="D278" s="5">
        <v>17</v>
      </c>
      <c r="E278" s="3"/>
      <c r="F278" s="6">
        <v>38254</v>
      </c>
      <c r="G278" s="5">
        <v>18</v>
      </c>
      <c r="H278" s="3" t="s">
        <v>63</v>
      </c>
      <c r="I278" s="3" t="s">
        <v>7</v>
      </c>
      <c r="J278" s="7" t="b">
        <v>1</v>
      </c>
    </row>
    <row r="279" spans="1:10" ht="14.45" hidden="1">
      <c r="A279" s="1">
        <v>811711090</v>
      </c>
      <c r="B279" s="1">
        <v>9</v>
      </c>
      <c r="C279" s="3" t="s">
        <v>60</v>
      </c>
      <c r="D279" s="3">
        <v>8</v>
      </c>
      <c r="E279" s="3">
        <v>9</v>
      </c>
      <c r="F279" s="6">
        <v>41865</v>
      </c>
      <c r="G279" s="5">
        <v>8</v>
      </c>
      <c r="H279" s="3" t="s">
        <v>63</v>
      </c>
      <c r="I279" s="3" t="s">
        <v>7</v>
      </c>
      <c r="J279" s="7" t="b">
        <v>1</v>
      </c>
    </row>
    <row r="280" spans="1:10" ht="14.45" hidden="1">
      <c r="A280" s="1">
        <v>811711090</v>
      </c>
      <c r="B280" s="1">
        <v>9</v>
      </c>
      <c r="C280" s="3" t="s">
        <v>60</v>
      </c>
      <c r="D280" s="3">
        <v>9</v>
      </c>
      <c r="E280" s="3"/>
      <c r="F280" s="9">
        <v>40316</v>
      </c>
      <c r="G280" s="5">
        <v>12</v>
      </c>
      <c r="H280" s="3" t="s">
        <v>61</v>
      </c>
      <c r="I280" s="3" t="s">
        <v>8</v>
      </c>
      <c r="J280" s="7" t="b">
        <v>1</v>
      </c>
    </row>
    <row r="281" spans="1:10" ht="14.45" hidden="1">
      <c r="A281" s="1">
        <v>811711153</v>
      </c>
      <c r="B281" s="1">
        <v>10</v>
      </c>
      <c r="C281" s="3" t="s">
        <v>60</v>
      </c>
      <c r="D281" s="5">
        <v>17</v>
      </c>
      <c r="E281" s="3">
        <v>7</v>
      </c>
      <c r="F281" s="6">
        <v>38774</v>
      </c>
      <c r="G281" s="5">
        <v>16</v>
      </c>
      <c r="H281" s="3" t="s">
        <v>61</v>
      </c>
      <c r="I281" s="3" t="s">
        <v>7</v>
      </c>
      <c r="J281" s="7" t="b">
        <v>1</v>
      </c>
    </row>
    <row r="282" spans="1:10" ht="14.45" hidden="1">
      <c r="A282" s="1">
        <v>811711165</v>
      </c>
      <c r="B282" s="1">
        <v>8</v>
      </c>
      <c r="C282" s="3" t="s">
        <v>60</v>
      </c>
      <c r="D282" s="3">
        <v>7</v>
      </c>
      <c r="E282" s="3"/>
      <c r="F282" s="6">
        <v>39465</v>
      </c>
      <c r="G282" s="5">
        <v>14</v>
      </c>
      <c r="H282" s="3" t="s">
        <v>61</v>
      </c>
      <c r="I282" s="3" t="s">
        <v>7</v>
      </c>
      <c r="J282" s="7" t="b">
        <v>1</v>
      </c>
    </row>
    <row r="283" spans="1:10" ht="14.45" hidden="1">
      <c r="A283" s="1">
        <v>811711165</v>
      </c>
      <c r="B283" s="1">
        <v>8</v>
      </c>
      <c r="C283" s="3" t="s">
        <v>60</v>
      </c>
      <c r="D283" s="3">
        <v>7</v>
      </c>
      <c r="E283" s="3"/>
      <c r="F283" s="6">
        <v>38688</v>
      </c>
      <c r="G283" s="5">
        <v>16</v>
      </c>
      <c r="H283" s="3" t="s">
        <v>61</v>
      </c>
      <c r="I283" s="3" t="s">
        <v>7</v>
      </c>
      <c r="J283" s="7" t="b">
        <v>1</v>
      </c>
    </row>
    <row r="284" spans="1:10" ht="14.45" hidden="1">
      <c r="A284" s="1">
        <v>811711165</v>
      </c>
      <c r="B284" s="1">
        <v>8</v>
      </c>
      <c r="C284" s="3" t="s">
        <v>60</v>
      </c>
      <c r="D284" s="3">
        <v>9</v>
      </c>
      <c r="E284" s="3"/>
      <c r="F284" s="6">
        <v>40883</v>
      </c>
      <c r="G284" s="5">
        <v>10</v>
      </c>
      <c r="H284" s="3" t="s">
        <v>63</v>
      </c>
      <c r="I284" s="3" t="s">
        <v>7</v>
      </c>
      <c r="J284" s="7" t="b">
        <v>1</v>
      </c>
    </row>
    <row r="285" spans="1:10" ht="14.45" hidden="1">
      <c r="A285" s="1">
        <v>811711165</v>
      </c>
      <c r="B285" s="1">
        <v>8</v>
      </c>
      <c r="C285" s="3" t="s">
        <v>60</v>
      </c>
      <c r="D285" s="3">
        <v>8</v>
      </c>
      <c r="E285" s="3">
        <v>9</v>
      </c>
      <c r="F285" s="6">
        <v>42909</v>
      </c>
      <c r="G285" s="5">
        <v>5</v>
      </c>
      <c r="H285" s="3" t="s">
        <v>63</v>
      </c>
      <c r="I285" s="3" t="s">
        <v>7</v>
      </c>
      <c r="J285" s="7" t="b">
        <v>1</v>
      </c>
    </row>
    <row r="286" spans="1:10" ht="14.45" hidden="1">
      <c r="A286" s="1">
        <v>811711165</v>
      </c>
      <c r="B286" s="1">
        <v>8</v>
      </c>
      <c r="C286" s="3" t="s">
        <v>62</v>
      </c>
      <c r="D286" s="3">
        <v>5</v>
      </c>
      <c r="E286" s="3">
        <v>9</v>
      </c>
      <c r="F286" s="6">
        <v>38562</v>
      </c>
      <c r="G286" s="5">
        <v>17</v>
      </c>
      <c r="H286" s="3" t="s">
        <v>63</v>
      </c>
      <c r="I286" s="3" t="s">
        <v>7</v>
      </c>
      <c r="J286" s="7" t="b">
        <v>1</v>
      </c>
    </row>
    <row r="287" spans="1:10" ht="14.45" hidden="1">
      <c r="A287" s="1">
        <v>811711165</v>
      </c>
      <c r="B287" s="1">
        <v>8</v>
      </c>
      <c r="C287" s="3" t="s">
        <v>60</v>
      </c>
      <c r="D287" s="3">
        <v>9</v>
      </c>
      <c r="E287" s="3"/>
      <c r="F287" s="6">
        <v>41689</v>
      </c>
      <c r="G287" s="5">
        <v>8</v>
      </c>
      <c r="H287" s="3" t="s">
        <v>63</v>
      </c>
      <c r="I287" s="3" t="s">
        <v>7</v>
      </c>
      <c r="J287" s="7" t="b">
        <v>1</v>
      </c>
    </row>
    <row r="288" spans="1:10" ht="14.45" hidden="1">
      <c r="A288" s="1">
        <v>811711165</v>
      </c>
      <c r="B288" s="1">
        <v>8</v>
      </c>
      <c r="C288" s="3" t="s">
        <v>60</v>
      </c>
      <c r="D288" s="3">
        <v>8</v>
      </c>
      <c r="E288" s="3">
        <v>9</v>
      </c>
      <c r="F288" s="6">
        <v>41801</v>
      </c>
      <c r="G288" s="5">
        <v>8</v>
      </c>
      <c r="H288" s="3" t="s">
        <v>63</v>
      </c>
      <c r="I288" s="3" t="s">
        <v>7</v>
      </c>
      <c r="J288" s="7" t="b">
        <v>1</v>
      </c>
    </row>
    <row r="289" spans="1:10" ht="14.45">
      <c r="A289" s="1">
        <v>811711165</v>
      </c>
      <c r="B289" s="1">
        <v>8</v>
      </c>
      <c r="C289" s="3" t="s">
        <v>62</v>
      </c>
      <c r="D289" s="3">
        <v>1</v>
      </c>
      <c r="E289" s="3">
        <v>9</v>
      </c>
      <c r="F289" s="9">
        <v>38500</v>
      </c>
      <c r="G289" s="5">
        <v>17</v>
      </c>
      <c r="H289" s="3" t="s">
        <v>61</v>
      </c>
      <c r="I289" s="3" t="s">
        <v>4</v>
      </c>
      <c r="J289" s="7" t="b">
        <v>1</v>
      </c>
    </row>
    <row r="290" spans="1:10" ht="14.45" hidden="1">
      <c r="A290" s="1">
        <v>811711165</v>
      </c>
      <c r="B290" s="1">
        <v>8</v>
      </c>
      <c r="C290" s="3" t="s">
        <v>60</v>
      </c>
      <c r="D290" s="3">
        <v>7</v>
      </c>
      <c r="E290" s="3">
        <v>9</v>
      </c>
      <c r="F290" s="6">
        <v>41850</v>
      </c>
      <c r="G290" s="5">
        <v>8</v>
      </c>
      <c r="H290" s="3" t="s">
        <v>63</v>
      </c>
      <c r="I290" s="3" t="s">
        <v>7</v>
      </c>
      <c r="J290" s="7" t="b">
        <v>1</v>
      </c>
    </row>
    <row r="291" spans="1:10" ht="14.45" hidden="1">
      <c r="A291" s="1">
        <v>811713015</v>
      </c>
      <c r="B291" s="1">
        <v>8</v>
      </c>
      <c r="C291" s="3" t="s">
        <v>60</v>
      </c>
      <c r="D291" s="3">
        <v>8</v>
      </c>
      <c r="E291" s="3">
        <v>9</v>
      </c>
      <c r="F291" s="6">
        <v>42489</v>
      </c>
      <c r="G291" s="5">
        <v>6</v>
      </c>
      <c r="H291" s="3" t="s">
        <v>63</v>
      </c>
      <c r="I291" s="3" t="s">
        <v>7</v>
      </c>
      <c r="J291" s="7" t="b">
        <v>1</v>
      </c>
    </row>
    <row r="292" spans="1:10" ht="14.45" hidden="1">
      <c r="A292" s="1">
        <v>811713015</v>
      </c>
      <c r="B292" s="1">
        <v>8</v>
      </c>
      <c r="C292" s="3" t="s">
        <v>155</v>
      </c>
      <c r="D292" s="5">
        <v>15</v>
      </c>
      <c r="E292" s="3">
        <v>9</v>
      </c>
      <c r="F292" s="6">
        <v>42429</v>
      </c>
      <c r="G292" s="5">
        <v>6</v>
      </c>
      <c r="H292" s="3" t="s">
        <v>63</v>
      </c>
      <c r="I292" s="3" t="s">
        <v>7</v>
      </c>
      <c r="J292" s="7" t="b">
        <v>1</v>
      </c>
    </row>
    <row r="293" spans="1:10" ht="14.45" hidden="1">
      <c r="A293" s="1">
        <v>811713028</v>
      </c>
      <c r="B293" s="1">
        <v>8</v>
      </c>
      <c r="C293" s="3" t="s">
        <v>60</v>
      </c>
      <c r="D293" s="3">
        <v>7</v>
      </c>
      <c r="E293" s="3"/>
      <c r="F293" s="6">
        <v>39374</v>
      </c>
      <c r="G293" s="5">
        <v>15</v>
      </c>
      <c r="H293" s="3" t="s">
        <v>63</v>
      </c>
      <c r="I293" s="3" t="s">
        <v>7</v>
      </c>
      <c r="J293" s="7" t="b">
        <v>1</v>
      </c>
    </row>
    <row r="294" spans="1:10" ht="13.9" hidden="1">
      <c r="A294" s="5">
        <v>800617095</v>
      </c>
      <c r="B294" s="3">
        <v>3</v>
      </c>
      <c r="C294" s="3" t="s">
        <v>65</v>
      </c>
      <c r="D294" s="3">
        <v>8</v>
      </c>
      <c r="E294" s="3">
        <v>9</v>
      </c>
      <c r="F294" s="6">
        <v>41717</v>
      </c>
      <c r="G294" s="5">
        <v>8</v>
      </c>
      <c r="H294" s="3" t="s">
        <v>63</v>
      </c>
      <c r="I294" s="3" t="s">
        <v>7</v>
      </c>
      <c r="J294" s="7" t="b">
        <v>1</v>
      </c>
    </row>
    <row r="295" spans="1:10" ht="13.9">
      <c r="A295" s="5">
        <v>560221264</v>
      </c>
      <c r="B295" s="3" t="s">
        <v>41</v>
      </c>
      <c r="C295" s="3" t="s">
        <v>60</v>
      </c>
      <c r="D295" s="3">
        <v>9</v>
      </c>
      <c r="E295" s="3"/>
      <c r="F295" s="6">
        <v>42408</v>
      </c>
      <c r="G295" s="5">
        <v>6</v>
      </c>
      <c r="H295" s="3" t="s">
        <v>63</v>
      </c>
      <c r="I295" s="3" t="s">
        <v>4</v>
      </c>
      <c r="J295" s="7" t="b">
        <v>1</v>
      </c>
    </row>
    <row r="296" spans="1:10" ht="13.9" hidden="1">
      <c r="A296" s="5">
        <v>860711100</v>
      </c>
      <c r="B296" s="3">
        <v>9</v>
      </c>
      <c r="C296" s="3" t="s">
        <v>60</v>
      </c>
      <c r="D296" s="5">
        <v>17</v>
      </c>
      <c r="E296" s="3"/>
      <c r="F296" s="6">
        <v>38631</v>
      </c>
      <c r="G296" s="5">
        <v>17</v>
      </c>
      <c r="H296" s="3" t="s">
        <v>61</v>
      </c>
      <c r="I296" s="3" t="s">
        <v>7</v>
      </c>
      <c r="J296" s="7" t="b">
        <v>1</v>
      </c>
    </row>
    <row r="297" spans="1:10" ht="13.9" hidden="1">
      <c r="A297" s="3">
        <v>98111104</v>
      </c>
      <c r="B297" s="3">
        <v>9</v>
      </c>
      <c r="C297" s="3" t="s">
        <v>60</v>
      </c>
      <c r="D297" s="5">
        <v>15</v>
      </c>
      <c r="E297" s="3">
        <v>9</v>
      </c>
      <c r="F297" s="6">
        <v>39462</v>
      </c>
      <c r="G297" s="5">
        <v>14</v>
      </c>
      <c r="H297" s="3" t="s">
        <v>63</v>
      </c>
      <c r="I297" s="3" t="s">
        <v>7</v>
      </c>
      <c r="J297" s="7" t="b">
        <v>1</v>
      </c>
    </row>
    <row r="298" spans="1:10" ht="13.9" hidden="1">
      <c r="A298" s="5">
        <v>832715122</v>
      </c>
      <c r="B298" s="3">
        <v>6</v>
      </c>
      <c r="C298" s="3" t="s">
        <v>60</v>
      </c>
      <c r="D298" s="3">
        <v>7</v>
      </c>
      <c r="E298" s="3">
        <v>9</v>
      </c>
      <c r="F298" s="6">
        <v>40490</v>
      </c>
      <c r="G298" s="5">
        <v>12</v>
      </c>
      <c r="H298" s="3" t="s">
        <v>61</v>
      </c>
      <c r="I298" s="3" t="s">
        <v>7</v>
      </c>
      <c r="J298" s="7" t="b">
        <v>1</v>
      </c>
    </row>
    <row r="299" spans="1:10" ht="13.9" hidden="1">
      <c r="A299" s="5">
        <v>850912047</v>
      </c>
      <c r="B299" s="3">
        <v>8</v>
      </c>
      <c r="C299" s="3" t="s">
        <v>65</v>
      </c>
      <c r="D299" s="5">
        <v>17</v>
      </c>
      <c r="E299" s="3"/>
      <c r="F299" s="6">
        <v>39608</v>
      </c>
      <c r="G299" s="5">
        <v>14</v>
      </c>
      <c r="H299" s="3" t="s">
        <v>61</v>
      </c>
      <c r="I299" s="3" t="s">
        <v>7</v>
      </c>
      <c r="J299" s="7" t="b">
        <v>1</v>
      </c>
    </row>
    <row r="300" spans="1:10" ht="13.9" hidden="1">
      <c r="A300" s="5">
        <v>820917057</v>
      </c>
      <c r="B300" s="3">
        <v>3</v>
      </c>
      <c r="C300" s="3" t="s">
        <v>60</v>
      </c>
      <c r="D300" s="3">
        <v>9</v>
      </c>
      <c r="E300" s="3"/>
      <c r="F300" s="9">
        <v>41761</v>
      </c>
      <c r="G300" s="5">
        <v>8</v>
      </c>
      <c r="H300" s="3" t="s">
        <v>63</v>
      </c>
      <c r="I300" s="3" t="s">
        <v>6</v>
      </c>
      <c r="J300" s="7" t="b">
        <v>1</v>
      </c>
    </row>
    <row r="301" spans="1:10" ht="13.9" hidden="1">
      <c r="A301" s="5">
        <v>843120078</v>
      </c>
      <c r="B301" s="3" t="s">
        <v>41</v>
      </c>
      <c r="C301" s="3" t="s">
        <v>60</v>
      </c>
      <c r="D301" s="3">
        <v>8</v>
      </c>
      <c r="E301" s="3">
        <v>9</v>
      </c>
      <c r="F301" s="6">
        <v>42782</v>
      </c>
      <c r="G301" s="5">
        <v>5</v>
      </c>
      <c r="H301" s="3" t="s">
        <v>63</v>
      </c>
      <c r="I301" s="3" t="s">
        <v>7</v>
      </c>
      <c r="J301" s="7" t="b">
        <v>1</v>
      </c>
    </row>
    <row r="302" spans="1:10" ht="13.9" hidden="1">
      <c r="A302" s="5">
        <v>804211187</v>
      </c>
      <c r="B302" s="5">
        <v>12</v>
      </c>
      <c r="C302" s="3" t="s">
        <v>60</v>
      </c>
      <c r="D302" s="5">
        <v>17</v>
      </c>
      <c r="E302" s="3"/>
      <c r="F302" s="6">
        <v>38575</v>
      </c>
      <c r="G302" s="5">
        <v>17</v>
      </c>
      <c r="H302" s="3" t="s">
        <v>61</v>
      </c>
      <c r="I302" s="3" t="s">
        <v>6</v>
      </c>
      <c r="J302" s="7" t="b">
        <v>1</v>
      </c>
    </row>
    <row r="303" spans="1:10" ht="13.9" hidden="1">
      <c r="A303" s="5">
        <v>839608074</v>
      </c>
      <c r="B303" s="5">
        <v>11</v>
      </c>
      <c r="C303" s="3" t="s">
        <v>62</v>
      </c>
      <c r="D303" s="5">
        <v>15</v>
      </c>
      <c r="E303" s="5">
        <v>10</v>
      </c>
      <c r="F303" s="6">
        <v>38446</v>
      </c>
      <c r="G303" s="5">
        <v>17</v>
      </c>
      <c r="H303" s="3" t="s">
        <v>63</v>
      </c>
      <c r="I303" s="3" t="s">
        <v>7</v>
      </c>
      <c r="J303" s="7" t="b">
        <v>1</v>
      </c>
    </row>
    <row r="304" spans="1:10" ht="13.9" hidden="1">
      <c r="A304" s="5">
        <v>610908304</v>
      </c>
      <c r="B304" s="5">
        <v>11</v>
      </c>
      <c r="C304" s="3" t="s">
        <v>65</v>
      </c>
      <c r="D304" s="5">
        <v>11</v>
      </c>
      <c r="E304" s="3"/>
      <c r="F304" s="6">
        <v>38625</v>
      </c>
      <c r="G304" s="5">
        <v>17</v>
      </c>
      <c r="H304" s="3" t="s">
        <v>63</v>
      </c>
      <c r="I304" s="3" t="s">
        <v>7</v>
      </c>
      <c r="J304" s="7" t="b">
        <v>1</v>
      </c>
    </row>
    <row r="305" spans="1:10" ht="13.9" hidden="1">
      <c r="A305" s="5">
        <v>860920012</v>
      </c>
      <c r="B305" s="3">
        <v>1</v>
      </c>
      <c r="C305" s="3" t="s">
        <v>60</v>
      </c>
      <c r="D305" s="3">
        <v>8</v>
      </c>
      <c r="E305" s="3">
        <v>9</v>
      </c>
      <c r="F305" s="6">
        <v>42004</v>
      </c>
      <c r="G305" s="5">
        <v>7</v>
      </c>
      <c r="H305" s="3" t="s">
        <v>63</v>
      </c>
      <c r="I305" s="3" t="s">
        <v>7</v>
      </c>
      <c r="J305" s="7" t="b">
        <v>1</v>
      </c>
    </row>
    <row r="306" spans="1:10" ht="13.9" hidden="1">
      <c r="A306" s="5">
        <v>795219125</v>
      </c>
      <c r="B306" s="3">
        <v>4</v>
      </c>
      <c r="C306" s="3" t="s">
        <v>60</v>
      </c>
      <c r="D306" s="3">
        <v>7</v>
      </c>
      <c r="E306" s="3">
        <v>9</v>
      </c>
      <c r="F306" s="6">
        <v>40962</v>
      </c>
      <c r="G306" s="5">
        <v>10</v>
      </c>
      <c r="H306" s="3" t="s">
        <v>61</v>
      </c>
      <c r="I306" s="3" t="s">
        <v>7</v>
      </c>
      <c r="J306" s="7" t="b">
        <v>1</v>
      </c>
    </row>
    <row r="307" spans="1:10" ht="13.9" hidden="1">
      <c r="A307" s="5">
        <v>865607087</v>
      </c>
      <c r="B307" s="5">
        <v>13</v>
      </c>
      <c r="C307" s="3" t="s">
        <v>62</v>
      </c>
      <c r="D307" s="5">
        <v>17</v>
      </c>
      <c r="E307" s="3">
        <v>9</v>
      </c>
      <c r="F307" s="9">
        <v>38135</v>
      </c>
      <c r="G307" s="5">
        <v>18</v>
      </c>
      <c r="H307" s="3" t="s">
        <v>63</v>
      </c>
      <c r="I307" s="3" t="s">
        <v>7</v>
      </c>
      <c r="J307" s="7" t="b">
        <v>1</v>
      </c>
    </row>
    <row r="308" spans="1:10" ht="13.9" hidden="1">
      <c r="A308" s="5">
        <v>224112018</v>
      </c>
      <c r="B308" s="3">
        <v>9</v>
      </c>
      <c r="C308" s="3" t="s">
        <v>60</v>
      </c>
      <c r="D308" s="3">
        <v>7</v>
      </c>
      <c r="E308" s="3"/>
      <c r="F308" s="6">
        <v>39476</v>
      </c>
      <c r="G308" s="5">
        <v>14</v>
      </c>
      <c r="H308" s="3" t="s">
        <v>63</v>
      </c>
      <c r="I308" s="3" t="s">
        <v>7</v>
      </c>
      <c r="J308" s="7" t="b">
        <v>1</v>
      </c>
    </row>
    <row r="309" spans="1:10" ht="13.9" hidden="1">
      <c r="A309" s="5">
        <v>711710226</v>
      </c>
      <c r="B309" s="3">
        <v>9</v>
      </c>
      <c r="C309" s="3" t="s">
        <v>60</v>
      </c>
      <c r="D309" s="3">
        <v>9</v>
      </c>
      <c r="E309" s="3"/>
      <c r="F309" s="6">
        <v>39281</v>
      </c>
      <c r="G309" s="5">
        <v>15</v>
      </c>
      <c r="H309" s="3" t="s">
        <v>63</v>
      </c>
      <c r="I309" s="3" t="s">
        <v>7</v>
      </c>
      <c r="J309" s="7" t="b">
        <v>1</v>
      </c>
    </row>
    <row r="310" spans="1:10" ht="13.9" hidden="1">
      <c r="A310" s="5">
        <v>881310047</v>
      </c>
      <c r="B310" s="5">
        <v>11</v>
      </c>
      <c r="C310" s="3" t="s">
        <v>60</v>
      </c>
      <c r="D310" s="3">
        <v>7</v>
      </c>
      <c r="E310" s="3"/>
      <c r="F310" s="6">
        <v>38558</v>
      </c>
      <c r="G310" s="5">
        <v>17</v>
      </c>
      <c r="H310" s="3" t="s">
        <v>63</v>
      </c>
      <c r="I310" s="3" t="s">
        <v>7</v>
      </c>
      <c r="J310" s="7" t="b">
        <v>1</v>
      </c>
    </row>
    <row r="311" spans="1:10" ht="13.9" hidden="1">
      <c r="A311" s="3">
        <v>22916106</v>
      </c>
      <c r="B311" s="3">
        <v>5</v>
      </c>
      <c r="C311" s="3" t="s">
        <v>60</v>
      </c>
      <c r="D311" s="5">
        <v>17</v>
      </c>
      <c r="E311" s="3"/>
      <c r="F311" s="6">
        <v>41027</v>
      </c>
      <c r="G311" s="5">
        <v>10</v>
      </c>
      <c r="H311" s="3" t="s">
        <v>63</v>
      </c>
      <c r="I311" s="3" t="s">
        <v>7</v>
      </c>
      <c r="J311" s="7" t="b">
        <v>1</v>
      </c>
    </row>
    <row r="312" spans="1:10" ht="13.9">
      <c r="A312" s="5">
        <v>877913120</v>
      </c>
      <c r="B312" s="3">
        <v>9</v>
      </c>
      <c r="C312" s="3" t="s">
        <v>60</v>
      </c>
      <c r="D312" s="5">
        <v>17</v>
      </c>
      <c r="E312" s="3"/>
      <c r="F312" s="6">
        <v>39562</v>
      </c>
      <c r="G312" s="5">
        <v>14</v>
      </c>
      <c r="H312" s="3" t="s">
        <v>61</v>
      </c>
      <c r="I312" s="3" t="s">
        <v>4</v>
      </c>
      <c r="J312" s="7" t="b">
        <v>1</v>
      </c>
    </row>
    <row r="313" spans="1:10" ht="13.9" hidden="1">
      <c r="A313" s="5">
        <v>811719921</v>
      </c>
      <c r="B313" s="3" t="s">
        <v>41</v>
      </c>
      <c r="C313" s="3" t="s">
        <v>60</v>
      </c>
      <c r="D313" s="3">
        <v>9</v>
      </c>
      <c r="E313" s="3"/>
      <c r="F313" s="6">
        <v>42634</v>
      </c>
      <c r="G313" s="5">
        <v>6</v>
      </c>
      <c r="H313" s="3" t="s">
        <v>63</v>
      </c>
      <c r="I313" s="3" t="s">
        <v>7</v>
      </c>
      <c r="J313" s="7" t="b">
        <v>1</v>
      </c>
    </row>
    <row r="314" spans="1:10" ht="13.9" hidden="1">
      <c r="A314" s="5">
        <v>832718119</v>
      </c>
      <c r="B314" s="3">
        <v>2</v>
      </c>
      <c r="C314" s="3" t="s">
        <v>62</v>
      </c>
      <c r="D314" s="5">
        <v>15</v>
      </c>
      <c r="E314" s="3">
        <v>9</v>
      </c>
      <c r="F314" s="6">
        <v>42017</v>
      </c>
      <c r="G314" s="5">
        <v>7</v>
      </c>
      <c r="H314" s="3" t="s">
        <v>63</v>
      </c>
      <c r="I314" s="3" t="s">
        <v>7</v>
      </c>
      <c r="J314" s="7" t="b">
        <v>1</v>
      </c>
    </row>
    <row r="315" spans="1:10" ht="13.9" hidden="1">
      <c r="A315" s="5">
        <v>801710107</v>
      </c>
      <c r="B315" s="3">
        <v>8</v>
      </c>
      <c r="C315" s="3" t="s">
        <v>62</v>
      </c>
      <c r="D315" s="3">
        <v>1</v>
      </c>
      <c r="E315" s="3">
        <v>9</v>
      </c>
      <c r="F315" s="6">
        <v>39397</v>
      </c>
      <c r="G315" s="5">
        <v>15</v>
      </c>
      <c r="H315" s="3" t="s">
        <v>61</v>
      </c>
      <c r="I315" s="3" t="s">
        <v>7</v>
      </c>
      <c r="J315" s="7" t="b">
        <v>1</v>
      </c>
    </row>
    <row r="316" spans="1:10" ht="13.9" hidden="1">
      <c r="A316" s="5">
        <v>860719082</v>
      </c>
      <c r="B316" s="3">
        <v>1</v>
      </c>
      <c r="C316" s="3" t="s">
        <v>60</v>
      </c>
      <c r="D316" s="3">
        <v>8</v>
      </c>
      <c r="E316" s="3">
        <v>9</v>
      </c>
      <c r="F316" s="6">
        <v>42088</v>
      </c>
      <c r="G316" s="5">
        <v>7</v>
      </c>
      <c r="H316" s="3" t="s">
        <v>61</v>
      </c>
      <c r="I316" s="3" t="s">
        <v>7</v>
      </c>
      <c r="J316" s="7" t="b">
        <v>1</v>
      </c>
    </row>
    <row r="317" spans="1:10" ht="13.9">
      <c r="A317" s="5">
        <v>830120022</v>
      </c>
      <c r="B317" s="3">
        <v>2</v>
      </c>
      <c r="C317" s="3" t="s">
        <v>60</v>
      </c>
      <c r="D317" s="3">
        <v>9</v>
      </c>
      <c r="E317" s="3"/>
      <c r="F317" s="6">
        <v>41842</v>
      </c>
      <c r="G317" s="5">
        <v>8</v>
      </c>
      <c r="H317" s="3" t="s">
        <v>63</v>
      </c>
      <c r="I317" s="3" t="s">
        <v>4</v>
      </c>
      <c r="J317" s="7" t="b">
        <v>1</v>
      </c>
    </row>
    <row r="318" spans="1:10" ht="13.9" hidden="1">
      <c r="A318" s="5">
        <v>224508009</v>
      </c>
      <c r="B318" s="5">
        <v>12</v>
      </c>
      <c r="C318" s="3" t="s">
        <v>60</v>
      </c>
      <c r="D318" s="3">
        <v>7</v>
      </c>
      <c r="E318" s="3"/>
      <c r="F318" s="6">
        <v>38218</v>
      </c>
      <c r="G318" s="5">
        <v>18</v>
      </c>
      <c r="H318" s="3" t="s">
        <v>63</v>
      </c>
      <c r="I318" s="3" t="s">
        <v>7</v>
      </c>
      <c r="J318" s="7" t="b">
        <v>1</v>
      </c>
    </row>
    <row r="319" spans="1:10" ht="13.9" hidden="1">
      <c r="A319" s="5">
        <v>877917132</v>
      </c>
      <c r="B319" s="3">
        <v>2</v>
      </c>
      <c r="C319" s="3" t="s">
        <v>60</v>
      </c>
      <c r="D319" s="3">
        <v>8</v>
      </c>
      <c r="E319" s="3">
        <v>9</v>
      </c>
      <c r="F319" s="6">
        <v>41886</v>
      </c>
      <c r="G319" s="5">
        <v>8</v>
      </c>
      <c r="H319" s="3" t="s">
        <v>63</v>
      </c>
      <c r="I319" s="3" t="s">
        <v>7</v>
      </c>
      <c r="J319" s="7" t="b">
        <v>1</v>
      </c>
    </row>
    <row r="320" spans="1:10" ht="13.9" hidden="1">
      <c r="A320" s="5">
        <v>898521001</v>
      </c>
      <c r="B320" s="3">
        <v>9</v>
      </c>
      <c r="C320" s="3" t="s">
        <v>60</v>
      </c>
      <c r="D320" s="5">
        <v>15</v>
      </c>
      <c r="E320" s="3">
        <v>9</v>
      </c>
      <c r="F320" s="6">
        <v>39444</v>
      </c>
      <c r="G320" s="5">
        <v>14</v>
      </c>
      <c r="H320" s="3" t="s">
        <v>63</v>
      </c>
      <c r="I320" s="3" t="s">
        <v>7</v>
      </c>
      <c r="J320" s="7" t="b">
        <v>1</v>
      </c>
    </row>
    <row r="321" spans="1:10" ht="13.9" hidden="1">
      <c r="A321" s="5">
        <v>802107002</v>
      </c>
      <c r="B321" s="5">
        <v>12</v>
      </c>
      <c r="C321" s="3" t="s">
        <v>62</v>
      </c>
      <c r="D321" s="3">
        <v>1</v>
      </c>
      <c r="E321" s="3">
        <v>9</v>
      </c>
      <c r="F321" s="6">
        <v>37810</v>
      </c>
      <c r="G321" s="5">
        <v>19</v>
      </c>
      <c r="H321" s="3" t="s">
        <v>63</v>
      </c>
      <c r="I321" s="3" t="s">
        <v>7</v>
      </c>
      <c r="J321" s="7" t="b">
        <v>1</v>
      </c>
    </row>
    <row r="322" spans="1:10" ht="13.9" hidden="1">
      <c r="A322" s="5">
        <v>811120116</v>
      </c>
      <c r="B322" s="3" t="s">
        <v>41</v>
      </c>
      <c r="C322" s="3" t="s">
        <v>60</v>
      </c>
      <c r="D322" s="3">
        <v>9</v>
      </c>
      <c r="E322" s="3"/>
      <c r="F322" s="6">
        <v>42782</v>
      </c>
      <c r="G322" s="5">
        <v>5</v>
      </c>
      <c r="H322" s="3" t="s">
        <v>63</v>
      </c>
      <c r="I322" s="3" t="s">
        <v>7</v>
      </c>
      <c r="J322" s="7" t="b">
        <v>1</v>
      </c>
    </row>
    <row r="323" spans="1:10" ht="13.9" hidden="1">
      <c r="A323" s="5">
        <v>877719008</v>
      </c>
      <c r="B323" s="3">
        <v>3</v>
      </c>
      <c r="C323" s="3" t="s">
        <v>60</v>
      </c>
      <c r="D323" s="3">
        <v>9</v>
      </c>
      <c r="E323" s="3"/>
      <c r="F323" s="6">
        <v>41443</v>
      </c>
      <c r="G323" s="5">
        <v>9</v>
      </c>
      <c r="H323" s="3" t="s">
        <v>61</v>
      </c>
      <c r="I323" s="3" t="s">
        <v>7</v>
      </c>
      <c r="J323" s="7" t="b">
        <v>1</v>
      </c>
    </row>
    <row r="324" spans="1:10" ht="13.9" hidden="1">
      <c r="A324" s="5">
        <v>838117019</v>
      </c>
      <c r="B324" s="5">
        <v>11</v>
      </c>
      <c r="C324" s="3" t="s">
        <v>60</v>
      </c>
      <c r="D324" s="5">
        <v>17</v>
      </c>
      <c r="E324" s="3"/>
      <c r="F324" s="6">
        <v>38922</v>
      </c>
      <c r="G324" s="5">
        <v>16</v>
      </c>
      <c r="H324" s="3" t="s">
        <v>61</v>
      </c>
      <c r="I324" s="3" t="s">
        <v>7</v>
      </c>
      <c r="J324" s="7" t="b">
        <v>1</v>
      </c>
    </row>
    <row r="325" spans="1:10" ht="13.9">
      <c r="A325" s="5">
        <v>839611277</v>
      </c>
      <c r="B325" s="3">
        <v>8</v>
      </c>
      <c r="C325" s="3" t="s">
        <v>60</v>
      </c>
      <c r="D325" s="3">
        <v>7</v>
      </c>
      <c r="E325" s="3"/>
      <c r="F325" s="6">
        <v>39488</v>
      </c>
      <c r="G325" s="5">
        <v>14</v>
      </c>
      <c r="H325" s="3" t="s">
        <v>63</v>
      </c>
      <c r="I325" s="3" t="s">
        <v>4</v>
      </c>
      <c r="J325" s="7" t="b">
        <v>1</v>
      </c>
    </row>
    <row r="326" spans="1:10" ht="13.9" hidden="1">
      <c r="A326" s="5">
        <v>790513162</v>
      </c>
      <c r="B326" s="5">
        <v>10</v>
      </c>
      <c r="C326" s="3" t="s">
        <v>60</v>
      </c>
      <c r="D326" s="3">
        <v>7</v>
      </c>
      <c r="E326" s="3"/>
      <c r="F326" s="6">
        <v>38653</v>
      </c>
      <c r="G326" s="5">
        <v>17</v>
      </c>
      <c r="H326" s="3" t="s">
        <v>63</v>
      </c>
      <c r="I326" s="3" t="s">
        <v>7</v>
      </c>
      <c r="J326" s="7" t="b">
        <v>1</v>
      </c>
    </row>
    <row r="327" spans="1:10" ht="13.9" hidden="1">
      <c r="A327" s="5">
        <v>835316012</v>
      </c>
      <c r="B327" s="3">
        <v>6</v>
      </c>
      <c r="C327" s="3" t="s">
        <v>60</v>
      </c>
      <c r="D327" s="3">
        <v>7</v>
      </c>
      <c r="E327" s="3"/>
      <c r="F327" s="9">
        <v>40311</v>
      </c>
      <c r="G327" s="5">
        <v>12</v>
      </c>
      <c r="H327" s="3" t="s">
        <v>61</v>
      </c>
      <c r="I327" s="3" t="s">
        <v>7</v>
      </c>
      <c r="J327" s="7" t="b">
        <v>1</v>
      </c>
    </row>
    <row r="328" spans="1:10" ht="13.9" hidden="1">
      <c r="A328" s="5">
        <v>877919048</v>
      </c>
      <c r="B328" s="3" t="s">
        <v>41</v>
      </c>
      <c r="C328" s="3" t="s">
        <v>60</v>
      </c>
      <c r="D328" s="3">
        <v>8</v>
      </c>
      <c r="E328" s="3"/>
      <c r="F328" s="6">
        <v>42417</v>
      </c>
      <c r="G328" s="5">
        <v>6</v>
      </c>
      <c r="H328" s="3" t="s">
        <v>61</v>
      </c>
      <c r="I328" s="3" t="s">
        <v>7</v>
      </c>
      <c r="J328" s="7" t="b">
        <v>1</v>
      </c>
    </row>
    <row r="329" spans="1:10" ht="13.9" hidden="1">
      <c r="A329" s="5">
        <v>220518016</v>
      </c>
      <c r="B329" s="3">
        <v>2</v>
      </c>
      <c r="C329" s="3" t="s">
        <v>60</v>
      </c>
      <c r="D329" s="3">
        <v>9</v>
      </c>
      <c r="E329" s="3"/>
      <c r="F329" s="6">
        <v>41885</v>
      </c>
      <c r="G329" s="5">
        <v>8</v>
      </c>
      <c r="H329" s="3" t="s">
        <v>61</v>
      </c>
      <c r="I329" s="3" t="s">
        <v>7</v>
      </c>
      <c r="J329" s="7" t="b">
        <v>1</v>
      </c>
    </row>
    <row r="330" spans="1:10" ht="13.9" hidden="1">
      <c r="A330" s="5">
        <v>851021069</v>
      </c>
      <c r="B330" s="3">
        <v>1</v>
      </c>
      <c r="C330" s="3" t="s">
        <v>60</v>
      </c>
      <c r="D330" s="3">
        <v>9</v>
      </c>
      <c r="E330" s="3"/>
      <c r="F330" s="6">
        <v>42528</v>
      </c>
      <c r="G330" s="5">
        <v>6</v>
      </c>
      <c r="H330" s="3" t="s">
        <v>61</v>
      </c>
      <c r="I330" s="3" t="s">
        <v>7</v>
      </c>
      <c r="J330" s="7" t="b">
        <v>1</v>
      </c>
    </row>
    <row r="331" spans="1:10" ht="13.9" hidden="1">
      <c r="A331" s="5">
        <v>840914262</v>
      </c>
      <c r="B331" s="3">
        <v>6</v>
      </c>
      <c r="C331" s="3" t="s">
        <v>60</v>
      </c>
      <c r="D331" s="5">
        <v>15</v>
      </c>
      <c r="E331" s="3">
        <v>9</v>
      </c>
      <c r="F331" s="6">
        <v>40512</v>
      </c>
      <c r="G331" s="5">
        <v>12</v>
      </c>
      <c r="H331" s="3" t="s">
        <v>61</v>
      </c>
      <c r="I331" s="3" t="s">
        <v>7</v>
      </c>
      <c r="J331" s="7" t="b">
        <v>1</v>
      </c>
    </row>
    <row r="332" spans="1:10" ht="13.9" hidden="1">
      <c r="A332" s="3" t="s">
        <v>156</v>
      </c>
      <c r="B332" s="5">
        <v>11</v>
      </c>
      <c r="C332" s="3" t="s">
        <v>60</v>
      </c>
      <c r="D332" s="3">
        <v>7</v>
      </c>
      <c r="E332" s="3"/>
      <c r="F332" s="6">
        <v>38889</v>
      </c>
      <c r="G332" s="5">
        <v>16</v>
      </c>
      <c r="H332" s="3" t="s">
        <v>63</v>
      </c>
      <c r="I332" s="3" t="s">
        <v>8</v>
      </c>
      <c r="J332" s="7" t="b">
        <v>1</v>
      </c>
    </row>
    <row r="333" spans="1:10" ht="13.9">
      <c r="A333" s="5">
        <v>825115017</v>
      </c>
      <c r="B333" s="3">
        <v>7</v>
      </c>
      <c r="C333" s="3" t="s">
        <v>60</v>
      </c>
      <c r="D333" s="3">
        <v>7</v>
      </c>
      <c r="E333" s="3"/>
      <c r="F333" s="6">
        <v>39980</v>
      </c>
      <c r="G333" s="5">
        <v>13</v>
      </c>
      <c r="H333" s="3" t="s">
        <v>63</v>
      </c>
      <c r="I333" s="3" t="s">
        <v>4</v>
      </c>
      <c r="J333" s="7" t="b">
        <v>1</v>
      </c>
    </row>
    <row r="334" spans="1:10" ht="13.9" hidden="1">
      <c r="A334" s="5">
        <v>881911131</v>
      </c>
      <c r="B334" s="5">
        <v>10</v>
      </c>
      <c r="C334" s="3" t="s">
        <v>60</v>
      </c>
      <c r="D334" s="3">
        <v>7</v>
      </c>
      <c r="E334" s="3"/>
      <c r="F334" s="6">
        <v>38897</v>
      </c>
      <c r="G334" s="5">
        <v>16</v>
      </c>
      <c r="H334" s="3" t="s">
        <v>63</v>
      </c>
      <c r="I334" s="3" t="s">
        <v>7</v>
      </c>
      <c r="J334" s="7" t="b">
        <v>1</v>
      </c>
    </row>
    <row r="335" spans="1:10" ht="13.9" hidden="1">
      <c r="A335" s="5">
        <v>810309901</v>
      </c>
      <c r="B335" s="5">
        <v>11</v>
      </c>
      <c r="C335" s="3" t="s">
        <v>65</v>
      </c>
      <c r="D335" s="5">
        <v>10</v>
      </c>
      <c r="E335" s="5">
        <v>17</v>
      </c>
      <c r="F335" s="6">
        <v>38557</v>
      </c>
      <c r="G335" s="5">
        <v>17</v>
      </c>
      <c r="H335" s="3" t="s">
        <v>61</v>
      </c>
      <c r="I335" s="3" t="s">
        <v>6</v>
      </c>
      <c r="J335" s="7" t="b">
        <v>1</v>
      </c>
    </row>
    <row r="336" spans="1:10" ht="13.9">
      <c r="A336" s="5">
        <v>828921051</v>
      </c>
      <c r="B336" s="3">
        <v>7</v>
      </c>
      <c r="C336" s="3" t="s">
        <v>60</v>
      </c>
      <c r="D336" s="5">
        <v>17</v>
      </c>
      <c r="E336" s="3">
        <v>9</v>
      </c>
      <c r="F336" s="6">
        <v>40208</v>
      </c>
      <c r="G336" s="5">
        <v>12</v>
      </c>
      <c r="H336" s="3" t="s">
        <v>63</v>
      </c>
      <c r="I336" s="3" t="s">
        <v>4</v>
      </c>
      <c r="J336" s="7" t="b">
        <v>1</v>
      </c>
    </row>
    <row r="337" spans="1:10" ht="13.9" hidden="1">
      <c r="A337" s="5">
        <v>519211290</v>
      </c>
      <c r="B337" s="5">
        <v>10</v>
      </c>
      <c r="C337" s="3" t="s">
        <v>71</v>
      </c>
      <c r="D337" s="5">
        <v>17</v>
      </c>
      <c r="E337" s="3"/>
      <c r="F337" s="6">
        <v>38825</v>
      </c>
      <c r="G337" s="5">
        <v>16</v>
      </c>
      <c r="H337" s="3" t="s">
        <v>63</v>
      </c>
      <c r="I337" s="3" t="s">
        <v>7</v>
      </c>
      <c r="J337" s="7" t="b">
        <v>1</v>
      </c>
    </row>
    <row r="338" spans="1:10" ht="13.9" hidden="1">
      <c r="A338" s="5">
        <v>863313689</v>
      </c>
      <c r="B338" s="3">
        <v>5</v>
      </c>
      <c r="C338" s="3" t="s">
        <v>60</v>
      </c>
      <c r="D338" s="3">
        <v>7</v>
      </c>
      <c r="E338" s="3"/>
      <c r="F338" s="6">
        <v>40716</v>
      </c>
      <c r="G338" s="5">
        <v>11</v>
      </c>
      <c r="H338" s="3" t="s">
        <v>61</v>
      </c>
      <c r="I338" s="3" t="s">
        <v>7</v>
      </c>
      <c r="J338" s="7" t="b">
        <v>1</v>
      </c>
    </row>
    <row r="339" spans="1:10" ht="13.9" hidden="1">
      <c r="A339" s="5">
        <v>851017049</v>
      </c>
      <c r="B339" s="3">
        <v>3</v>
      </c>
      <c r="C339" s="3" t="s">
        <v>65</v>
      </c>
      <c r="D339" s="3">
        <v>7</v>
      </c>
      <c r="E339" s="3">
        <v>9</v>
      </c>
      <c r="F339" s="6">
        <v>41326</v>
      </c>
      <c r="G339" s="5">
        <v>9</v>
      </c>
      <c r="H339" s="3" t="s">
        <v>63</v>
      </c>
      <c r="I339" s="3" t="s">
        <v>7</v>
      </c>
      <c r="J339" s="7" t="b">
        <v>1</v>
      </c>
    </row>
    <row r="340" spans="1:10" ht="13.9" hidden="1">
      <c r="A340" s="5">
        <v>826511104</v>
      </c>
      <c r="B340" s="5">
        <v>10</v>
      </c>
      <c r="C340" s="3" t="s">
        <v>62</v>
      </c>
      <c r="D340" s="5">
        <v>10</v>
      </c>
      <c r="E340" s="3">
        <v>9</v>
      </c>
      <c r="F340" s="6">
        <v>38735</v>
      </c>
      <c r="G340" s="5">
        <v>16</v>
      </c>
      <c r="H340" s="3" t="s">
        <v>63</v>
      </c>
      <c r="I340" s="3" t="s">
        <v>7</v>
      </c>
      <c r="J340" s="7" t="b">
        <v>1</v>
      </c>
    </row>
    <row r="341" spans="1:10" ht="13.9" hidden="1">
      <c r="A341" s="5">
        <v>832714148</v>
      </c>
      <c r="B341" s="3">
        <v>7</v>
      </c>
      <c r="C341" s="3" t="s">
        <v>60</v>
      </c>
      <c r="D341" s="3">
        <v>9</v>
      </c>
      <c r="E341" s="3"/>
      <c r="F341" s="6">
        <v>40259</v>
      </c>
      <c r="G341" s="5">
        <v>12</v>
      </c>
      <c r="H341" s="3" t="s">
        <v>63</v>
      </c>
      <c r="I341" s="3" t="s">
        <v>8</v>
      </c>
      <c r="J341" s="7" t="b">
        <v>1</v>
      </c>
    </row>
    <row r="342" spans="1:10" ht="13.9" hidden="1">
      <c r="A342" s="5">
        <v>839612154</v>
      </c>
      <c r="B342" s="3">
        <v>7</v>
      </c>
      <c r="C342" s="3" t="s">
        <v>65</v>
      </c>
      <c r="D342" s="5">
        <v>10</v>
      </c>
      <c r="E342" s="5">
        <v>17</v>
      </c>
      <c r="F342" s="6">
        <v>40109</v>
      </c>
      <c r="G342" s="5">
        <v>13</v>
      </c>
      <c r="H342" s="3" t="s">
        <v>63</v>
      </c>
      <c r="I342" s="3" t="s">
        <v>7</v>
      </c>
      <c r="J342" s="7" t="b">
        <v>1</v>
      </c>
    </row>
    <row r="343" spans="1:10" ht="13.9" hidden="1">
      <c r="A343" s="5">
        <v>854916043</v>
      </c>
      <c r="B343" s="3">
        <v>5</v>
      </c>
      <c r="C343" s="3" t="s">
        <v>60</v>
      </c>
      <c r="D343" s="3">
        <v>9</v>
      </c>
      <c r="E343" s="3"/>
      <c r="F343" s="6">
        <v>40659</v>
      </c>
      <c r="G343" s="5">
        <v>11</v>
      </c>
      <c r="H343" s="3" t="s">
        <v>63</v>
      </c>
      <c r="I343" s="3" t="s">
        <v>7</v>
      </c>
      <c r="J343" s="7" t="b">
        <v>1</v>
      </c>
    </row>
    <row r="344" spans="1:10" ht="13.9" hidden="1">
      <c r="A344" s="5">
        <v>860515063</v>
      </c>
      <c r="B344" s="3">
        <v>6</v>
      </c>
      <c r="C344" s="3" t="s">
        <v>65</v>
      </c>
      <c r="D344" s="3">
        <v>6</v>
      </c>
      <c r="E344" s="3"/>
      <c r="F344" s="6">
        <v>40130</v>
      </c>
      <c r="G344" s="5">
        <v>13</v>
      </c>
      <c r="H344" s="3" t="s">
        <v>63</v>
      </c>
      <c r="I344" s="3" t="s">
        <v>7</v>
      </c>
      <c r="J344" s="7" t="b">
        <v>1</v>
      </c>
    </row>
    <row r="345" spans="1:10" ht="13.9" hidden="1">
      <c r="A345" s="5">
        <v>804218090</v>
      </c>
      <c r="B345" s="3">
        <v>5</v>
      </c>
      <c r="C345" s="3" t="s">
        <v>60</v>
      </c>
      <c r="D345" s="3">
        <v>7</v>
      </c>
      <c r="E345" s="3"/>
      <c r="F345" s="6">
        <v>40955</v>
      </c>
      <c r="G345" s="5">
        <v>10</v>
      </c>
      <c r="H345" s="3" t="s">
        <v>61</v>
      </c>
      <c r="I345" s="3" t="s">
        <v>8</v>
      </c>
      <c r="J345" s="7" t="b">
        <v>1</v>
      </c>
    </row>
    <row r="346" spans="1:10" ht="13.9" hidden="1">
      <c r="A346" s="5">
        <v>877715012</v>
      </c>
      <c r="B346" s="5">
        <v>11</v>
      </c>
      <c r="C346" s="3" t="s">
        <v>60</v>
      </c>
      <c r="D346" s="3">
        <v>6</v>
      </c>
      <c r="E346" s="3"/>
      <c r="F346" s="6">
        <v>38667</v>
      </c>
      <c r="G346" s="5">
        <v>17</v>
      </c>
      <c r="H346" s="3" t="s">
        <v>61</v>
      </c>
      <c r="I346" s="3" t="s">
        <v>7</v>
      </c>
      <c r="J346" s="7" t="b">
        <v>1</v>
      </c>
    </row>
    <row r="347" spans="1:10" ht="13.9">
      <c r="A347" s="5">
        <v>824523010</v>
      </c>
      <c r="B347" s="5">
        <v>10</v>
      </c>
      <c r="C347" s="3" t="s">
        <v>65</v>
      </c>
      <c r="D347" s="5">
        <v>10</v>
      </c>
      <c r="E347" s="3">
        <v>9</v>
      </c>
      <c r="F347" s="6">
        <v>39161</v>
      </c>
      <c r="G347" s="5">
        <v>15</v>
      </c>
      <c r="H347" s="3" t="s">
        <v>63</v>
      </c>
      <c r="I347" s="3" t="s">
        <v>4</v>
      </c>
      <c r="J347" s="7" t="b">
        <v>1</v>
      </c>
    </row>
    <row r="348" spans="1:10" ht="13.9">
      <c r="A348" s="5">
        <v>810417050</v>
      </c>
      <c r="B348" s="3">
        <v>6</v>
      </c>
      <c r="C348" s="3" t="s">
        <v>65</v>
      </c>
      <c r="D348" s="3">
        <v>7</v>
      </c>
      <c r="E348" s="5">
        <v>17</v>
      </c>
      <c r="F348" s="6">
        <v>40718</v>
      </c>
      <c r="G348" s="5">
        <v>11</v>
      </c>
      <c r="H348" s="3" t="s">
        <v>63</v>
      </c>
      <c r="I348" s="3" t="s">
        <v>4</v>
      </c>
      <c r="J348" s="7" t="b">
        <v>1</v>
      </c>
    </row>
    <row r="349" spans="1:10" ht="13.9" hidden="1">
      <c r="A349" s="5">
        <v>851018001</v>
      </c>
      <c r="B349" s="3">
        <v>1</v>
      </c>
      <c r="C349" s="3" t="s">
        <v>60</v>
      </c>
      <c r="D349" s="3">
        <v>8</v>
      </c>
      <c r="E349" s="3">
        <v>9</v>
      </c>
      <c r="F349" s="6">
        <v>42103</v>
      </c>
      <c r="G349" s="5">
        <v>7</v>
      </c>
      <c r="H349" s="3" t="s">
        <v>63</v>
      </c>
      <c r="I349" s="3" t="s">
        <v>8</v>
      </c>
      <c r="J349" s="7" t="b">
        <v>1</v>
      </c>
    </row>
    <row r="350" spans="1:10" ht="13.9" hidden="1">
      <c r="A350" s="3" t="s">
        <v>157</v>
      </c>
      <c r="B350" s="3">
        <v>1</v>
      </c>
      <c r="C350" s="3" t="s">
        <v>62</v>
      </c>
      <c r="D350" s="5">
        <v>11</v>
      </c>
      <c r="E350" s="3">
        <v>9</v>
      </c>
      <c r="F350" s="6">
        <v>42233</v>
      </c>
      <c r="G350" s="5">
        <v>7</v>
      </c>
      <c r="H350" s="3" t="s">
        <v>63</v>
      </c>
      <c r="I350" s="3" t="s">
        <v>7</v>
      </c>
      <c r="J350" s="7" t="b">
        <v>1</v>
      </c>
    </row>
    <row r="351" spans="1:10" ht="13.9" hidden="1">
      <c r="A351" s="5">
        <v>880120016</v>
      </c>
      <c r="B351" s="3">
        <v>3</v>
      </c>
      <c r="C351" s="3" t="s">
        <v>60</v>
      </c>
      <c r="D351" s="3">
        <v>7</v>
      </c>
      <c r="E351" s="3">
        <v>9</v>
      </c>
      <c r="F351" s="6">
        <v>41718</v>
      </c>
      <c r="G351" s="5">
        <v>8</v>
      </c>
      <c r="H351" s="3" t="s">
        <v>61</v>
      </c>
      <c r="I351" s="3" t="s">
        <v>7</v>
      </c>
      <c r="J351" s="7" t="b">
        <v>1</v>
      </c>
    </row>
    <row r="352" spans="1:10" ht="13.9" hidden="1">
      <c r="A352" s="5">
        <v>651014013</v>
      </c>
      <c r="B352" s="5">
        <v>12</v>
      </c>
      <c r="C352" s="3" t="s">
        <v>60</v>
      </c>
      <c r="D352" s="3">
        <v>7</v>
      </c>
      <c r="E352" s="3"/>
      <c r="F352" s="6">
        <v>38067</v>
      </c>
      <c r="G352" s="5">
        <v>18</v>
      </c>
      <c r="H352" s="3" t="s">
        <v>63</v>
      </c>
      <c r="I352" s="3" t="s">
        <v>7</v>
      </c>
      <c r="J352" s="7" t="b">
        <v>1</v>
      </c>
    </row>
    <row r="353" spans="1:10" ht="13.9" hidden="1">
      <c r="A353" s="5">
        <v>799422034</v>
      </c>
      <c r="B353" s="3">
        <v>1</v>
      </c>
      <c r="C353" s="3" t="s">
        <v>60</v>
      </c>
      <c r="D353" s="3">
        <v>9</v>
      </c>
      <c r="E353" s="3"/>
      <c r="F353" s="6">
        <v>42215</v>
      </c>
      <c r="G353" s="5">
        <v>7</v>
      </c>
      <c r="H353" s="3" t="s">
        <v>61</v>
      </c>
      <c r="I353" s="3" t="s">
        <v>8</v>
      </c>
      <c r="J353" s="7" t="b">
        <v>1</v>
      </c>
    </row>
    <row r="354" spans="1:10" ht="13.9">
      <c r="A354" s="5">
        <v>825117010</v>
      </c>
      <c r="B354" s="3">
        <v>6</v>
      </c>
      <c r="C354" s="3" t="s">
        <v>155</v>
      </c>
      <c r="D354" s="5">
        <v>17</v>
      </c>
      <c r="E354" s="3"/>
      <c r="F354" s="6">
        <v>40583</v>
      </c>
      <c r="G354" s="5">
        <v>11</v>
      </c>
      <c r="H354" s="3" t="s">
        <v>61</v>
      </c>
      <c r="I354" s="3" t="s">
        <v>4</v>
      </c>
      <c r="J354" s="7" t="b">
        <v>1</v>
      </c>
    </row>
    <row r="355" spans="1:10" ht="13.9" hidden="1">
      <c r="A355" s="5">
        <v>832717222</v>
      </c>
      <c r="B355" s="3">
        <v>3</v>
      </c>
      <c r="C355" s="3" t="s">
        <v>62</v>
      </c>
      <c r="D355" s="5">
        <v>15</v>
      </c>
      <c r="E355" s="5">
        <v>11</v>
      </c>
      <c r="F355" s="6">
        <v>41733</v>
      </c>
      <c r="G355" s="5">
        <v>8</v>
      </c>
      <c r="H355" s="3" t="s">
        <v>63</v>
      </c>
      <c r="I355" s="3" t="s">
        <v>7</v>
      </c>
      <c r="J355" s="7" t="b">
        <v>1</v>
      </c>
    </row>
    <row r="356" spans="1:10" ht="13.9" hidden="1">
      <c r="A356" s="5">
        <v>854321043</v>
      </c>
      <c r="B356" s="3">
        <v>3</v>
      </c>
      <c r="C356" s="3" t="s">
        <v>60</v>
      </c>
      <c r="D356" s="5">
        <v>15</v>
      </c>
      <c r="E356" s="3">
        <v>9</v>
      </c>
      <c r="F356" s="6">
        <v>41687</v>
      </c>
      <c r="G356" s="5">
        <v>8</v>
      </c>
      <c r="H356" s="3" t="s">
        <v>61</v>
      </c>
      <c r="I356" s="3" t="s">
        <v>7</v>
      </c>
      <c r="J356" s="7" t="b">
        <v>1</v>
      </c>
    </row>
    <row r="357" spans="1:10" ht="13.9" hidden="1">
      <c r="A357" s="5">
        <v>843120079</v>
      </c>
      <c r="B357" s="3" t="s">
        <v>41</v>
      </c>
      <c r="C357" s="3" t="s">
        <v>60</v>
      </c>
      <c r="D357" s="3">
        <v>8</v>
      </c>
      <c r="E357" s="3">
        <v>9</v>
      </c>
      <c r="F357" s="6">
        <v>42672</v>
      </c>
      <c r="G357" s="5">
        <v>6</v>
      </c>
      <c r="H357" s="3" t="s">
        <v>63</v>
      </c>
      <c r="I357" s="3" t="s">
        <v>7</v>
      </c>
      <c r="J357" s="7" t="b">
        <v>1</v>
      </c>
    </row>
    <row r="358" spans="1:10" ht="13.9">
      <c r="A358" s="5">
        <v>839606042</v>
      </c>
      <c r="B358" s="5">
        <v>12</v>
      </c>
      <c r="C358" s="3" t="s">
        <v>62</v>
      </c>
      <c r="D358" s="3">
        <v>1</v>
      </c>
      <c r="E358" s="3">
        <v>3</v>
      </c>
      <c r="F358" s="6">
        <v>37610</v>
      </c>
      <c r="G358" s="5">
        <v>19</v>
      </c>
      <c r="H358" s="3" t="s">
        <v>63</v>
      </c>
      <c r="I358" s="3" t="s">
        <v>4</v>
      </c>
      <c r="J358" s="7" t="b">
        <v>1</v>
      </c>
    </row>
    <row r="359" spans="1:10" ht="13.9" hidden="1">
      <c r="A359" s="5">
        <v>775113119</v>
      </c>
      <c r="B359" s="3">
        <v>7</v>
      </c>
      <c r="C359" s="3" t="s">
        <v>62</v>
      </c>
      <c r="D359" s="3">
        <v>6</v>
      </c>
      <c r="E359" s="3"/>
      <c r="F359" s="6">
        <v>40094</v>
      </c>
      <c r="G359" s="5">
        <v>13</v>
      </c>
      <c r="H359" s="3" t="s">
        <v>61</v>
      </c>
      <c r="I359" s="3" t="s">
        <v>7</v>
      </c>
      <c r="J359" s="7" t="b">
        <v>1</v>
      </c>
    </row>
    <row r="360" spans="1:10" ht="13.9" hidden="1">
      <c r="A360" s="5">
        <v>657715102</v>
      </c>
      <c r="B360" s="3">
        <v>7</v>
      </c>
      <c r="C360" s="3" t="s">
        <v>60</v>
      </c>
      <c r="D360" s="3">
        <v>7</v>
      </c>
      <c r="E360" s="5">
        <v>17</v>
      </c>
      <c r="F360" s="6">
        <v>39756</v>
      </c>
      <c r="G360" s="5">
        <v>14</v>
      </c>
      <c r="H360" s="3" t="s">
        <v>63</v>
      </c>
      <c r="I360" s="3" t="s">
        <v>7</v>
      </c>
      <c r="J360" s="7" t="b">
        <v>1</v>
      </c>
    </row>
    <row r="361" spans="1:10" ht="13.9" hidden="1">
      <c r="A361" s="5">
        <v>802417110</v>
      </c>
      <c r="B361" s="3">
        <v>5</v>
      </c>
      <c r="C361" s="3" t="s">
        <v>60</v>
      </c>
      <c r="D361" s="3">
        <v>9</v>
      </c>
      <c r="E361" s="3"/>
      <c r="F361" s="6">
        <v>40862</v>
      </c>
      <c r="G361" s="5">
        <v>11</v>
      </c>
      <c r="H361" s="3" t="s">
        <v>63</v>
      </c>
      <c r="I361" s="3" t="s">
        <v>7</v>
      </c>
      <c r="J361" s="7" t="b">
        <v>1</v>
      </c>
    </row>
    <row r="362" spans="1:10" ht="13.9" hidden="1">
      <c r="A362" s="5">
        <v>832719313</v>
      </c>
      <c r="B362" s="3" t="s">
        <v>41</v>
      </c>
      <c r="C362" s="3" t="s">
        <v>65</v>
      </c>
      <c r="D362" s="5">
        <v>10</v>
      </c>
      <c r="E362" s="3">
        <v>9</v>
      </c>
      <c r="F362" s="6">
        <v>42342</v>
      </c>
      <c r="G362" s="5">
        <v>6</v>
      </c>
      <c r="H362" s="3" t="s">
        <v>63</v>
      </c>
      <c r="I362" s="3" t="s">
        <v>7</v>
      </c>
      <c r="J362" s="7" t="b">
        <v>1</v>
      </c>
    </row>
    <row r="363" spans="1:10" ht="13.9" hidden="1">
      <c r="A363" s="5">
        <v>840918371</v>
      </c>
      <c r="B363" s="3">
        <v>4</v>
      </c>
      <c r="C363" s="3" t="s">
        <v>60</v>
      </c>
      <c r="D363" s="3">
        <v>7</v>
      </c>
      <c r="E363" s="3"/>
      <c r="F363" s="6">
        <v>40938</v>
      </c>
      <c r="G363" s="5">
        <v>10</v>
      </c>
      <c r="H363" s="3" t="s">
        <v>61</v>
      </c>
      <c r="I363" s="3" t="s">
        <v>7</v>
      </c>
      <c r="J363" s="7" t="b">
        <v>1</v>
      </c>
    </row>
    <row r="364" spans="1:10" ht="13.9" hidden="1">
      <c r="A364" s="5">
        <v>596508060</v>
      </c>
      <c r="B364" s="5">
        <v>11</v>
      </c>
      <c r="C364" s="3" t="s">
        <v>62</v>
      </c>
      <c r="D364" s="5">
        <v>15</v>
      </c>
      <c r="E364" s="3">
        <v>9</v>
      </c>
      <c r="F364" s="6">
        <v>38245</v>
      </c>
      <c r="G364" s="5">
        <v>18</v>
      </c>
      <c r="H364" s="3" t="s">
        <v>63</v>
      </c>
      <c r="I364" s="3" t="s">
        <v>5</v>
      </c>
      <c r="J364" s="7" t="b">
        <v>1</v>
      </c>
    </row>
    <row r="365" spans="1:10" ht="13.9" hidden="1">
      <c r="A365" s="5">
        <v>194917079</v>
      </c>
      <c r="B365" s="3">
        <v>5</v>
      </c>
      <c r="C365" s="3" t="s">
        <v>60</v>
      </c>
      <c r="D365" s="3">
        <v>7</v>
      </c>
      <c r="E365" s="3"/>
      <c r="F365" s="6">
        <v>40456</v>
      </c>
      <c r="G365" s="5">
        <v>12</v>
      </c>
      <c r="H365" s="3" t="s">
        <v>61</v>
      </c>
      <c r="I365" s="3" t="s">
        <v>7</v>
      </c>
      <c r="J365" s="7" t="b">
        <v>1</v>
      </c>
    </row>
    <row r="366" spans="1:10" ht="13.9" hidden="1">
      <c r="A366" s="5">
        <v>804218251</v>
      </c>
      <c r="B366" s="3">
        <v>1</v>
      </c>
      <c r="C366" s="3" t="s">
        <v>65</v>
      </c>
      <c r="D366" s="3">
        <v>8</v>
      </c>
      <c r="E366" s="3">
        <v>9</v>
      </c>
      <c r="F366" s="6">
        <v>42194</v>
      </c>
      <c r="G366" s="5">
        <v>7</v>
      </c>
      <c r="H366" s="3" t="s">
        <v>63</v>
      </c>
      <c r="I366" s="3" t="s">
        <v>7</v>
      </c>
      <c r="J366" s="7" t="b">
        <v>1</v>
      </c>
    </row>
    <row r="367" spans="1:10" ht="13.9">
      <c r="A367" s="5">
        <v>832922026</v>
      </c>
      <c r="B367" s="3">
        <v>4</v>
      </c>
      <c r="C367" s="3" t="s">
        <v>60</v>
      </c>
      <c r="D367" s="3">
        <v>7</v>
      </c>
      <c r="E367" s="3"/>
      <c r="F367" s="6">
        <v>41256</v>
      </c>
      <c r="G367" s="5">
        <v>9</v>
      </c>
      <c r="H367" s="3" t="s">
        <v>63</v>
      </c>
      <c r="I367" s="3" t="s">
        <v>4</v>
      </c>
      <c r="J367" s="7" t="b">
        <v>1</v>
      </c>
    </row>
    <row r="368" spans="1:10" ht="13.9">
      <c r="A368" s="5">
        <v>830913034</v>
      </c>
      <c r="B368" s="3">
        <v>9</v>
      </c>
      <c r="C368" s="3" t="s">
        <v>60</v>
      </c>
      <c r="D368" s="3">
        <v>7</v>
      </c>
      <c r="E368" s="3"/>
      <c r="F368" s="6">
        <v>39568</v>
      </c>
      <c r="G368" s="5">
        <v>14</v>
      </c>
      <c r="H368" s="3" t="s">
        <v>63</v>
      </c>
      <c r="I368" s="3" t="s">
        <v>4</v>
      </c>
      <c r="J368" s="7" t="b">
        <v>1</v>
      </c>
    </row>
    <row r="369" spans="1:10" ht="13.9" hidden="1">
      <c r="A369" s="5">
        <v>800712089</v>
      </c>
      <c r="B369" s="3">
        <v>8</v>
      </c>
      <c r="C369" s="3" t="s">
        <v>62</v>
      </c>
      <c r="D369" s="3">
        <v>1</v>
      </c>
      <c r="E369" s="3">
        <v>9</v>
      </c>
      <c r="F369" s="6">
        <v>39612</v>
      </c>
      <c r="G369" s="5">
        <v>14</v>
      </c>
      <c r="H369" s="3" t="s">
        <v>61</v>
      </c>
      <c r="I369" s="3" t="s">
        <v>7</v>
      </c>
      <c r="J369" s="7" t="b">
        <v>1</v>
      </c>
    </row>
    <row r="370" spans="1:10" ht="13.9" hidden="1">
      <c r="A370" s="5">
        <v>822512046</v>
      </c>
      <c r="B370" s="5">
        <v>10</v>
      </c>
      <c r="C370" s="3" t="s">
        <v>60</v>
      </c>
      <c r="D370" s="3">
        <v>7</v>
      </c>
      <c r="E370" s="3"/>
      <c r="F370" s="6">
        <v>38995</v>
      </c>
      <c r="G370" s="5">
        <v>16</v>
      </c>
      <c r="H370" s="3" t="s">
        <v>63</v>
      </c>
      <c r="I370" s="3" t="s">
        <v>7</v>
      </c>
      <c r="J370" s="7" t="b">
        <v>1</v>
      </c>
    </row>
    <row r="371" spans="1:10" ht="13.9" hidden="1">
      <c r="A371" s="5">
        <v>843521061</v>
      </c>
      <c r="B371" s="3" t="s">
        <v>41</v>
      </c>
      <c r="C371" s="3" t="s">
        <v>65</v>
      </c>
      <c r="D371" s="3">
        <v>8</v>
      </c>
      <c r="E371" s="3">
        <v>9</v>
      </c>
      <c r="F371" s="6">
        <v>42660</v>
      </c>
      <c r="G371" s="5">
        <v>6</v>
      </c>
      <c r="H371" s="3" t="s">
        <v>63</v>
      </c>
      <c r="I371" s="3" t="s">
        <v>7</v>
      </c>
      <c r="J371" s="7" t="b">
        <v>1</v>
      </c>
    </row>
    <row r="372" spans="1:10" ht="13.9" hidden="1">
      <c r="A372" s="5">
        <v>622521031</v>
      </c>
      <c r="B372" s="3" t="s">
        <v>41</v>
      </c>
      <c r="C372" s="3" t="s">
        <v>60</v>
      </c>
      <c r="D372" s="3">
        <v>9</v>
      </c>
      <c r="E372" s="3"/>
      <c r="F372" s="6">
        <v>42907</v>
      </c>
      <c r="G372" s="5">
        <v>5</v>
      </c>
      <c r="H372" s="3" t="s">
        <v>63</v>
      </c>
      <c r="I372" s="3" t="s">
        <v>5</v>
      </c>
      <c r="J372" s="7" t="b">
        <v>1</v>
      </c>
    </row>
    <row r="373" spans="1:10" ht="13.9" hidden="1">
      <c r="A373" s="5">
        <v>908141688</v>
      </c>
      <c r="B373" s="3">
        <v>2</v>
      </c>
      <c r="C373" s="3" t="s">
        <v>60</v>
      </c>
      <c r="D373" s="3">
        <v>9</v>
      </c>
      <c r="E373" s="3"/>
      <c r="F373" s="6">
        <v>42070</v>
      </c>
      <c r="G373" s="5">
        <v>7</v>
      </c>
      <c r="H373" s="3" t="s">
        <v>61</v>
      </c>
      <c r="I373" s="3" t="s">
        <v>7</v>
      </c>
      <c r="J373" s="7" t="b">
        <v>1</v>
      </c>
    </row>
    <row r="374" spans="1:10" ht="13.9" hidden="1">
      <c r="A374" s="5">
        <v>830111021</v>
      </c>
      <c r="B374" s="5">
        <v>10</v>
      </c>
      <c r="C374" s="3" t="s">
        <v>60</v>
      </c>
      <c r="D374" s="3">
        <v>7</v>
      </c>
      <c r="E374" s="3"/>
      <c r="F374" s="6">
        <v>38791</v>
      </c>
      <c r="G374" s="5">
        <v>16</v>
      </c>
      <c r="H374" s="3" t="s">
        <v>63</v>
      </c>
      <c r="I374" s="3" t="s">
        <v>8</v>
      </c>
      <c r="J374" s="7" t="b">
        <v>1</v>
      </c>
    </row>
    <row r="375" spans="1:10" ht="13.9" hidden="1">
      <c r="A375" s="5">
        <v>830915071</v>
      </c>
      <c r="B375" s="3">
        <v>6</v>
      </c>
      <c r="C375" s="3" t="s">
        <v>65</v>
      </c>
      <c r="D375" s="3">
        <v>7</v>
      </c>
      <c r="E375" s="3">
        <v>9</v>
      </c>
      <c r="F375" s="6">
        <v>40366</v>
      </c>
      <c r="G375" s="5">
        <v>12</v>
      </c>
      <c r="H375" s="3" t="s">
        <v>61</v>
      </c>
      <c r="I375" s="3" t="s">
        <v>7</v>
      </c>
      <c r="J375" s="7" t="b">
        <v>1</v>
      </c>
    </row>
    <row r="376" spans="1:10" ht="13.9" hidden="1">
      <c r="A376" s="5">
        <v>870614121</v>
      </c>
      <c r="B376" s="3">
        <v>6</v>
      </c>
      <c r="C376" s="3" t="s">
        <v>60</v>
      </c>
      <c r="D376" s="3">
        <v>9</v>
      </c>
      <c r="E376" s="3"/>
      <c r="F376" s="6">
        <v>40436</v>
      </c>
      <c r="G376" s="5">
        <v>12</v>
      </c>
      <c r="H376" s="3" t="s">
        <v>61</v>
      </c>
      <c r="I376" s="3" t="s">
        <v>7</v>
      </c>
      <c r="J376" s="7" t="b">
        <v>1</v>
      </c>
    </row>
    <row r="377" spans="1:10" ht="13.9" hidden="1">
      <c r="A377" s="3">
        <v>98119221</v>
      </c>
      <c r="B377" s="3">
        <v>1</v>
      </c>
      <c r="C377" s="3" t="s">
        <v>62</v>
      </c>
      <c r="D377" s="5">
        <v>17</v>
      </c>
      <c r="E377" s="3">
        <v>9</v>
      </c>
      <c r="F377" s="6">
        <v>42255</v>
      </c>
      <c r="G377" s="5">
        <v>7</v>
      </c>
      <c r="H377" s="3" t="s">
        <v>63</v>
      </c>
      <c r="I377" s="3" t="s">
        <v>7</v>
      </c>
      <c r="J377" s="7" t="b">
        <v>1</v>
      </c>
    </row>
    <row r="378" spans="1:10" ht="13.9" hidden="1">
      <c r="A378" s="5">
        <v>863313769</v>
      </c>
      <c r="B378" s="3">
        <v>2</v>
      </c>
      <c r="C378" s="3" t="s">
        <v>60</v>
      </c>
      <c r="D378" s="3">
        <v>2</v>
      </c>
      <c r="E378" s="3"/>
      <c r="F378" s="6">
        <v>41904</v>
      </c>
      <c r="G378" s="5">
        <v>8</v>
      </c>
      <c r="H378" s="3" t="s">
        <v>61</v>
      </c>
      <c r="I378" s="3" t="s">
        <v>7</v>
      </c>
      <c r="J378" s="7" t="b">
        <v>1</v>
      </c>
    </row>
    <row r="379" spans="1:10" ht="13.9">
      <c r="A379" s="5">
        <v>839609086</v>
      </c>
      <c r="B379" s="5">
        <v>10</v>
      </c>
      <c r="C379" s="3" t="s">
        <v>60</v>
      </c>
      <c r="D379" s="3">
        <v>7</v>
      </c>
      <c r="E379" s="3"/>
      <c r="F379" s="6">
        <v>38818</v>
      </c>
      <c r="G379" s="5">
        <v>16</v>
      </c>
      <c r="H379" s="3" t="s">
        <v>63</v>
      </c>
      <c r="I379" s="3" t="s">
        <v>4</v>
      </c>
      <c r="J379" s="7" t="b">
        <v>1</v>
      </c>
    </row>
    <row r="380" spans="1:10" ht="13.9" hidden="1">
      <c r="A380" s="5">
        <v>839611314</v>
      </c>
      <c r="B380" s="5">
        <v>12</v>
      </c>
      <c r="C380" s="3" t="s">
        <v>60</v>
      </c>
      <c r="D380" s="3">
        <v>7</v>
      </c>
      <c r="E380" s="3"/>
      <c r="F380" s="6">
        <v>37876</v>
      </c>
      <c r="G380" s="5">
        <v>19</v>
      </c>
      <c r="H380" s="3" t="s">
        <v>63</v>
      </c>
      <c r="I380" s="3" t="s">
        <v>7</v>
      </c>
      <c r="J380" s="7" t="b">
        <v>1</v>
      </c>
    </row>
    <row r="381" spans="1:10" ht="13.9" hidden="1">
      <c r="A381" s="5">
        <v>840921015</v>
      </c>
      <c r="B381" s="3">
        <v>2</v>
      </c>
      <c r="C381" s="3" t="s">
        <v>60</v>
      </c>
      <c r="D381" s="3">
        <v>9</v>
      </c>
      <c r="E381" s="3"/>
      <c r="F381" s="6">
        <v>42027</v>
      </c>
      <c r="G381" s="5">
        <v>7</v>
      </c>
      <c r="H381" s="3" t="s">
        <v>63</v>
      </c>
      <c r="I381" s="3" t="s">
        <v>7</v>
      </c>
      <c r="J381" s="7" t="b">
        <v>1</v>
      </c>
    </row>
    <row r="382" spans="1:10" ht="13.9" hidden="1">
      <c r="A382" s="3" t="s">
        <v>158</v>
      </c>
      <c r="B382" s="3">
        <v>3</v>
      </c>
      <c r="C382" s="3" t="s">
        <v>60</v>
      </c>
      <c r="D382" s="3">
        <v>7</v>
      </c>
      <c r="E382" s="3"/>
      <c r="F382" s="6">
        <v>41503</v>
      </c>
      <c r="G382" s="5">
        <v>9</v>
      </c>
      <c r="H382" s="3" t="s">
        <v>63</v>
      </c>
      <c r="I382" s="3" t="s">
        <v>7</v>
      </c>
      <c r="J382" s="7" t="b">
        <v>1</v>
      </c>
    </row>
    <row r="383" spans="1:10" ht="13.9" hidden="1">
      <c r="A383" s="5">
        <v>852519061</v>
      </c>
      <c r="B383" s="3">
        <v>4</v>
      </c>
      <c r="C383" s="3" t="s">
        <v>62</v>
      </c>
      <c r="D383" s="5">
        <v>15</v>
      </c>
      <c r="E383" s="3">
        <v>9</v>
      </c>
      <c r="F383" s="6">
        <v>40862</v>
      </c>
      <c r="G383" s="5">
        <v>11</v>
      </c>
      <c r="H383" s="3" t="s">
        <v>61</v>
      </c>
      <c r="I383" s="3" t="s">
        <v>7</v>
      </c>
      <c r="J383" s="7" t="b">
        <v>1</v>
      </c>
    </row>
    <row r="384" spans="1:10" ht="13.9" hidden="1">
      <c r="A384" s="5">
        <v>876411139</v>
      </c>
      <c r="B384" s="5">
        <v>11</v>
      </c>
      <c r="C384" s="3" t="s">
        <v>62</v>
      </c>
      <c r="D384" s="5">
        <v>17</v>
      </c>
      <c r="E384" s="3">
        <v>5</v>
      </c>
      <c r="F384" s="6">
        <v>38706</v>
      </c>
      <c r="G384" s="5">
        <v>16</v>
      </c>
      <c r="H384" s="3" t="s">
        <v>63</v>
      </c>
      <c r="I384" s="3" t="s">
        <v>7</v>
      </c>
      <c r="J384" s="7" t="b">
        <v>1</v>
      </c>
    </row>
    <row r="385" spans="1:10" ht="13.9" hidden="1">
      <c r="A385" s="5">
        <v>832718110</v>
      </c>
      <c r="B385" s="3">
        <v>2</v>
      </c>
      <c r="C385" s="3" t="s">
        <v>60</v>
      </c>
      <c r="D385" s="3">
        <v>8</v>
      </c>
      <c r="E385" s="3">
        <v>9</v>
      </c>
      <c r="F385" s="6">
        <v>41989</v>
      </c>
      <c r="G385" s="5">
        <v>7</v>
      </c>
      <c r="H385" s="3" t="s">
        <v>61</v>
      </c>
      <c r="I385" s="3" t="s">
        <v>6</v>
      </c>
      <c r="J385" s="7" t="b">
        <v>1</v>
      </c>
    </row>
    <row r="386" spans="1:10" ht="13.9" hidden="1">
      <c r="A386" s="5">
        <v>854321032</v>
      </c>
      <c r="B386" s="3">
        <v>2</v>
      </c>
      <c r="C386" s="3" t="s">
        <v>60</v>
      </c>
      <c r="D386" s="3">
        <v>8</v>
      </c>
      <c r="E386" s="3"/>
      <c r="F386" s="6">
        <v>42013</v>
      </c>
      <c r="G386" s="5">
        <v>7</v>
      </c>
      <c r="H386" s="3" t="s">
        <v>63</v>
      </c>
      <c r="I386" s="3" t="s">
        <v>7</v>
      </c>
      <c r="J386" s="7" t="b">
        <v>1</v>
      </c>
    </row>
    <row r="387" spans="1:10" ht="13.9" hidden="1">
      <c r="A387" s="5">
        <v>832720230</v>
      </c>
      <c r="B387" s="3" t="s">
        <v>41</v>
      </c>
      <c r="C387" s="3" t="s">
        <v>60</v>
      </c>
      <c r="D387" s="3">
        <v>8</v>
      </c>
      <c r="E387" s="3">
        <v>9</v>
      </c>
      <c r="F387" s="6">
        <v>42817</v>
      </c>
      <c r="G387" s="5">
        <v>5</v>
      </c>
      <c r="H387" s="3" t="s">
        <v>63</v>
      </c>
      <c r="I387" s="3" t="s">
        <v>7</v>
      </c>
      <c r="J387" s="7" t="b">
        <v>1</v>
      </c>
    </row>
    <row r="388" spans="1:10" ht="13.9" hidden="1">
      <c r="A388" s="5">
        <v>826118004</v>
      </c>
      <c r="B388" s="3">
        <v>3</v>
      </c>
      <c r="C388" s="3" t="s">
        <v>60</v>
      </c>
      <c r="D388" s="3">
        <v>9</v>
      </c>
      <c r="E388" s="3"/>
      <c r="F388" s="6">
        <v>41521</v>
      </c>
      <c r="G388" s="5">
        <v>9</v>
      </c>
      <c r="H388" s="3" t="s">
        <v>61</v>
      </c>
      <c r="I388" s="3" t="s">
        <v>8</v>
      </c>
      <c r="J388" s="7" t="b">
        <v>1</v>
      </c>
    </row>
    <row r="389" spans="1:10" ht="13.9" hidden="1">
      <c r="A389" s="5">
        <v>850519043</v>
      </c>
      <c r="B389" s="3">
        <v>2</v>
      </c>
      <c r="C389" s="3" t="s">
        <v>60</v>
      </c>
      <c r="D389" s="3">
        <v>7</v>
      </c>
      <c r="E389" s="3">
        <v>9</v>
      </c>
      <c r="F389" s="6">
        <v>41627</v>
      </c>
      <c r="G389" s="5">
        <v>8</v>
      </c>
      <c r="H389" s="3" t="s">
        <v>61</v>
      </c>
      <c r="I389" s="3" t="s">
        <v>7</v>
      </c>
      <c r="J389" s="7" t="b">
        <v>1</v>
      </c>
    </row>
    <row r="390" spans="1:10" ht="13.9" hidden="1">
      <c r="A390" s="5">
        <v>860514005</v>
      </c>
      <c r="B390" s="3">
        <v>6</v>
      </c>
      <c r="C390" s="3" t="s">
        <v>60</v>
      </c>
      <c r="D390" s="3">
        <v>4</v>
      </c>
      <c r="E390" s="3"/>
      <c r="F390" s="9">
        <v>40669</v>
      </c>
      <c r="G390" s="5">
        <v>11</v>
      </c>
      <c r="H390" s="3" t="s">
        <v>63</v>
      </c>
      <c r="I390" s="3" t="s">
        <v>7</v>
      </c>
      <c r="J390" s="7" t="b">
        <v>1</v>
      </c>
    </row>
    <row r="391" spans="1:10" ht="13.9" hidden="1">
      <c r="A391" s="5">
        <v>205713264</v>
      </c>
      <c r="B391" s="3">
        <v>8</v>
      </c>
      <c r="C391" s="3" t="s">
        <v>60</v>
      </c>
      <c r="D391" s="3">
        <v>7</v>
      </c>
      <c r="E391" s="3"/>
      <c r="F391" s="6">
        <v>39700</v>
      </c>
      <c r="G391" s="5">
        <v>14</v>
      </c>
      <c r="H391" s="3" t="s">
        <v>63</v>
      </c>
      <c r="I391" s="3" t="s">
        <v>7</v>
      </c>
      <c r="J391" s="7" t="b">
        <v>1</v>
      </c>
    </row>
    <row r="392" spans="1:10" ht="13.9" hidden="1">
      <c r="A392" s="5">
        <v>890421166</v>
      </c>
      <c r="B392" s="3">
        <v>2</v>
      </c>
      <c r="C392" s="3" t="s">
        <v>65</v>
      </c>
      <c r="D392" s="3">
        <v>7</v>
      </c>
      <c r="E392" s="3"/>
      <c r="F392" s="6">
        <v>41914</v>
      </c>
      <c r="G392" s="5">
        <v>8</v>
      </c>
      <c r="H392" s="3" t="s">
        <v>61</v>
      </c>
      <c r="I392" s="3" t="s">
        <v>7</v>
      </c>
      <c r="J392" s="7" t="b">
        <v>1</v>
      </c>
    </row>
    <row r="393" spans="1:10" ht="13.9" hidden="1">
      <c r="A393" s="5">
        <v>790119996</v>
      </c>
      <c r="B393" s="3">
        <v>2</v>
      </c>
      <c r="C393" s="3" t="s">
        <v>60</v>
      </c>
      <c r="D393" s="3">
        <v>9</v>
      </c>
      <c r="E393" s="3"/>
      <c r="F393" s="6">
        <v>42042</v>
      </c>
      <c r="G393" s="5">
        <v>7</v>
      </c>
      <c r="H393" s="3" t="s">
        <v>63</v>
      </c>
      <c r="I393" s="3" t="s">
        <v>7</v>
      </c>
      <c r="J393" s="7" t="b">
        <v>1</v>
      </c>
    </row>
    <row r="394" spans="1:10" ht="13.9" hidden="1">
      <c r="A394" s="5">
        <v>832715296</v>
      </c>
      <c r="B394" s="3">
        <v>6</v>
      </c>
      <c r="C394" s="3" t="s">
        <v>60</v>
      </c>
      <c r="D394" s="5">
        <v>17</v>
      </c>
      <c r="E394" s="3"/>
      <c r="F394" s="6">
        <v>40030</v>
      </c>
      <c r="G394" s="5">
        <v>13</v>
      </c>
      <c r="H394" s="3" t="s">
        <v>63</v>
      </c>
      <c r="I394" s="3" t="s">
        <v>7</v>
      </c>
      <c r="J394" s="7" t="b">
        <v>1</v>
      </c>
    </row>
    <row r="395" spans="1:10" ht="13.9" hidden="1">
      <c r="A395" s="5">
        <v>832715257</v>
      </c>
      <c r="B395" s="3">
        <v>6</v>
      </c>
      <c r="C395" s="3" t="s">
        <v>60</v>
      </c>
      <c r="D395" s="3">
        <v>9</v>
      </c>
      <c r="E395" s="3"/>
      <c r="F395" s="6">
        <v>40491</v>
      </c>
      <c r="G395" s="5">
        <v>12</v>
      </c>
      <c r="H395" s="3" t="s">
        <v>63</v>
      </c>
      <c r="I395" s="3" t="s">
        <v>6</v>
      </c>
      <c r="J395" s="7" t="b">
        <v>1</v>
      </c>
    </row>
    <row r="396" spans="1:10" ht="13.9" hidden="1">
      <c r="A396" s="3" t="s">
        <v>159</v>
      </c>
      <c r="B396" s="3">
        <v>6</v>
      </c>
      <c r="C396" s="3" t="s">
        <v>60</v>
      </c>
      <c r="D396" s="5">
        <v>17</v>
      </c>
      <c r="E396" s="3"/>
      <c r="F396" s="6">
        <v>40582</v>
      </c>
      <c r="G396" s="5">
        <v>11</v>
      </c>
      <c r="H396" s="3" t="s">
        <v>61</v>
      </c>
      <c r="I396" s="3" t="s">
        <v>7</v>
      </c>
      <c r="J396" s="7" t="b">
        <v>1</v>
      </c>
    </row>
    <row r="397" spans="1:10" ht="13.9" hidden="1">
      <c r="A397" s="5">
        <v>224510251</v>
      </c>
      <c r="B397" s="3">
        <v>9</v>
      </c>
      <c r="C397" s="3" t="s">
        <v>60</v>
      </c>
      <c r="D397" s="3">
        <v>7</v>
      </c>
      <c r="E397" s="3"/>
      <c r="F397" s="9">
        <v>39232</v>
      </c>
      <c r="G397" s="5">
        <v>15</v>
      </c>
      <c r="H397" s="3" t="s">
        <v>63</v>
      </c>
      <c r="I397" s="3" t="s">
        <v>7</v>
      </c>
      <c r="J397" s="7" t="b">
        <v>1</v>
      </c>
    </row>
    <row r="398" spans="1:10" ht="13.9" hidden="1">
      <c r="A398" s="5">
        <v>822909070</v>
      </c>
      <c r="B398" s="5">
        <v>12</v>
      </c>
      <c r="C398" s="3" t="s">
        <v>62</v>
      </c>
      <c r="D398" s="5">
        <v>17</v>
      </c>
      <c r="E398" s="3"/>
      <c r="F398" s="9">
        <v>37750</v>
      </c>
      <c r="G398" s="5">
        <v>19</v>
      </c>
      <c r="H398" s="3" t="s">
        <v>63</v>
      </c>
      <c r="I398" s="3" t="s">
        <v>7</v>
      </c>
      <c r="J398" s="7" t="b">
        <v>1</v>
      </c>
    </row>
    <row r="399" spans="1:10" ht="13.9">
      <c r="A399" s="5">
        <v>832908023</v>
      </c>
      <c r="B399" s="5">
        <v>12</v>
      </c>
      <c r="C399" s="3" t="s">
        <v>60</v>
      </c>
      <c r="D399" s="3">
        <v>6</v>
      </c>
      <c r="E399" s="3">
        <v>7</v>
      </c>
      <c r="F399" s="6">
        <v>37635</v>
      </c>
      <c r="G399" s="5">
        <v>19</v>
      </c>
      <c r="H399" s="3" t="s">
        <v>63</v>
      </c>
      <c r="I399" s="3" t="s">
        <v>4</v>
      </c>
      <c r="J399" s="7" t="b">
        <v>1</v>
      </c>
    </row>
    <row r="400" spans="1:10" ht="13.9" hidden="1">
      <c r="A400" s="5">
        <v>854917121</v>
      </c>
      <c r="B400" s="3">
        <v>3</v>
      </c>
      <c r="C400" s="3" t="s">
        <v>60</v>
      </c>
      <c r="D400" s="5">
        <v>17</v>
      </c>
      <c r="E400" s="3">
        <v>9</v>
      </c>
      <c r="F400" s="6">
        <v>41345</v>
      </c>
      <c r="G400" s="5">
        <v>9</v>
      </c>
      <c r="H400" s="3" t="s">
        <v>63</v>
      </c>
      <c r="I400" s="3" t="s">
        <v>7</v>
      </c>
      <c r="J400" s="7" t="b">
        <v>1</v>
      </c>
    </row>
    <row r="401" spans="1:10" ht="13.9">
      <c r="A401" s="5">
        <v>809119909</v>
      </c>
      <c r="B401" s="3">
        <v>3</v>
      </c>
      <c r="C401" s="3" t="s">
        <v>60</v>
      </c>
      <c r="D401" s="3">
        <v>9</v>
      </c>
      <c r="E401" s="3"/>
      <c r="F401" s="6">
        <v>41505</v>
      </c>
      <c r="G401" s="5">
        <v>9</v>
      </c>
      <c r="H401" s="3" t="s">
        <v>63</v>
      </c>
      <c r="I401" s="3" t="s">
        <v>4</v>
      </c>
      <c r="J401" s="7" t="b">
        <v>1</v>
      </c>
    </row>
    <row r="402" spans="1:10" ht="13.9" hidden="1">
      <c r="A402" s="5">
        <v>850514010</v>
      </c>
      <c r="B402" s="3">
        <v>5</v>
      </c>
      <c r="C402" s="3" t="s">
        <v>60</v>
      </c>
      <c r="D402" s="3">
        <v>9</v>
      </c>
      <c r="E402" s="3"/>
      <c r="F402" s="6">
        <v>40643</v>
      </c>
      <c r="G402" s="5">
        <v>11</v>
      </c>
      <c r="H402" s="3" t="s">
        <v>63</v>
      </c>
      <c r="I402" s="3" t="s">
        <v>7</v>
      </c>
      <c r="J402" s="7" t="b">
        <v>1</v>
      </c>
    </row>
    <row r="403" spans="1:10" ht="13.9" hidden="1">
      <c r="A403" s="5">
        <v>840914264</v>
      </c>
      <c r="B403" s="3">
        <v>7</v>
      </c>
      <c r="C403" s="3" t="s">
        <v>60</v>
      </c>
      <c r="D403" s="5">
        <v>15</v>
      </c>
      <c r="E403" s="3">
        <v>9</v>
      </c>
      <c r="F403" s="6">
        <v>40282</v>
      </c>
      <c r="G403" s="5">
        <v>12</v>
      </c>
      <c r="H403" s="3" t="s">
        <v>61</v>
      </c>
      <c r="I403" s="3" t="s">
        <v>7</v>
      </c>
      <c r="J403" s="7" t="b">
        <v>1</v>
      </c>
    </row>
    <row r="404" spans="1:10" ht="13.9" hidden="1">
      <c r="A404" s="5">
        <v>853300002</v>
      </c>
      <c r="B404" s="3">
        <v>8</v>
      </c>
      <c r="C404" s="3" t="s">
        <v>62</v>
      </c>
      <c r="D404" s="5">
        <v>15</v>
      </c>
      <c r="E404" s="3">
        <v>9</v>
      </c>
      <c r="F404" s="6">
        <v>39056</v>
      </c>
      <c r="G404" s="5">
        <v>15</v>
      </c>
      <c r="H404" s="3" t="s">
        <v>63</v>
      </c>
      <c r="I404" s="3" t="s">
        <v>7</v>
      </c>
      <c r="J404" s="7" t="b">
        <v>1</v>
      </c>
    </row>
    <row r="405" spans="1:10" ht="13.9" hidden="1">
      <c r="A405" s="5">
        <v>711710258</v>
      </c>
      <c r="B405" s="3">
        <v>8</v>
      </c>
      <c r="C405" s="3" t="s">
        <v>60</v>
      </c>
      <c r="D405" s="3">
        <v>6</v>
      </c>
      <c r="E405" s="3">
        <v>7</v>
      </c>
      <c r="F405" s="6">
        <v>39867</v>
      </c>
      <c r="G405" s="5">
        <v>13</v>
      </c>
      <c r="H405" s="3" t="s">
        <v>63</v>
      </c>
      <c r="I405" s="3" t="s">
        <v>7</v>
      </c>
      <c r="J405" s="7" t="b">
        <v>1</v>
      </c>
    </row>
    <row r="406" spans="1:10" ht="13.9">
      <c r="A406" s="5">
        <v>828517020</v>
      </c>
      <c r="B406" s="3">
        <v>6</v>
      </c>
      <c r="C406" s="3" t="s">
        <v>60</v>
      </c>
      <c r="D406" s="3">
        <v>7</v>
      </c>
      <c r="E406" s="3">
        <v>9</v>
      </c>
      <c r="F406" s="6">
        <v>40456</v>
      </c>
      <c r="G406" s="5">
        <v>12</v>
      </c>
      <c r="H406" s="3" t="s">
        <v>61</v>
      </c>
      <c r="I406" s="3" t="s">
        <v>4</v>
      </c>
      <c r="J406" s="7" t="b">
        <v>1</v>
      </c>
    </row>
    <row r="407" spans="1:10" ht="13.9" hidden="1">
      <c r="A407" s="5">
        <v>828516046</v>
      </c>
      <c r="B407" s="3">
        <v>9</v>
      </c>
      <c r="C407" s="3" t="s">
        <v>60</v>
      </c>
      <c r="D407" s="3">
        <v>7</v>
      </c>
      <c r="E407" s="3"/>
      <c r="F407" s="6">
        <v>39146</v>
      </c>
      <c r="G407" s="5">
        <v>15</v>
      </c>
      <c r="H407" s="3" t="s">
        <v>63</v>
      </c>
      <c r="I407" s="3" t="s">
        <v>9</v>
      </c>
      <c r="J407" s="7" t="b">
        <v>1</v>
      </c>
    </row>
    <row r="408" spans="1:10" ht="13.9" hidden="1">
      <c r="A408" s="5">
        <v>860920009</v>
      </c>
      <c r="B408" s="3">
        <v>1</v>
      </c>
      <c r="C408" s="3" t="s">
        <v>60</v>
      </c>
      <c r="D408" s="3">
        <v>8</v>
      </c>
      <c r="E408" s="3"/>
      <c r="F408" s="6">
        <v>42178</v>
      </c>
      <c r="G408" s="5">
        <v>7</v>
      </c>
      <c r="H408" s="3" t="s">
        <v>61</v>
      </c>
      <c r="I408" s="3" t="s">
        <v>7</v>
      </c>
      <c r="J408" s="7" t="b">
        <v>1</v>
      </c>
    </row>
    <row r="409" spans="1:10" ht="13.9">
      <c r="A409" s="5">
        <v>832720116</v>
      </c>
      <c r="B409" s="3">
        <v>1</v>
      </c>
      <c r="C409" s="3" t="s">
        <v>60</v>
      </c>
      <c r="D409" s="3">
        <v>8</v>
      </c>
      <c r="E409" s="3">
        <v>9</v>
      </c>
      <c r="F409" s="6">
        <v>42282</v>
      </c>
      <c r="G409" s="5">
        <v>7</v>
      </c>
      <c r="H409" s="3" t="s">
        <v>63</v>
      </c>
      <c r="I409" s="3" t="s">
        <v>4</v>
      </c>
      <c r="J409" s="7" t="b">
        <v>1</v>
      </c>
    </row>
    <row r="410" spans="1:10" ht="13.9" hidden="1">
      <c r="A410" s="5">
        <v>800917046</v>
      </c>
      <c r="B410" s="3">
        <v>3</v>
      </c>
      <c r="C410" s="3" t="s">
        <v>65</v>
      </c>
      <c r="D410" s="3">
        <v>7</v>
      </c>
      <c r="E410" s="3">
        <v>9</v>
      </c>
      <c r="F410" s="6">
        <v>41594</v>
      </c>
      <c r="G410" s="5">
        <v>9</v>
      </c>
      <c r="H410" s="3" t="s">
        <v>63</v>
      </c>
      <c r="I410" s="3" t="s">
        <v>7</v>
      </c>
      <c r="J410" s="7" t="b">
        <v>1</v>
      </c>
    </row>
    <row r="411" spans="1:10" ht="13.9" hidden="1">
      <c r="A411" s="5">
        <v>881913084</v>
      </c>
      <c r="B411" s="5">
        <v>10</v>
      </c>
      <c r="C411" s="3" t="s">
        <v>60</v>
      </c>
      <c r="D411" s="5">
        <v>17</v>
      </c>
      <c r="E411" s="3"/>
      <c r="F411" s="6">
        <v>39238</v>
      </c>
      <c r="G411" s="5">
        <v>15</v>
      </c>
      <c r="H411" s="3" t="s">
        <v>61</v>
      </c>
      <c r="I411" s="3" t="s">
        <v>8</v>
      </c>
      <c r="J411" s="7" t="b">
        <v>1</v>
      </c>
    </row>
    <row r="412" spans="1:10" ht="13.9" hidden="1">
      <c r="A412" s="5">
        <v>854913106</v>
      </c>
      <c r="B412" s="3">
        <v>8</v>
      </c>
      <c r="C412" s="3" t="s">
        <v>60</v>
      </c>
      <c r="D412" s="3">
        <v>7</v>
      </c>
      <c r="E412" s="3"/>
      <c r="F412" s="6">
        <v>39178</v>
      </c>
      <c r="G412" s="5">
        <v>15</v>
      </c>
      <c r="H412" s="3" t="s">
        <v>63</v>
      </c>
      <c r="I412" s="3" t="s">
        <v>7</v>
      </c>
      <c r="J412" s="7" t="b">
        <v>1</v>
      </c>
    </row>
    <row r="413" spans="1:10" ht="13.9" hidden="1">
      <c r="A413" s="5">
        <v>662112101</v>
      </c>
      <c r="B413" s="3">
        <v>9</v>
      </c>
      <c r="C413" s="3" t="s">
        <v>65</v>
      </c>
      <c r="D413" s="5">
        <v>17</v>
      </c>
      <c r="E413" s="3">
        <v>9</v>
      </c>
      <c r="F413" s="6">
        <v>39161</v>
      </c>
      <c r="G413" s="5">
        <v>15</v>
      </c>
      <c r="H413" s="3" t="s">
        <v>63</v>
      </c>
      <c r="I413" s="3" t="s">
        <v>7</v>
      </c>
      <c r="J413" s="7" t="b">
        <v>1</v>
      </c>
    </row>
    <row r="414" spans="1:10" ht="13.9" hidden="1">
      <c r="A414" s="5">
        <v>886416047</v>
      </c>
      <c r="B414" s="3">
        <v>7</v>
      </c>
      <c r="C414" s="3" t="s">
        <v>60</v>
      </c>
      <c r="D414" s="5">
        <v>17</v>
      </c>
      <c r="E414" s="3"/>
      <c r="F414" s="6">
        <v>40374</v>
      </c>
      <c r="G414" s="5">
        <v>12</v>
      </c>
      <c r="H414" s="3" t="s">
        <v>63</v>
      </c>
      <c r="I414" s="3" t="s">
        <v>7</v>
      </c>
      <c r="J414" s="7" t="b">
        <v>1</v>
      </c>
    </row>
    <row r="415" spans="1:10" ht="13.9" hidden="1">
      <c r="A415" s="5">
        <v>218919006</v>
      </c>
      <c r="B415" s="3">
        <v>4</v>
      </c>
      <c r="C415" s="3" t="s">
        <v>60</v>
      </c>
      <c r="D415" s="3">
        <v>7</v>
      </c>
      <c r="E415" s="3"/>
      <c r="F415" s="6">
        <v>41339</v>
      </c>
      <c r="G415" s="5">
        <v>9</v>
      </c>
      <c r="H415" s="3" t="s">
        <v>61</v>
      </c>
      <c r="I415" s="3" t="s">
        <v>7</v>
      </c>
      <c r="J415" s="7" t="b">
        <v>1</v>
      </c>
    </row>
    <row r="416" spans="1:10" ht="13.9" hidden="1">
      <c r="A416" s="5">
        <v>836519017</v>
      </c>
      <c r="B416" s="3">
        <v>4</v>
      </c>
      <c r="C416" s="3" t="s">
        <v>60</v>
      </c>
      <c r="D416" s="3">
        <v>7</v>
      </c>
      <c r="E416" s="3">
        <v>9</v>
      </c>
      <c r="F416" s="6">
        <v>41295</v>
      </c>
      <c r="G416" s="5">
        <v>9</v>
      </c>
      <c r="H416" s="3" t="s">
        <v>61</v>
      </c>
      <c r="I416" s="3" t="s">
        <v>7</v>
      </c>
      <c r="J416" s="7" t="b">
        <v>1</v>
      </c>
    </row>
    <row r="417" spans="1:10" ht="13.9" hidden="1">
      <c r="A417" s="3" t="s">
        <v>160</v>
      </c>
      <c r="B417" s="3">
        <v>2</v>
      </c>
      <c r="C417" s="3" t="s">
        <v>65</v>
      </c>
      <c r="D417" s="3">
        <v>8</v>
      </c>
      <c r="E417" s="3">
        <v>9</v>
      </c>
      <c r="F417" s="6">
        <v>41956</v>
      </c>
      <c r="G417" s="5">
        <v>8</v>
      </c>
      <c r="H417" s="3" t="s">
        <v>61</v>
      </c>
      <c r="I417" s="3" t="s">
        <v>7</v>
      </c>
      <c r="J417" s="7" t="b">
        <v>1</v>
      </c>
    </row>
    <row r="418" spans="1:10" ht="13.9" hidden="1">
      <c r="A418" s="5">
        <v>803518013</v>
      </c>
      <c r="B418" s="3">
        <v>5</v>
      </c>
      <c r="C418" s="3" t="s">
        <v>60</v>
      </c>
      <c r="D418" s="3">
        <v>9</v>
      </c>
      <c r="E418" s="3"/>
      <c r="F418" s="6">
        <v>41075</v>
      </c>
      <c r="G418" s="5">
        <v>10</v>
      </c>
      <c r="H418" s="3" t="s">
        <v>63</v>
      </c>
      <c r="I418" s="3" t="s">
        <v>7</v>
      </c>
      <c r="J418" s="7" t="b">
        <v>1</v>
      </c>
    </row>
    <row r="419" spans="1:10" ht="13.9" hidden="1">
      <c r="A419" s="5">
        <v>698514006</v>
      </c>
      <c r="B419" s="3">
        <v>9</v>
      </c>
      <c r="C419" s="3" t="s">
        <v>60</v>
      </c>
      <c r="D419" s="5">
        <v>17</v>
      </c>
      <c r="E419" s="3">
        <v>7</v>
      </c>
      <c r="F419" s="9">
        <v>39584</v>
      </c>
      <c r="G419" s="5">
        <v>14</v>
      </c>
      <c r="H419" s="3" t="s">
        <v>61</v>
      </c>
      <c r="I419" s="3" t="s">
        <v>7</v>
      </c>
      <c r="J419" s="7" t="b">
        <v>1</v>
      </c>
    </row>
    <row r="420" spans="1:10" ht="13.9" hidden="1">
      <c r="A420" s="5">
        <v>624360004</v>
      </c>
      <c r="B420" s="3">
        <v>7</v>
      </c>
      <c r="C420" s="3" t="s">
        <v>62</v>
      </c>
      <c r="D420" s="5">
        <v>10</v>
      </c>
      <c r="E420" s="3">
        <v>9</v>
      </c>
      <c r="F420" s="6">
        <v>39908</v>
      </c>
      <c r="G420" s="5">
        <v>13</v>
      </c>
      <c r="H420" s="3" t="s">
        <v>63</v>
      </c>
      <c r="I420" s="3" t="s">
        <v>7</v>
      </c>
      <c r="J420" s="7" t="b">
        <v>1</v>
      </c>
    </row>
    <row r="421" spans="1:10" ht="13.9" hidden="1">
      <c r="A421" s="5">
        <v>832720111</v>
      </c>
      <c r="B421" s="3" t="s">
        <v>41</v>
      </c>
      <c r="C421" s="3" t="s">
        <v>65</v>
      </c>
      <c r="D421" s="3">
        <v>8</v>
      </c>
      <c r="E421" s="3">
        <v>9</v>
      </c>
      <c r="F421" s="6">
        <v>42551</v>
      </c>
      <c r="G421" s="5">
        <v>6</v>
      </c>
      <c r="H421" s="3" t="s">
        <v>61</v>
      </c>
      <c r="I421" s="3" t="s">
        <v>8</v>
      </c>
      <c r="J421" s="7" t="b">
        <v>1</v>
      </c>
    </row>
    <row r="422" spans="1:10" ht="13.9" hidden="1">
      <c r="A422" s="5">
        <v>865612056</v>
      </c>
      <c r="B422" s="5">
        <v>11</v>
      </c>
      <c r="C422" s="3" t="s">
        <v>60</v>
      </c>
      <c r="D422" s="3">
        <v>4</v>
      </c>
      <c r="E422" s="3"/>
      <c r="F422" s="6">
        <v>38637</v>
      </c>
      <c r="G422" s="5">
        <v>17</v>
      </c>
      <c r="H422" s="3" t="s">
        <v>63</v>
      </c>
      <c r="I422" s="3" t="s">
        <v>7</v>
      </c>
      <c r="J422" s="7" t="b">
        <v>1</v>
      </c>
    </row>
    <row r="423" spans="1:10" ht="13.9" hidden="1">
      <c r="A423" s="5">
        <v>828517034</v>
      </c>
      <c r="B423" s="5">
        <v>11</v>
      </c>
      <c r="C423" s="3" t="s">
        <v>65</v>
      </c>
      <c r="D423" s="3">
        <v>7</v>
      </c>
      <c r="E423" s="3"/>
      <c r="F423" s="9">
        <v>38501</v>
      </c>
      <c r="G423" s="5">
        <v>17</v>
      </c>
      <c r="H423" s="3" t="s">
        <v>63</v>
      </c>
      <c r="I423" s="3" t="s">
        <v>7</v>
      </c>
      <c r="J423" s="7" t="b">
        <v>1</v>
      </c>
    </row>
    <row r="424" spans="1:10" ht="13.9" hidden="1">
      <c r="A424" s="5">
        <v>877915069</v>
      </c>
      <c r="B424" s="3">
        <v>6</v>
      </c>
      <c r="C424" s="3" t="s">
        <v>62</v>
      </c>
      <c r="D424" s="3">
        <v>5</v>
      </c>
      <c r="E424" s="3">
        <v>7</v>
      </c>
      <c r="F424" s="6">
        <v>40051</v>
      </c>
      <c r="G424" s="5">
        <v>13</v>
      </c>
      <c r="H424" s="3" t="s">
        <v>63</v>
      </c>
      <c r="I424" s="3" t="s">
        <v>7</v>
      </c>
      <c r="J424" s="7" t="b">
        <v>1</v>
      </c>
    </row>
    <row r="425" spans="1:10" ht="13.9" hidden="1">
      <c r="A425" s="3">
        <v>94210044</v>
      </c>
      <c r="B425" s="5">
        <v>11</v>
      </c>
      <c r="C425" s="3" t="s">
        <v>62</v>
      </c>
      <c r="D425" s="5">
        <v>15</v>
      </c>
      <c r="E425" s="3">
        <v>9</v>
      </c>
      <c r="F425" s="6">
        <v>38663</v>
      </c>
      <c r="G425" s="5">
        <v>17</v>
      </c>
      <c r="H425" s="3" t="s">
        <v>63</v>
      </c>
      <c r="I425" s="3" t="s">
        <v>7</v>
      </c>
      <c r="J425" s="7" t="b">
        <v>1</v>
      </c>
    </row>
    <row r="426" spans="1:10" ht="13.9" hidden="1">
      <c r="A426" s="5">
        <v>837611041</v>
      </c>
      <c r="B426" s="5">
        <v>10</v>
      </c>
      <c r="C426" s="3" t="s">
        <v>60</v>
      </c>
      <c r="D426" s="3">
        <v>7</v>
      </c>
      <c r="E426" s="3"/>
      <c r="F426" s="6">
        <v>39086</v>
      </c>
      <c r="G426" s="5">
        <v>15</v>
      </c>
      <c r="H426" s="3" t="s">
        <v>61</v>
      </c>
      <c r="I426" s="3" t="s">
        <v>8</v>
      </c>
      <c r="J426" s="7" t="b">
        <v>1</v>
      </c>
    </row>
    <row r="427" spans="1:10" ht="13.9" hidden="1">
      <c r="A427" s="5">
        <v>857510049</v>
      </c>
      <c r="B427" s="3">
        <v>9</v>
      </c>
      <c r="C427" s="3" t="s">
        <v>60</v>
      </c>
      <c r="D427" s="3">
        <v>2</v>
      </c>
      <c r="E427" s="3"/>
      <c r="F427" s="6">
        <v>39326</v>
      </c>
      <c r="G427" s="5">
        <v>15</v>
      </c>
      <c r="H427" s="3" t="s">
        <v>61</v>
      </c>
      <c r="I427" s="3" t="s">
        <v>7</v>
      </c>
      <c r="J427" s="7" t="b">
        <v>1</v>
      </c>
    </row>
    <row r="428" spans="1:10" ht="13.9" hidden="1">
      <c r="A428" s="5">
        <v>224507224</v>
      </c>
      <c r="B428" s="5">
        <v>12</v>
      </c>
      <c r="C428" s="3" t="s">
        <v>60</v>
      </c>
      <c r="D428" s="5">
        <v>17</v>
      </c>
      <c r="E428" s="3"/>
      <c r="F428" s="6">
        <v>38059</v>
      </c>
      <c r="G428" s="5">
        <v>18</v>
      </c>
      <c r="H428" s="3" t="s">
        <v>63</v>
      </c>
      <c r="I428" s="3" t="s">
        <v>7</v>
      </c>
      <c r="J428" s="7" t="b">
        <v>1</v>
      </c>
    </row>
    <row r="429" spans="1:10" ht="13.9" hidden="1">
      <c r="A429" s="5">
        <v>851117135</v>
      </c>
      <c r="B429" s="3">
        <v>3</v>
      </c>
      <c r="C429" s="3" t="s">
        <v>60</v>
      </c>
      <c r="D429" s="3">
        <v>9</v>
      </c>
      <c r="E429" s="3"/>
      <c r="F429" s="6">
        <v>41815</v>
      </c>
      <c r="G429" s="5">
        <v>8</v>
      </c>
      <c r="H429" s="3" t="s">
        <v>61</v>
      </c>
      <c r="I429" s="3" t="s">
        <v>7</v>
      </c>
      <c r="J429" s="7" t="b">
        <v>1</v>
      </c>
    </row>
    <row r="430" spans="1:10" ht="13.9" hidden="1">
      <c r="A430" s="5">
        <v>874421061</v>
      </c>
      <c r="B430" s="3" t="s">
        <v>41</v>
      </c>
      <c r="C430" s="3" t="s">
        <v>60</v>
      </c>
      <c r="D430" s="3">
        <v>9</v>
      </c>
      <c r="E430" s="3"/>
      <c r="F430" s="6">
        <v>42332</v>
      </c>
      <c r="G430" s="5">
        <v>7</v>
      </c>
      <c r="H430" s="3" t="s">
        <v>63</v>
      </c>
      <c r="I430" s="3" t="s">
        <v>7</v>
      </c>
      <c r="J430" s="7" t="b">
        <v>1</v>
      </c>
    </row>
    <row r="431" spans="1:10" ht="13.9" hidden="1">
      <c r="A431" s="5">
        <v>881719012</v>
      </c>
      <c r="B431" s="3">
        <v>3</v>
      </c>
      <c r="C431" s="3" t="s">
        <v>60</v>
      </c>
      <c r="D431" s="3">
        <v>7</v>
      </c>
      <c r="E431" s="3">
        <v>9</v>
      </c>
      <c r="F431" s="6">
        <v>41373</v>
      </c>
      <c r="G431" s="5">
        <v>9</v>
      </c>
      <c r="H431" s="3" t="s">
        <v>63</v>
      </c>
      <c r="I431" s="3" t="s">
        <v>8</v>
      </c>
      <c r="J431" s="7" t="b">
        <v>1</v>
      </c>
    </row>
    <row r="432" spans="1:10" ht="13.9" hidden="1">
      <c r="A432" s="5">
        <v>840920028</v>
      </c>
      <c r="B432" s="3">
        <v>3</v>
      </c>
      <c r="C432" s="3" t="s">
        <v>60</v>
      </c>
      <c r="D432" s="5">
        <v>17</v>
      </c>
      <c r="E432" s="3"/>
      <c r="F432" s="6">
        <v>41662</v>
      </c>
      <c r="G432" s="5">
        <v>8</v>
      </c>
      <c r="H432" s="3" t="s">
        <v>63</v>
      </c>
      <c r="I432" s="3" t="s">
        <v>7</v>
      </c>
      <c r="J432" s="7" t="b">
        <v>1</v>
      </c>
    </row>
    <row r="433" spans="1:10" ht="13.9" hidden="1">
      <c r="A433" s="5">
        <v>832715436</v>
      </c>
      <c r="B433" s="3">
        <v>5</v>
      </c>
      <c r="C433" s="3" t="s">
        <v>60</v>
      </c>
      <c r="D433" s="5">
        <v>17</v>
      </c>
      <c r="E433" s="3"/>
      <c r="F433" s="6">
        <v>40919</v>
      </c>
      <c r="G433" s="5">
        <v>10</v>
      </c>
      <c r="H433" s="3" t="s">
        <v>63</v>
      </c>
      <c r="I433" s="3" t="s">
        <v>7</v>
      </c>
      <c r="J433" s="7" t="b">
        <v>1</v>
      </c>
    </row>
    <row r="434" spans="1:10" ht="13.9" hidden="1">
      <c r="A434" s="5">
        <v>802119117</v>
      </c>
      <c r="B434" s="3">
        <v>1</v>
      </c>
      <c r="C434" s="3" t="s">
        <v>60</v>
      </c>
      <c r="D434" s="3">
        <v>9</v>
      </c>
      <c r="E434" s="3"/>
      <c r="F434" s="9">
        <v>42152</v>
      </c>
      <c r="G434" s="5">
        <v>7</v>
      </c>
      <c r="H434" s="3" t="s">
        <v>63</v>
      </c>
      <c r="I434" s="3" t="s">
        <v>7</v>
      </c>
      <c r="J434" s="7" t="b">
        <v>1</v>
      </c>
    </row>
    <row r="435" spans="1:10" ht="13.9" hidden="1">
      <c r="A435" s="5">
        <v>859317076</v>
      </c>
      <c r="B435" s="3">
        <v>4</v>
      </c>
      <c r="C435" s="3" t="s">
        <v>65</v>
      </c>
      <c r="D435" s="5">
        <v>15</v>
      </c>
      <c r="E435" s="3">
        <v>9</v>
      </c>
      <c r="F435" s="9">
        <v>41045</v>
      </c>
      <c r="G435" s="5">
        <v>10</v>
      </c>
      <c r="H435" s="3" t="s">
        <v>63</v>
      </c>
      <c r="I435" s="3" t="s">
        <v>7</v>
      </c>
      <c r="J435" s="7" t="b">
        <v>1</v>
      </c>
    </row>
    <row r="436" spans="1:10" ht="13.9" hidden="1">
      <c r="A436" s="5">
        <v>832918043</v>
      </c>
      <c r="B436" s="3">
        <v>4</v>
      </c>
      <c r="C436" s="3" t="s">
        <v>60</v>
      </c>
      <c r="D436" s="3">
        <v>7</v>
      </c>
      <c r="E436" s="3"/>
      <c r="F436" s="6">
        <v>41435</v>
      </c>
      <c r="G436" s="5">
        <v>9</v>
      </c>
      <c r="H436" s="3" t="s">
        <v>63</v>
      </c>
      <c r="I436" s="3" t="s">
        <v>8</v>
      </c>
      <c r="J436" s="7" t="b">
        <v>1</v>
      </c>
    </row>
    <row r="437" spans="1:10" ht="13.9">
      <c r="A437" s="5">
        <v>832715412</v>
      </c>
      <c r="B437" s="3">
        <v>5</v>
      </c>
      <c r="C437" s="3" t="s">
        <v>60</v>
      </c>
      <c r="D437" s="3">
        <v>7</v>
      </c>
      <c r="E437" s="3"/>
      <c r="F437" s="6">
        <v>40478</v>
      </c>
      <c r="G437" s="5">
        <v>12</v>
      </c>
      <c r="H437" s="3" t="s">
        <v>61</v>
      </c>
      <c r="I437" s="3" t="s">
        <v>4</v>
      </c>
      <c r="J437" s="7" t="b">
        <v>1</v>
      </c>
    </row>
    <row r="438" spans="1:10" ht="13.9" hidden="1">
      <c r="A438" s="3">
        <v>64118027</v>
      </c>
      <c r="B438" s="3">
        <v>2</v>
      </c>
      <c r="C438" s="3" t="s">
        <v>60</v>
      </c>
      <c r="D438" s="5">
        <v>17</v>
      </c>
      <c r="E438" s="3">
        <v>9</v>
      </c>
      <c r="F438" s="6">
        <v>42102</v>
      </c>
      <c r="G438" s="5">
        <v>7</v>
      </c>
      <c r="H438" s="3" t="s">
        <v>61</v>
      </c>
      <c r="I438" s="3" t="s">
        <v>7</v>
      </c>
      <c r="J438" s="7" t="b">
        <v>1</v>
      </c>
    </row>
    <row r="439" spans="1:10" ht="13.9" hidden="1">
      <c r="A439" s="5">
        <v>850909012</v>
      </c>
      <c r="B439" s="5">
        <v>10</v>
      </c>
      <c r="C439" s="3" t="s">
        <v>65</v>
      </c>
      <c r="D439" s="5">
        <v>17</v>
      </c>
      <c r="E439" s="3"/>
      <c r="F439" s="6">
        <v>38926</v>
      </c>
      <c r="G439" s="5">
        <v>16</v>
      </c>
      <c r="H439" s="3" t="s">
        <v>63</v>
      </c>
      <c r="I439" s="3" t="s">
        <v>7</v>
      </c>
      <c r="J439" s="7" t="b">
        <v>1</v>
      </c>
    </row>
    <row r="440" spans="1:10" ht="13.9" hidden="1">
      <c r="A440" s="5">
        <v>853717082</v>
      </c>
      <c r="B440" s="3">
        <v>1</v>
      </c>
      <c r="C440" s="3" t="s">
        <v>60</v>
      </c>
      <c r="D440" s="3">
        <v>8</v>
      </c>
      <c r="E440" s="3">
        <v>9</v>
      </c>
      <c r="F440" s="6">
        <v>42115</v>
      </c>
      <c r="G440" s="5">
        <v>7</v>
      </c>
      <c r="H440" s="3" t="s">
        <v>63</v>
      </c>
      <c r="I440" s="3" t="s">
        <v>7</v>
      </c>
      <c r="J440" s="7" t="b">
        <v>1</v>
      </c>
    </row>
    <row r="441" spans="1:10" ht="13.9" hidden="1">
      <c r="A441" s="5">
        <v>363515364</v>
      </c>
      <c r="B441" s="3">
        <v>8</v>
      </c>
      <c r="C441" s="3" t="s">
        <v>60</v>
      </c>
      <c r="D441" s="3">
        <v>7</v>
      </c>
      <c r="E441" s="3"/>
      <c r="F441" s="6">
        <v>39712</v>
      </c>
      <c r="G441" s="5">
        <v>14</v>
      </c>
      <c r="H441" s="3" t="s">
        <v>63</v>
      </c>
      <c r="I441" s="3" t="s">
        <v>8</v>
      </c>
      <c r="J441" s="7" t="b">
        <v>1</v>
      </c>
    </row>
    <row r="442" spans="1:10" ht="13.9" hidden="1">
      <c r="A442" s="5">
        <v>832718356</v>
      </c>
      <c r="B442" s="3">
        <v>1</v>
      </c>
      <c r="C442" s="3" t="s">
        <v>60</v>
      </c>
      <c r="D442" s="3">
        <v>8</v>
      </c>
      <c r="E442" s="3">
        <v>9</v>
      </c>
      <c r="F442" s="6">
        <v>42354</v>
      </c>
      <c r="G442" s="5">
        <v>6</v>
      </c>
      <c r="H442" s="3" t="s">
        <v>63</v>
      </c>
      <c r="I442" s="3" t="s">
        <v>7</v>
      </c>
      <c r="J442" s="7" t="b">
        <v>1</v>
      </c>
    </row>
    <row r="443" spans="1:10" ht="13.9" hidden="1">
      <c r="A443" s="5">
        <v>839608011</v>
      </c>
      <c r="B443" s="5">
        <v>11</v>
      </c>
      <c r="C443" s="3" t="s">
        <v>62</v>
      </c>
      <c r="D443" s="5">
        <v>11</v>
      </c>
      <c r="E443" s="3">
        <v>9</v>
      </c>
      <c r="F443" s="6">
        <v>38395</v>
      </c>
      <c r="G443" s="5">
        <v>17</v>
      </c>
      <c r="H443" s="3" t="s">
        <v>61</v>
      </c>
      <c r="I443" s="3" t="s">
        <v>7</v>
      </c>
      <c r="J443" s="7" t="b">
        <v>1</v>
      </c>
    </row>
    <row r="444" spans="1:10" ht="13.9" hidden="1">
      <c r="A444" s="5">
        <v>630516347</v>
      </c>
      <c r="B444" s="3">
        <v>4</v>
      </c>
      <c r="C444" s="3" t="s">
        <v>60</v>
      </c>
      <c r="D444" s="5">
        <v>17</v>
      </c>
      <c r="E444" s="3">
        <v>9</v>
      </c>
      <c r="F444" s="6">
        <v>40785</v>
      </c>
      <c r="G444" s="5">
        <v>11</v>
      </c>
      <c r="H444" s="3" t="s">
        <v>63</v>
      </c>
      <c r="I444" s="3" t="s">
        <v>7</v>
      </c>
      <c r="J444" s="7" t="b">
        <v>1</v>
      </c>
    </row>
    <row r="445" spans="1:10" ht="13.9" hidden="1">
      <c r="A445" s="5">
        <v>876114001</v>
      </c>
      <c r="B445" s="3">
        <v>9</v>
      </c>
      <c r="C445" s="3" t="s">
        <v>60</v>
      </c>
      <c r="D445" s="3">
        <v>7</v>
      </c>
      <c r="E445" s="3"/>
      <c r="F445" s="6">
        <v>39181</v>
      </c>
      <c r="G445" s="5">
        <v>15</v>
      </c>
      <c r="H445" s="3" t="s">
        <v>61</v>
      </c>
      <c r="I445" s="3" t="s">
        <v>7</v>
      </c>
      <c r="J445" s="7" t="b">
        <v>1</v>
      </c>
    </row>
    <row r="446" spans="1:10" ht="13.9" hidden="1">
      <c r="A446" s="5">
        <v>857519060</v>
      </c>
      <c r="B446" s="3">
        <v>1</v>
      </c>
      <c r="C446" s="3" t="s">
        <v>60</v>
      </c>
      <c r="D446" s="3">
        <v>8</v>
      </c>
      <c r="E446" s="3">
        <v>9</v>
      </c>
      <c r="F446" s="6">
        <v>42386</v>
      </c>
      <c r="G446" s="5">
        <v>6</v>
      </c>
      <c r="H446" s="3" t="s">
        <v>63</v>
      </c>
      <c r="I446" s="3" t="s">
        <v>7</v>
      </c>
      <c r="J446" s="7" t="b">
        <v>1</v>
      </c>
    </row>
    <row r="447" spans="1:10" ht="13.9" hidden="1">
      <c r="A447" s="5">
        <v>851121062</v>
      </c>
      <c r="B447" s="3">
        <v>3</v>
      </c>
      <c r="C447" s="3" t="s">
        <v>60</v>
      </c>
      <c r="D447" s="5">
        <v>17</v>
      </c>
      <c r="E447" s="3"/>
      <c r="F447" s="6">
        <v>41577</v>
      </c>
      <c r="G447" s="5">
        <v>9</v>
      </c>
      <c r="H447" s="3" t="s">
        <v>63</v>
      </c>
      <c r="I447" s="3" t="s">
        <v>7</v>
      </c>
      <c r="J447" s="7" t="b">
        <v>1</v>
      </c>
    </row>
    <row r="448" spans="1:10" ht="13.9" hidden="1">
      <c r="A448" s="5">
        <v>821315008</v>
      </c>
      <c r="B448" s="3">
        <v>8</v>
      </c>
      <c r="C448" s="3" t="s">
        <v>60</v>
      </c>
      <c r="D448" s="3">
        <v>6</v>
      </c>
      <c r="E448" s="3"/>
      <c r="F448" s="6">
        <v>39683</v>
      </c>
      <c r="G448" s="5">
        <v>14</v>
      </c>
      <c r="H448" s="3" t="s">
        <v>63</v>
      </c>
      <c r="I448" s="3" t="s">
        <v>7</v>
      </c>
      <c r="J448" s="7" t="b">
        <v>1</v>
      </c>
    </row>
    <row r="449" spans="1:10" ht="13.9" hidden="1">
      <c r="A449" s="5">
        <v>800516055</v>
      </c>
      <c r="B449" s="3">
        <v>7</v>
      </c>
      <c r="C449" s="3" t="s">
        <v>65</v>
      </c>
      <c r="D449" s="3">
        <v>7</v>
      </c>
      <c r="E449" s="5">
        <v>17</v>
      </c>
      <c r="F449" s="6">
        <v>40253</v>
      </c>
      <c r="G449" s="5">
        <v>12</v>
      </c>
      <c r="H449" s="3" t="s">
        <v>61</v>
      </c>
      <c r="I449" s="3" t="s">
        <v>7</v>
      </c>
      <c r="J449" s="7" t="b">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outlinePr summaryBelow="0" summaryRight="0"/>
  </sheetPr>
  <dimension ref="A1:J648"/>
  <sheetViews>
    <sheetView workbookViewId="0">
      <selection activeCell="E2" sqref="E2"/>
    </sheetView>
  </sheetViews>
  <sheetFormatPr defaultColWidth="12.5703125" defaultRowHeight="15.75" customHeight="1"/>
  <cols>
    <col min="2" max="2" width="26.5703125" customWidth="1"/>
    <col min="3" max="5" width="27.28515625" customWidth="1"/>
    <col min="6" max="6" width="30.85546875" customWidth="1"/>
  </cols>
  <sheetData>
    <row r="1" spans="1:10" ht="13.9">
      <c r="A1" s="3" t="s">
        <v>10</v>
      </c>
      <c r="B1" s="3" t="s">
        <v>161</v>
      </c>
      <c r="C1" s="3" t="s">
        <v>162</v>
      </c>
      <c r="D1" s="3" t="s">
        <v>52</v>
      </c>
      <c r="E1" s="15" t="s">
        <v>163</v>
      </c>
      <c r="F1" s="15" t="s">
        <v>23</v>
      </c>
      <c r="J1" t="b">
        <v>0</v>
      </c>
    </row>
    <row r="2" spans="1:10" ht="15.75" customHeight="1">
      <c r="A2" s="1">
        <v>22912234</v>
      </c>
      <c r="B2" s="6">
        <v>39705</v>
      </c>
      <c r="C2" s="19">
        <v>12.211623499684144</v>
      </c>
      <c r="D2" s="3"/>
      <c r="E2" s="3" t="b">
        <f>_xlfn.XLOOKUP(PE_1[[#This Row],[STN]],SE_1[STN],SE_1[IdeaEligibility],"w/o disability",0)</f>
        <v>1</v>
      </c>
      <c r="F2" t="str">
        <f>_xlfn.XLOOKUP(PE_1[[#This Row],[STN]],SE_1[STN],SE_1[Ethnicity],"",0)</f>
        <v>White</v>
      </c>
    </row>
    <row r="3" spans="1:10" ht="15.75" customHeight="1">
      <c r="A3" s="1">
        <v>22912273</v>
      </c>
      <c r="B3" s="6">
        <v>40448</v>
      </c>
      <c r="C3" s="19">
        <v>10.178695868591339</v>
      </c>
      <c r="D3" s="3"/>
      <c r="E3" s="3" t="b">
        <f>_xlfn.XLOOKUP(PE_1[[#This Row],[STN]],SE_1[STN],SE_1[IdeaEligibility],"w/o disability",0)</f>
        <v>1</v>
      </c>
      <c r="F3" t="str">
        <f>_xlfn.XLOOKUP(PE_1[[#This Row],[STN]],SE_1[STN],SE_1[Ethnicity],"",0)</f>
        <v>White</v>
      </c>
    </row>
    <row r="4" spans="1:10" ht="15.75" customHeight="1">
      <c r="A4" s="1">
        <v>22910308</v>
      </c>
      <c r="B4" s="6">
        <v>41499</v>
      </c>
      <c r="C4" s="19">
        <v>7.3018480492813138</v>
      </c>
      <c r="D4" s="3"/>
      <c r="E4" s="3" t="b">
        <f>_xlfn.XLOOKUP(PE_1[[#This Row],[STN]],SE_1[STN],SE_1[IdeaEligibility],"w/o disability",0)</f>
        <v>1</v>
      </c>
      <c r="F4" t="str">
        <f>_xlfn.XLOOKUP(PE_1[[#This Row],[STN]],SE_1[STN],SE_1[Ethnicity],"",0)</f>
        <v>Black - African American</v>
      </c>
    </row>
    <row r="5" spans="1:10" ht="15.75" customHeight="1">
      <c r="A5" s="1">
        <v>22911047</v>
      </c>
      <c r="B5" s="6">
        <v>38036</v>
      </c>
      <c r="C5" s="19">
        <v>16.780998389694041</v>
      </c>
      <c r="D5" s="3"/>
      <c r="E5" s="3" t="b">
        <f>_xlfn.XLOOKUP(PE_1[[#This Row],[STN]],SE_1[STN],SE_1[IdeaEligibility],"w/o disability",0)</f>
        <v>1</v>
      </c>
      <c r="F5" t="str">
        <f>_xlfn.XLOOKUP(PE_1[[#This Row],[STN]],SE_1[STN],SE_1[Ethnicity],"",0)</f>
        <v>White</v>
      </c>
    </row>
    <row r="6" spans="1:10" ht="15.75" customHeight="1">
      <c r="A6" s="1">
        <v>22911143</v>
      </c>
      <c r="B6" s="6">
        <v>41962</v>
      </c>
      <c r="C6" s="19">
        <v>6.0336331638639029</v>
      </c>
      <c r="D6" s="3"/>
      <c r="E6" s="3" t="b">
        <f>_xlfn.XLOOKUP(PE_1[[#This Row],[STN]],SE_1[STN],SE_1[IdeaEligibility],"w/o disability",0)</f>
        <v>1</v>
      </c>
      <c r="F6" t="str">
        <f>_xlfn.XLOOKUP(PE_1[[#This Row],[STN]],SE_1[STN],SE_1[Ethnicity],"",0)</f>
        <v>Multiracial (two or more races)</v>
      </c>
    </row>
    <row r="7" spans="1:10" ht="15.75" customHeight="1">
      <c r="A7" s="1">
        <v>22913229</v>
      </c>
      <c r="B7" s="6">
        <v>38877</v>
      </c>
      <c r="C7" s="19">
        <v>14.479832086147107</v>
      </c>
      <c r="D7" s="3"/>
      <c r="E7" s="3" t="b">
        <f>_xlfn.XLOOKUP(PE_1[[#This Row],[STN]],SE_1[STN],SE_1[IdeaEligibility],"w/o disability",0)</f>
        <v>1</v>
      </c>
      <c r="F7" t="str">
        <f>_xlfn.XLOOKUP(PE_1[[#This Row],[STN]],SE_1[STN],SE_1[Ethnicity],"",0)</f>
        <v>Hispanic Ethnicity and of any race</v>
      </c>
    </row>
    <row r="8" spans="1:10" ht="15.75" customHeight="1">
      <c r="A8" s="1">
        <v>22913229</v>
      </c>
      <c r="B8" s="6">
        <v>42046</v>
      </c>
      <c r="C8" s="19">
        <v>5.8029197080291972</v>
      </c>
      <c r="D8" s="3"/>
      <c r="E8" s="3" t="b">
        <f>_xlfn.XLOOKUP(PE_1[[#This Row],[STN]],SE_1[STN],SE_1[IdeaEligibility],"w/o disability",0)</f>
        <v>1</v>
      </c>
      <c r="F8" t="str">
        <f>_xlfn.XLOOKUP(PE_1[[#This Row],[STN]],SE_1[STN],SE_1[Ethnicity],"",0)</f>
        <v>Hispanic Ethnicity and of any race</v>
      </c>
    </row>
    <row r="9" spans="1:10" ht="15.75" customHeight="1">
      <c r="A9" s="1">
        <v>22913229</v>
      </c>
      <c r="B9" s="6">
        <v>40057</v>
      </c>
      <c r="C9" s="19">
        <v>11.249828884325805</v>
      </c>
      <c r="D9" s="3"/>
      <c r="E9" s="3" t="b">
        <f>_xlfn.XLOOKUP(PE_1[[#This Row],[STN]],SE_1[STN],SE_1[IdeaEligibility],"w/o disability",0)</f>
        <v>1</v>
      </c>
      <c r="F9" t="str">
        <f>_xlfn.XLOOKUP(PE_1[[#This Row],[STN]],SE_1[STN],SE_1[Ethnicity],"",0)</f>
        <v>Hispanic Ethnicity and of any race</v>
      </c>
    </row>
    <row r="10" spans="1:10" ht="15.75" customHeight="1">
      <c r="A10" s="1">
        <v>22914091</v>
      </c>
      <c r="B10" s="6">
        <v>40554</v>
      </c>
      <c r="C10" s="19">
        <v>9.8877634820695324</v>
      </c>
      <c r="D10" s="3"/>
      <c r="E10" s="3" t="b">
        <f>_xlfn.XLOOKUP(PE_1[[#This Row],[STN]],SE_1[STN],SE_1[IdeaEligibility],"w/o disability",0)</f>
        <v>1</v>
      </c>
      <c r="F10" t="str">
        <f>_xlfn.XLOOKUP(PE_1[[#This Row],[STN]],SE_1[STN],SE_1[Ethnicity],"",0)</f>
        <v>White</v>
      </c>
    </row>
    <row r="11" spans="1:10" ht="15.75" customHeight="1">
      <c r="A11" s="1">
        <v>22915224</v>
      </c>
      <c r="B11" s="9">
        <v>38841</v>
      </c>
      <c r="C11" s="19">
        <v>14.578390217192918</v>
      </c>
      <c r="D11" s="3"/>
      <c r="E11" s="3" t="b">
        <f>_xlfn.XLOOKUP(PE_1[[#This Row],[STN]],SE_1[STN],SE_1[IdeaEligibility],"w/o disability",0)</f>
        <v>1</v>
      </c>
      <c r="F11" t="str">
        <f>_xlfn.XLOOKUP(PE_1[[#This Row],[STN]],SE_1[STN],SE_1[Ethnicity],"",0)</f>
        <v>White</v>
      </c>
    </row>
    <row r="12" spans="1:10" ht="15.75" customHeight="1">
      <c r="A12" s="1">
        <v>22912405</v>
      </c>
      <c r="B12" s="6">
        <v>39405</v>
      </c>
      <c r="C12" s="19">
        <v>13.033633163863904</v>
      </c>
      <c r="D12" s="3"/>
      <c r="E12" s="3" t="b">
        <f>_xlfn.XLOOKUP(PE_1[[#This Row],[STN]],SE_1[STN],SE_1[IdeaEligibility],"w/o disability",0)</f>
        <v>1</v>
      </c>
      <c r="F12" t="str">
        <f>_xlfn.XLOOKUP(PE_1[[#This Row],[STN]],SE_1[STN],SE_1[Ethnicity],"",0)</f>
        <v>White</v>
      </c>
    </row>
    <row r="13" spans="1:10" ht="15.75" customHeight="1">
      <c r="A13" s="1">
        <v>22908743</v>
      </c>
      <c r="B13" s="6">
        <v>39252</v>
      </c>
      <c r="C13" s="19">
        <v>13.45248337895972</v>
      </c>
      <c r="D13" s="3"/>
      <c r="E13" s="3" t="b">
        <f>_xlfn.XLOOKUP(PE_1[[#This Row],[STN]],SE_1[STN],SE_1[IdeaEligibility],"w/o disability",0)</f>
        <v>1</v>
      </c>
      <c r="F13" t="str">
        <f>_xlfn.XLOOKUP(PE_1[[#This Row],[STN]],SE_1[STN],SE_1[Ethnicity],"",0)</f>
        <v>Black - African American</v>
      </c>
    </row>
    <row r="14" spans="1:10" ht="15.75" customHeight="1">
      <c r="A14" s="1">
        <v>22909622</v>
      </c>
      <c r="B14" s="6">
        <v>42772</v>
      </c>
      <c r="C14" s="19">
        <v>3.8165639972621492</v>
      </c>
      <c r="D14" s="3"/>
      <c r="E14" s="3" t="b">
        <f>_xlfn.XLOOKUP(PE_1[[#This Row],[STN]],SE_1[STN],SE_1[IdeaEligibility],"w/o disability",0)</f>
        <v>1</v>
      </c>
      <c r="F14" t="str">
        <f>_xlfn.XLOOKUP(PE_1[[#This Row],[STN]],SE_1[STN],SE_1[Ethnicity],"",0)</f>
        <v>White</v>
      </c>
    </row>
    <row r="15" spans="1:10" ht="15.75" customHeight="1">
      <c r="A15" s="1">
        <v>22909622</v>
      </c>
      <c r="B15" s="6">
        <v>42075</v>
      </c>
      <c r="C15" s="19">
        <v>5.7235401459854014</v>
      </c>
      <c r="D15" s="3"/>
      <c r="E15" s="3" t="b">
        <f>_xlfn.XLOOKUP(PE_1[[#This Row],[STN]],SE_1[STN],SE_1[IdeaEligibility],"w/o disability",0)</f>
        <v>1</v>
      </c>
      <c r="F15" t="str">
        <f>_xlfn.XLOOKUP(PE_1[[#This Row],[STN]],SE_1[STN],SE_1[Ethnicity],"",0)</f>
        <v>White</v>
      </c>
    </row>
    <row r="16" spans="1:10" ht="15.75" customHeight="1">
      <c r="A16" s="1">
        <v>22909622</v>
      </c>
      <c r="B16" s="6">
        <v>39977</v>
      </c>
      <c r="C16" s="19">
        <v>11.468856947296372</v>
      </c>
      <c r="D16" s="3"/>
      <c r="E16" s="3" t="b">
        <f>_xlfn.XLOOKUP(PE_1[[#This Row],[STN]],SE_1[STN],SE_1[IdeaEligibility],"w/o disability",0)</f>
        <v>1</v>
      </c>
      <c r="F16" t="str">
        <f>_xlfn.XLOOKUP(PE_1[[#This Row],[STN]],SE_1[STN],SE_1[Ethnicity],"",0)</f>
        <v>White</v>
      </c>
    </row>
    <row r="17" spans="1:6" ht="15.75" customHeight="1">
      <c r="A17" s="1">
        <v>22910242</v>
      </c>
      <c r="B17" s="6">
        <v>41740</v>
      </c>
      <c r="C17" s="19">
        <v>6.6413766132186156</v>
      </c>
      <c r="D17" s="3"/>
      <c r="E17" s="3" t="b">
        <f>_xlfn.XLOOKUP(PE_1[[#This Row],[STN]],SE_1[STN],SE_1[IdeaEligibility],"w/o disability",0)</f>
        <v>1</v>
      </c>
      <c r="F17" t="str">
        <f>_xlfn.XLOOKUP(PE_1[[#This Row],[STN]],SE_1[STN],SE_1[Ethnicity],"",0)</f>
        <v>White</v>
      </c>
    </row>
    <row r="18" spans="1:6" ht="15.75" customHeight="1">
      <c r="A18" s="1">
        <v>22910242</v>
      </c>
      <c r="B18" s="6">
        <v>41312</v>
      </c>
      <c r="C18" s="19">
        <v>7.8138261464750167</v>
      </c>
      <c r="D18" s="3"/>
      <c r="E18" s="3" t="b">
        <f>_xlfn.XLOOKUP(PE_1[[#This Row],[STN]],SE_1[STN],SE_1[IdeaEligibility],"w/o disability",0)</f>
        <v>1</v>
      </c>
      <c r="F18" t="str">
        <f>_xlfn.XLOOKUP(PE_1[[#This Row],[STN]],SE_1[STN],SE_1[Ethnicity],"",0)</f>
        <v>White</v>
      </c>
    </row>
    <row r="19" spans="1:6" ht="15.75" customHeight="1">
      <c r="A19" s="1">
        <v>22909544</v>
      </c>
      <c r="B19" s="6">
        <v>39734</v>
      </c>
      <c r="C19" s="19">
        <v>12.132238365971784</v>
      </c>
      <c r="D19" s="3"/>
      <c r="E19" s="3" t="b">
        <f>_xlfn.XLOOKUP(PE_1[[#This Row],[STN]],SE_1[STN],SE_1[IdeaEligibility],"w/o disability",0)</f>
        <v>1</v>
      </c>
      <c r="F19" t="str">
        <f>_xlfn.XLOOKUP(PE_1[[#This Row],[STN]],SE_1[STN],SE_1[Ethnicity],"",0)</f>
        <v>White</v>
      </c>
    </row>
    <row r="20" spans="1:6" ht="15.75" customHeight="1">
      <c r="A20" s="1">
        <v>22907674</v>
      </c>
      <c r="B20" s="6">
        <v>41351</v>
      </c>
      <c r="C20" s="19">
        <v>7.7070499657768652</v>
      </c>
      <c r="D20" s="3"/>
      <c r="E20" s="3" t="b">
        <f>_xlfn.XLOOKUP(PE_1[[#This Row],[STN]],SE_1[STN],SE_1[IdeaEligibility],"w/o disability",0)</f>
        <v>1</v>
      </c>
      <c r="F20" t="str">
        <f>_xlfn.XLOOKUP(PE_1[[#This Row],[STN]],SE_1[STN],SE_1[Ethnicity],"",0)</f>
        <v>White</v>
      </c>
    </row>
    <row r="21" spans="1:6" ht="15.75" customHeight="1">
      <c r="A21" s="1">
        <v>22907674</v>
      </c>
      <c r="B21" s="9">
        <v>40686</v>
      </c>
      <c r="C21" s="19">
        <v>9.5264166438543665</v>
      </c>
      <c r="D21" s="3"/>
      <c r="E21" s="3" t="b">
        <f>_xlfn.XLOOKUP(PE_1[[#This Row],[STN]],SE_1[STN],SE_1[IdeaEligibility],"w/o disability",0)</f>
        <v>1</v>
      </c>
      <c r="F21" t="str">
        <f>_xlfn.XLOOKUP(PE_1[[#This Row],[STN]],SE_1[STN],SE_1[Ethnicity],"",0)</f>
        <v>White</v>
      </c>
    </row>
    <row r="22" spans="1:6" ht="15.75" customHeight="1">
      <c r="A22" s="1">
        <v>22907674</v>
      </c>
      <c r="B22" s="6">
        <v>41228</v>
      </c>
      <c r="C22" s="19">
        <v>8.0419708029197086</v>
      </c>
      <c r="D22" s="3"/>
      <c r="E22" s="3" t="b">
        <f>_xlfn.XLOOKUP(PE_1[[#This Row],[STN]],SE_1[STN],SE_1[IdeaEligibility],"w/o disability",0)</f>
        <v>1</v>
      </c>
      <c r="F22" t="str">
        <f>_xlfn.XLOOKUP(PE_1[[#This Row],[STN]],SE_1[STN],SE_1[Ethnicity],"",0)</f>
        <v>White</v>
      </c>
    </row>
    <row r="23" spans="1:6" ht="14.45">
      <c r="A23" s="1">
        <v>22910117</v>
      </c>
      <c r="B23" s="6">
        <v>38231</v>
      </c>
      <c r="C23" s="19">
        <v>16.247181964573269</v>
      </c>
      <c r="D23" s="3"/>
      <c r="E23" s="3" t="b">
        <f>_xlfn.XLOOKUP(PE_1[[#This Row],[STN]],SE_1[STN],SE_1[IdeaEligibility],"w/o disability",0)</f>
        <v>1</v>
      </c>
      <c r="F23" t="str">
        <f>_xlfn.XLOOKUP(PE_1[[#This Row],[STN]],SE_1[STN],SE_1[Ethnicity],"",0)</f>
        <v>Hispanic Ethnicity and of any race</v>
      </c>
    </row>
    <row r="24" spans="1:6" ht="14.45">
      <c r="A24" s="1">
        <v>22910249</v>
      </c>
      <c r="B24" s="6">
        <v>39377</v>
      </c>
      <c r="C24" s="19">
        <v>13.110285490809543</v>
      </c>
      <c r="D24" s="3"/>
      <c r="E24" s="3" t="b">
        <f>_xlfn.XLOOKUP(PE_1[[#This Row],[STN]],SE_1[STN],SE_1[IdeaEligibility],"w/o disability",0)</f>
        <v>1</v>
      </c>
      <c r="F24" t="str">
        <f>_xlfn.XLOOKUP(PE_1[[#This Row],[STN]],SE_1[STN],SE_1[Ethnicity],"",0)</f>
        <v>Black - African American</v>
      </c>
    </row>
    <row r="25" spans="1:6" ht="14.45">
      <c r="A25" s="1">
        <v>22910249</v>
      </c>
      <c r="B25" s="6">
        <v>40442</v>
      </c>
      <c r="C25" s="19">
        <v>10.195121951219512</v>
      </c>
      <c r="D25" s="3"/>
      <c r="E25" s="3" t="b">
        <f>_xlfn.XLOOKUP(PE_1[[#This Row],[STN]],SE_1[STN],SE_1[IdeaEligibility],"w/o disability",0)</f>
        <v>1</v>
      </c>
      <c r="F25" t="str">
        <f>_xlfn.XLOOKUP(PE_1[[#This Row],[STN]],SE_1[STN],SE_1[Ethnicity],"",0)</f>
        <v>Black - African American</v>
      </c>
    </row>
    <row r="26" spans="1:6" ht="14.45">
      <c r="A26" s="1">
        <v>22910249</v>
      </c>
      <c r="B26" s="6">
        <v>41994</v>
      </c>
      <c r="C26" s="19">
        <v>5.9460305044974584</v>
      </c>
      <c r="D26" s="3"/>
      <c r="E26" s="3" t="b">
        <f>_xlfn.XLOOKUP(PE_1[[#This Row],[STN]],SE_1[STN],SE_1[IdeaEligibility],"w/o disability",0)</f>
        <v>1</v>
      </c>
      <c r="F26" t="str">
        <f>_xlfn.XLOOKUP(PE_1[[#This Row],[STN]],SE_1[STN],SE_1[Ethnicity],"",0)</f>
        <v>Black - African American</v>
      </c>
    </row>
    <row r="27" spans="1:6" ht="14.45">
      <c r="A27" s="1">
        <v>22911003</v>
      </c>
      <c r="B27" s="6">
        <v>40400</v>
      </c>
      <c r="C27" s="19">
        <v>10.310104529616725</v>
      </c>
      <c r="D27" s="3"/>
      <c r="E27" s="3" t="b">
        <f>_xlfn.XLOOKUP(PE_1[[#This Row],[STN]],SE_1[STN],SE_1[IdeaEligibility],"w/o disability",0)</f>
        <v>1</v>
      </c>
      <c r="F27" t="str">
        <f>_xlfn.XLOOKUP(PE_1[[#This Row],[STN]],SE_1[STN],SE_1[Ethnicity],"",0)</f>
        <v>Black - African American</v>
      </c>
    </row>
    <row r="28" spans="1:6" ht="14.45">
      <c r="A28" s="1">
        <v>22911003</v>
      </c>
      <c r="B28" s="6">
        <v>39819</v>
      </c>
      <c r="C28" s="19">
        <v>11.901437371663244</v>
      </c>
      <c r="D28" s="3"/>
      <c r="E28" s="3" t="b">
        <f>_xlfn.XLOOKUP(PE_1[[#This Row],[STN]],SE_1[STN],SE_1[IdeaEligibility],"w/o disability",0)</f>
        <v>1</v>
      </c>
      <c r="F28" t="str">
        <f>_xlfn.XLOOKUP(PE_1[[#This Row],[STN]],SE_1[STN],SE_1[Ethnicity],"",0)</f>
        <v>Black - African American</v>
      </c>
    </row>
    <row r="29" spans="1:6" ht="14.45">
      <c r="A29" s="1">
        <v>22911003</v>
      </c>
      <c r="B29" s="6">
        <v>39855</v>
      </c>
      <c r="C29" s="19">
        <v>11.802874743326489</v>
      </c>
      <c r="D29" s="3"/>
      <c r="E29" s="3" t="b">
        <f>_xlfn.XLOOKUP(PE_1[[#This Row],[STN]],SE_1[STN],SE_1[IdeaEligibility],"w/o disability",0)</f>
        <v>1</v>
      </c>
      <c r="F29" t="str">
        <f>_xlfn.XLOOKUP(PE_1[[#This Row],[STN]],SE_1[STN],SE_1[Ethnicity],"",0)</f>
        <v>Black - African American</v>
      </c>
    </row>
    <row r="30" spans="1:6" ht="14.45">
      <c r="A30" s="1">
        <v>22911003</v>
      </c>
      <c r="B30" s="6">
        <v>39300</v>
      </c>
      <c r="C30" s="19">
        <v>13.321079389910052</v>
      </c>
      <c r="D30" s="3"/>
      <c r="E30" s="3" t="b">
        <f>_xlfn.XLOOKUP(PE_1[[#This Row],[STN]],SE_1[STN],SE_1[IdeaEligibility],"w/o disability",0)</f>
        <v>1</v>
      </c>
      <c r="F30" t="str">
        <f>_xlfn.XLOOKUP(PE_1[[#This Row],[STN]],SE_1[STN],SE_1[Ethnicity],"",0)</f>
        <v>Black - African American</v>
      </c>
    </row>
    <row r="31" spans="1:6" ht="14.45">
      <c r="A31" s="1">
        <v>22911003</v>
      </c>
      <c r="B31" s="6">
        <v>39434</v>
      </c>
      <c r="C31" s="19">
        <v>12.954243253813063</v>
      </c>
      <c r="D31" s="3"/>
      <c r="E31" s="3" t="b">
        <f>_xlfn.XLOOKUP(PE_1[[#This Row],[STN]],SE_1[STN],SE_1[IdeaEligibility],"w/o disability",0)</f>
        <v>1</v>
      </c>
      <c r="F31" t="str">
        <f>_xlfn.XLOOKUP(PE_1[[#This Row],[STN]],SE_1[STN],SE_1[Ethnicity],"",0)</f>
        <v>Black - African American</v>
      </c>
    </row>
    <row r="32" spans="1:6" ht="14.45">
      <c r="A32" s="1">
        <v>22911058</v>
      </c>
      <c r="B32" s="6">
        <v>39835</v>
      </c>
      <c r="C32" s="19">
        <v>11.857631759069131</v>
      </c>
      <c r="D32" s="3"/>
      <c r="E32" s="3" t="b">
        <f>_xlfn.XLOOKUP(PE_1[[#This Row],[STN]],SE_1[STN],SE_1[IdeaEligibility],"w/o disability",0)</f>
        <v>1</v>
      </c>
      <c r="F32" t="str">
        <f>_xlfn.XLOOKUP(PE_1[[#This Row],[STN]],SE_1[STN],SE_1[Ethnicity],"",0)</f>
        <v>White</v>
      </c>
    </row>
    <row r="33" spans="1:6" ht="14.45">
      <c r="A33" s="1">
        <v>22911058</v>
      </c>
      <c r="B33" s="6">
        <v>40382</v>
      </c>
      <c r="C33" s="19">
        <v>10.359382777501246</v>
      </c>
      <c r="D33" s="3"/>
      <c r="E33" s="3" t="b">
        <f>_xlfn.XLOOKUP(PE_1[[#This Row],[STN]],SE_1[STN],SE_1[IdeaEligibility],"w/o disability",0)</f>
        <v>1</v>
      </c>
      <c r="F33" t="str">
        <f>_xlfn.XLOOKUP(PE_1[[#This Row],[STN]],SE_1[STN],SE_1[Ethnicity],"",0)</f>
        <v>White</v>
      </c>
    </row>
    <row r="34" spans="1:6" ht="14.45">
      <c r="A34" s="1">
        <v>22912064</v>
      </c>
      <c r="B34" s="6">
        <v>39674</v>
      </c>
      <c r="C34" s="19">
        <v>12.296483470204253</v>
      </c>
      <c r="D34" s="3"/>
      <c r="E34" s="3" t="b">
        <f>_xlfn.XLOOKUP(PE_1[[#This Row],[STN]],SE_1[STN],SE_1[IdeaEligibility],"w/o disability",0)</f>
        <v>1</v>
      </c>
      <c r="F34" t="str">
        <f>_xlfn.XLOOKUP(PE_1[[#This Row],[STN]],SE_1[STN],SE_1[Ethnicity],"",0)</f>
        <v>White</v>
      </c>
    </row>
    <row r="35" spans="1:6" ht="14.45">
      <c r="A35" s="1">
        <v>22912064</v>
      </c>
      <c r="B35" s="6">
        <v>41259</v>
      </c>
      <c r="C35" s="19">
        <v>7.9571167883211684</v>
      </c>
      <c r="D35" s="3"/>
      <c r="E35" s="3" t="b">
        <f>_xlfn.XLOOKUP(PE_1[[#This Row],[STN]],SE_1[STN],SE_1[IdeaEligibility],"w/o disability",0)</f>
        <v>1</v>
      </c>
      <c r="F35" t="str">
        <f>_xlfn.XLOOKUP(PE_1[[#This Row],[STN]],SE_1[STN],SE_1[Ethnicity],"",0)</f>
        <v>White</v>
      </c>
    </row>
    <row r="36" spans="1:6" ht="14.45">
      <c r="A36" s="1">
        <v>22912064</v>
      </c>
      <c r="B36" s="6">
        <v>41069</v>
      </c>
      <c r="C36" s="19">
        <v>8.4771897810218988</v>
      </c>
      <c r="D36" s="3"/>
      <c r="E36" s="3" t="b">
        <f>_xlfn.XLOOKUP(PE_1[[#This Row],[STN]],SE_1[STN],SE_1[IdeaEligibility],"w/o disability",0)</f>
        <v>1</v>
      </c>
      <c r="F36" t="str">
        <f>_xlfn.XLOOKUP(PE_1[[#This Row],[STN]],SE_1[STN],SE_1[Ethnicity],"",0)</f>
        <v>White</v>
      </c>
    </row>
    <row r="37" spans="1:6" ht="14.45">
      <c r="A37" s="1">
        <v>22912064</v>
      </c>
      <c r="B37" s="6">
        <v>41453</v>
      </c>
      <c r="C37" s="19">
        <v>7.4277891854893907</v>
      </c>
      <c r="D37" s="3"/>
      <c r="E37" s="3" t="b">
        <f>_xlfn.XLOOKUP(PE_1[[#This Row],[STN]],SE_1[STN],SE_1[IdeaEligibility],"w/o disability",0)</f>
        <v>1</v>
      </c>
      <c r="F37" t="str">
        <f>_xlfn.XLOOKUP(PE_1[[#This Row],[STN]],SE_1[STN],SE_1[Ethnicity],"",0)</f>
        <v>White</v>
      </c>
    </row>
    <row r="38" spans="1:6" ht="14.45">
      <c r="A38" s="1">
        <v>22908533</v>
      </c>
      <c r="B38" s="6">
        <v>39450</v>
      </c>
      <c r="C38" s="19">
        <v>12.909665192672142</v>
      </c>
      <c r="D38" s="3"/>
      <c r="E38" s="3" t="b">
        <f>_xlfn.XLOOKUP(PE_1[[#This Row],[STN]],SE_1[STN],SE_1[IdeaEligibility],"w/o disability",0)</f>
        <v>1</v>
      </c>
      <c r="F38" t="str">
        <f>_xlfn.XLOOKUP(PE_1[[#This Row],[STN]],SE_1[STN],SE_1[Ethnicity],"",0)</f>
        <v>White</v>
      </c>
    </row>
    <row r="39" spans="1:6" ht="14.45">
      <c r="A39" s="1">
        <v>22908533</v>
      </c>
      <c r="B39" s="6">
        <v>40486</v>
      </c>
      <c r="C39" s="19">
        <v>10.074664011946242</v>
      </c>
      <c r="D39" s="3"/>
      <c r="E39" s="3" t="b">
        <f>_xlfn.XLOOKUP(PE_1[[#This Row],[STN]],SE_1[STN],SE_1[IdeaEligibility],"w/o disability",0)</f>
        <v>1</v>
      </c>
      <c r="F39" t="str">
        <f>_xlfn.XLOOKUP(PE_1[[#This Row],[STN]],SE_1[STN],SE_1[Ethnicity],"",0)</f>
        <v>White</v>
      </c>
    </row>
    <row r="40" spans="1:6" ht="14.45">
      <c r="A40" s="1">
        <v>22911142</v>
      </c>
      <c r="B40" s="6">
        <v>41108</v>
      </c>
      <c r="C40" s="19">
        <v>8.3704379562043805</v>
      </c>
      <c r="D40" s="3"/>
      <c r="E40" s="3" t="b">
        <f>_xlfn.XLOOKUP(PE_1[[#This Row],[STN]],SE_1[STN],SE_1[IdeaEligibility],"w/o disability",0)</f>
        <v>1</v>
      </c>
      <c r="F40" t="str">
        <f>_xlfn.XLOOKUP(PE_1[[#This Row],[STN]],SE_1[STN],SE_1[Ethnicity],"",0)</f>
        <v>White</v>
      </c>
    </row>
    <row r="41" spans="1:6" ht="14.45">
      <c r="A41" s="1">
        <v>22909541</v>
      </c>
      <c r="B41" s="6">
        <v>41233</v>
      </c>
      <c r="C41" s="19">
        <v>8.0282846715328464</v>
      </c>
      <c r="D41" s="3"/>
      <c r="E41" s="3" t="b">
        <f>_xlfn.XLOOKUP(PE_1[[#This Row],[STN]],SE_1[STN],SE_1[IdeaEligibility],"w/o disability",0)</f>
        <v>1</v>
      </c>
      <c r="F41" t="str">
        <f>_xlfn.XLOOKUP(PE_1[[#This Row],[STN]],SE_1[STN],SE_1[Ethnicity],"",0)</f>
        <v>White</v>
      </c>
    </row>
    <row r="42" spans="1:6" ht="14.45">
      <c r="A42" s="1">
        <v>22910715</v>
      </c>
      <c r="B42" s="6">
        <v>39315</v>
      </c>
      <c r="C42" s="19">
        <v>13.28001564333203</v>
      </c>
      <c r="D42" s="3"/>
      <c r="E42" s="3" t="b">
        <f>_xlfn.XLOOKUP(PE_1[[#This Row],[STN]],SE_1[STN],SE_1[IdeaEligibility],"w/o disability",0)</f>
        <v>1</v>
      </c>
      <c r="F42" t="str">
        <f>_xlfn.XLOOKUP(PE_1[[#This Row],[STN]],SE_1[STN],SE_1[Ethnicity],"",0)</f>
        <v>White</v>
      </c>
    </row>
    <row r="43" spans="1:6" ht="14.45">
      <c r="A43" s="1">
        <v>22910790</v>
      </c>
      <c r="B43" s="6">
        <v>41229</v>
      </c>
      <c r="C43" s="19">
        <v>8.0392335766423368</v>
      </c>
      <c r="D43" s="3"/>
      <c r="E43" s="3" t="b">
        <f>_xlfn.XLOOKUP(PE_1[[#This Row],[STN]],SE_1[STN],SE_1[IdeaEligibility],"w/o disability",0)</f>
        <v>1</v>
      </c>
      <c r="F43" t="str">
        <f>_xlfn.XLOOKUP(PE_1[[#This Row],[STN]],SE_1[STN],SE_1[Ethnicity],"",0)</f>
        <v>White</v>
      </c>
    </row>
    <row r="44" spans="1:6" ht="14.45">
      <c r="A44" s="1">
        <v>22907599</v>
      </c>
      <c r="B44" s="6">
        <v>39387</v>
      </c>
      <c r="C44" s="19">
        <v>13.082909659757529</v>
      </c>
      <c r="D44" s="3"/>
      <c r="E44" s="3" t="b">
        <f>_xlfn.XLOOKUP(PE_1[[#This Row],[STN]],SE_1[STN],SE_1[IdeaEligibility],"w/o disability",0)</f>
        <v>1</v>
      </c>
      <c r="F44" t="str">
        <f>_xlfn.XLOOKUP(PE_1[[#This Row],[STN]],SE_1[STN],SE_1[Ethnicity],"",0)</f>
        <v>White</v>
      </c>
    </row>
    <row r="45" spans="1:6" ht="14.45">
      <c r="A45" s="1">
        <v>22911035</v>
      </c>
      <c r="B45" s="6">
        <v>40950</v>
      </c>
      <c r="C45" s="19">
        <v>8.8029197080291972</v>
      </c>
      <c r="D45" s="3"/>
      <c r="E45" s="3" t="b">
        <f>_xlfn.XLOOKUP(PE_1[[#This Row],[STN]],SE_1[STN],SE_1[IdeaEligibility],"w/o disability",0)</f>
        <v>1</v>
      </c>
      <c r="F45" t="str">
        <f>_xlfn.XLOOKUP(PE_1[[#This Row],[STN]],SE_1[STN],SE_1[Ethnicity],"",0)</f>
        <v>White</v>
      </c>
    </row>
    <row r="46" spans="1:6" ht="14.45">
      <c r="A46" s="1">
        <v>22907679</v>
      </c>
      <c r="B46" s="6">
        <v>40616</v>
      </c>
      <c r="C46" s="19">
        <v>9.7180399671502879</v>
      </c>
      <c r="D46" s="3"/>
      <c r="E46" s="3" t="b">
        <f>_xlfn.XLOOKUP(PE_1[[#This Row],[STN]],SE_1[STN],SE_1[IdeaEligibility],"w/o disability",0)</f>
        <v>1</v>
      </c>
      <c r="F46" t="str">
        <f>_xlfn.XLOOKUP(PE_1[[#This Row],[STN]],SE_1[STN],SE_1[Ethnicity],"",0)</f>
        <v>White</v>
      </c>
    </row>
    <row r="47" spans="1:6" ht="14.45">
      <c r="A47" s="1">
        <v>22909528</v>
      </c>
      <c r="B47" s="6">
        <v>38559</v>
      </c>
      <c r="C47" s="19">
        <v>15.351129363449692</v>
      </c>
      <c r="D47" s="3"/>
      <c r="E47" s="3" t="b">
        <f>_xlfn.XLOOKUP(PE_1[[#This Row],[STN]],SE_1[STN],SE_1[IdeaEligibility],"w/o disability",0)</f>
        <v>1</v>
      </c>
      <c r="F47" t="str">
        <f>_xlfn.XLOOKUP(PE_1[[#This Row],[STN]],SE_1[STN],SE_1[Ethnicity],"",0)</f>
        <v>White</v>
      </c>
    </row>
    <row r="48" spans="1:6" ht="14.45">
      <c r="A48" s="1">
        <v>22909628</v>
      </c>
      <c r="B48" s="6">
        <v>40625</v>
      </c>
      <c r="C48" s="19">
        <v>9.6934026827265267</v>
      </c>
      <c r="D48" s="3"/>
      <c r="E48" s="3" t="b">
        <f>_xlfn.XLOOKUP(PE_1[[#This Row],[STN]],SE_1[STN],SE_1[IdeaEligibility],"w/o disability",0)</f>
        <v>1</v>
      </c>
      <c r="F48" t="str">
        <f>_xlfn.XLOOKUP(PE_1[[#This Row],[STN]],SE_1[STN],SE_1[Ethnicity],"",0)</f>
        <v>Hispanic Ethnicity and of any race</v>
      </c>
    </row>
    <row r="49" spans="1:6" ht="14.45">
      <c r="A49" s="1">
        <v>22910276</v>
      </c>
      <c r="B49" s="6">
        <v>40175</v>
      </c>
      <c r="C49" s="19">
        <v>10.926762491444217</v>
      </c>
      <c r="D49" s="3"/>
      <c r="E49" s="3" t="b">
        <f>_xlfn.XLOOKUP(PE_1[[#This Row],[STN]],SE_1[STN],SE_1[IdeaEligibility],"w/o disability",0)</f>
        <v>1</v>
      </c>
      <c r="F49" t="str">
        <f>_xlfn.XLOOKUP(PE_1[[#This Row],[STN]],SE_1[STN],SE_1[Ethnicity],"",0)</f>
        <v>White</v>
      </c>
    </row>
    <row r="50" spans="1:6" ht="14.45">
      <c r="A50" s="1">
        <v>22910543</v>
      </c>
      <c r="B50" s="6">
        <v>40961</v>
      </c>
      <c r="C50" s="19">
        <v>8.772810218978103</v>
      </c>
      <c r="D50" s="3"/>
      <c r="E50" s="3" t="b">
        <f>_xlfn.XLOOKUP(PE_1[[#This Row],[STN]],SE_1[STN],SE_1[IdeaEligibility],"w/o disability",0)</f>
        <v>1</v>
      </c>
      <c r="F50" t="str">
        <f>_xlfn.XLOOKUP(PE_1[[#This Row],[STN]],SE_1[STN],SE_1[Ethnicity],"",0)</f>
        <v>White</v>
      </c>
    </row>
    <row r="51" spans="1:6" ht="14.45">
      <c r="A51" s="1">
        <v>22910742</v>
      </c>
      <c r="B51" s="6">
        <v>38454</v>
      </c>
      <c r="C51" s="19">
        <v>15.638603696098563</v>
      </c>
      <c r="D51" s="3"/>
      <c r="E51" s="3" t="b">
        <f>_xlfn.XLOOKUP(PE_1[[#This Row],[STN]],SE_1[STN],SE_1[IdeaEligibility],"w/o disability",0)</f>
        <v>1</v>
      </c>
      <c r="F51" t="str">
        <f>_xlfn.XLOOKUP(PE_1[[#This Row],[STN]],SE_1[STN],SE_1[Ethnicity],"",0)</f>
        <v>White</v>
      </c>
    </row>
    <row r="52" spans="1:6" ht="14.45">
      <c r="A52" s="1">
        <v>22910742</v>
      </c>
      <c r="B52" s="6">
        <v>39353</v>
      </c>
      <c r="C52" s="19">
        <v>13.175987485334376</v>
      </c>
      <c r="D52" s="3"/>
      <c r="E52" s="3" t="b">
        <f>_xlfn.XLOOKUP(PE_1[[#This Row],[STN]],SE_1[STN],SE_1[IdeaEligibility],"w/o disability",0)</f>
        <v>1</v>
      </c>
      <c r="F52" t="str">
        <f>_xlfn.XLOOKUP(PE_1[[#This Row],[STN]],SE_1[STN],SE_1[Ethnicity],"",0)</f>
        <v>White</v>
      </c>
    </row>
    <row r="53" spans="1:6" ht="14.45">
      <c r="A53" s="1">
        <v>22910742</v>
      </c>
      <c r="B53" s="6">
        <v>41221</v>
      </c>
      <c r="C53" s="19">
        <v>8.0611313868613141</v>
      </c>
      <c r="D53" s="3"/>
      <c r="E53" s="3" t="b">
        <f>_xlfn.XLOOKUP(PE_1[[#This Row],[STN]],SE_1[STN],SE_1[IdeaEligibility],"w/o disability",0)</f>
        <v>1</v>
      </c>
      <c r="F53" t="str">
        <f>_xlfn.XLOOKUP(PE_1[[#This Row],[STN]],SE_1[STN],SE_1[Ethnicity],"",0)</f>
        <v>White</v>
      </c>
    </row>
    <row r="54" spans="1:6" ht="14.45">
      <c r="A54" s="1">
        <v>22910742</v>
      </c>
      <c r="B54" s="6">
        <v>39410</v>
      </c>
      <c r="C54" s="19">
        <v>13.019945248337896</v>
      </c>
      <c r="D54" s="3"/>
      <c r="E54" s="3" t="b">
        <f>_xlfn.XLOOKUP(PE_1[[#This Row],[STN]],SE_1[STN],SE_1[IdeaEligibility],"w/o disability",0)</f>
        <v>1</v>
      </c>
      <c r="F54" t="str">
        <f>_xlfn.XLOOKUP(PE_1[[#This Row],[STN]],SE_1[STN],SE_1[Ethnicity],"",0)</f>
        <v>White</v>
      </c>
    </row>
    <row r="55" spans="1:6" ht="14.45">
      <c r="A55" s="1">
        <v>22911143</v>
      </c>
      <c r="B55" s="6">
        <v>39690</v>
      </c>
      <c r="C55" s="19">
        <v>12.252684775742262</v>
      </c>
      <c r="D55" s="3"/>
      <c r="E55" s="3" t="b">
        <f>_xlfn.XLOOKUP(PE_1[[#This Row],[STN]],SE_1[STN],SE_1[IdeaEligibility],"w/o disability",0)</f>
        <v>1</v>
      </c>
      <c r="F55" t="str">
        <f>_xlfn.XLOOKUP(PE_1[[#This Row],[STN]],SE_1[STN],SE_1[Ethnicity],"",0)</f>
        <v>Multiracial (two or more races)</v>
      </c>
    </row>
    <row r="56" spans="1:6" ht="14.45">
      <c r="A56" s="1">
        <v>22911143</v>
      </c>
      <c r="B56" s="6">
        <v>39440</v>
      </c>
      <c r="C56" s="19">
        <v>12.937817755181854</v>
      </c>
      <c r="D56" s="3"/>
      <c r="E56" s="3" t="b">
        <f>_xlfn.XLOOKUP(PE_1[[#This Row],[STN]],SE_1[STN],SE_1[IdeaEligibility],"w/o disability",0)</f>
        <v>1</v>
      </c>
      <c r="F56" t="str">
        <f>_xlfn.XLOOKUP(PE_1[[#This Row],[STN]],SE_1[STN],SE_1[Ethnicity],"",0)</f>
        <v>Multiracial (two or more races)</v>
      </c>
    </row>
    <row r="57" spans="1:6" ht="14.45">
      <c r="A57" s="1">
        <v>22911143</v>
      </c>
      <c r="B57" s="9">
        <v>41788</v>
      </c>
      <c r="C57" s="19">
        <v>6.509972624168948</v>
      </c>
      <c r="D57" s="3"/>
      <c r="E57" s="3" t="b">
        <f>_xlfn.XLOOKUP(PE_1[[#This Row],[STN]],SE_1[STN],SE_1[IdeaEligibility],"w/o disability",0)</f>
        <v>1</v>
      </c>
      <c r="F57" t="str">
        <f>_xlfn.XLOOKUP(PE_1[[#This Row],[STN]],SE_1[STN],SE_1[Ethnicity],"",0)</f>
        <v>Multiracial (two or more races)</v>
      </c>
    </row>
    <row r="58" spans="1:6" ht="14.45">
      <c r="A58" s="1">
        <v>22911143</v>
      </c>
      <c r="B58" s="6">
        <v>41127</v>
      </c>
      <c r="C58" s="19">
        <v>8.3184306569343072</v>
      </c>
      <c r="D58" s="3"/>
      <c r="E58" s="3" t="b">
        <f>_xlfn.XLOOKUP(PE_1[[#This Row],[STN]],SE_1[STN],SE_1[IdeaEligibility],"w/o disability",0)</f>
        <v>1</v>
      </c>
      <c r="F58" t="str">
        <f>_xlfn.XLOOKUP(PE_1[[#This Row],[STN]],SE_1[STN],SE_1[Ethnicity],"",0)</f>
        <v>Multiracial (two or more races)</v>
      </c>
    </row>
    <row r="59" spans="1:6" ht="14.45">
      <c r="A59" s="1">
        <v>22915388</v>
      </c>
      <c r="B59" s="6">
        <v>39738</v>
      </c>
      <c r="C59" s="19">
        <v>12.121288692356286</v>
      </c>
      <c r="D59" s="3"/>
      <c r="E59" s="3" t="b">
        <f>_xlfn.XLOOKUP(PE_1[[#This Row],[STN]],SE_1[STN],SE_1[IdeaEligibility],"w/o disability",0)</f>
        <v>1</v>
      </c>
      <c r="F59" t="str">
        <f>_xlfn.XLOOKUP(PE_1[[#This Row],[STN]],SE_1[STN],SE_1[Ethnicity],"",0)</f>
        <v>White</v>
      </c>
    </row>
    <row r="60" spans="1:6" ht="14.45">
      <c r="A60" s="1">
        <v>22915388</v>
      </c>
      <c r="B60" s="6">
        <v>39540</v>
      </c>
      <c r="C60" s="19">
        <v>12.663297536323435</v>
      </c>
      <c r="D60" s="3"/>
      <c r="E60" s="3" t="b">
        <f>_xlfn.XLOOKUP(PE_1[[#This Row],[STN]],SE_1[STN],SE_1[IdeaEligibility],"w/o disability",0)</f>
        <v>1</v>
      </c>
      <c r="F60" t="str">
        <f>_xlfn.XLOOKUP(PE_1[[#This Row],[STN]],SE_1[STN],SE_1[Ethnicity],"",0)</f>
        <v>White</v>
      </c>
    </row>
    <row r="61" spans="1:6" ht="14.45">
      <c r="A61" s="1">
        <v>22915388</v>
      </c>
      <c r="B61" s="9">
        <v>37748</v>
      </c>
      <c r="C61" s="19">
        <v>17.570190114068442</v>
      </c>
      <c r="D61" s="3"/>
      <c r="E61" s="3" t="b">
        <f>_xlfn.XLOOKUP(PE_1[[#This Row],[STN]],SE_1[STN],SE_1[IdeaEligibility],"w/o disability",0)</f>
        <v>1</v>
      </c>
      <c r="F61" t="str">
        <f>_xlfn.XLOOKUP(PE_1[[#This Row],[STN]],SE_1[STN],SE_1[Ethnicity],"",0)</f>
        <v>White</v>
      </c>
    </row>
    <row r="62" spans="1:6" ht="14.45">
      <c r="A62" s="1">
        <v>22915388</v>
      </c>
      <c r="B62" s="6">
        <v>38585</v>
      </c>
      <c r="C62" s="19">
        <v>15.279945242984258</v>
      </c>
      <c r="D62" s="3"/>
      <c r="E62" s="3" t="b">
        <f>_xlfn.XLOOKUP(PE_1[[#This Row],[STN]],SE_1[STN],SE_1[IdeaEligibility],"w/o disability",0)</f>
        <v>1</v>
      </c>
      <c r="F62" t="str">
        <f>_xlfn.XLOOKUP(PE_1[[#This Row],[STN]],SE_1[STN],SE_1[Ethnicity],"",0)</f>
        <v>White</v>
      </c>
    </row>
    <row r="63" spans="1:6" ht="14.45">
      <c r="A63" s="1">
        <v>22917216</v>
      </c>
      <c r="B63" s="6">
        <v>40655</v>
      </c>
      <c r="C63" s="19">
        <v>9.6112784013139887</v>
      </c>
      <c r="D63" s="3"/>
      <c r="E63" s="3" t="b">
        <f>_xlfn.XLOOKUP(PE_1[[#This Row],[STN]],SE_1[STN],SE_1[IdeaEligibility],"w/o disability",0)</f>
        <v>1</v>
      </c>
      <c r="F63" t="str">
        <f>_xlfn.XLOOKUP(PE_1[[#This Row],[STN]],SE_1[STN],SE_1[Ethnicity],"",0)</f>
        <v>White</v>
      </c>
    </row>
    <row r="64" spans="1:6" ht="14.45">
      <c r="A64" s="1">
        <v>22910297</v>
      </c>
      <c r="B64" s="6">
        <v>41439</v>
      </c>
      <c r="C64" s="19">
        <v>7.4661190965092405</v>
      </c>
      <c r="D64" s="3"/>
      <c r="E64" s="3" t="b">
        <f>_xlfn.XLOOKUP(PE_1[[#This Row],[STN]],SE_1[STN],SE_1[IdeaEligibility],"w/o disability",0)</f>
        <v>1</v>
      </c>
      <c r="F64" t="str">
        <f>_xlfn.XLOOKUP(PE_1[[#This Row],[STN]],SE_1[STN],SE_1[Ethnicity],"",0)</f>
        <v>White</v>
      </c>
    </row>
    <row r="65" spans="1:6" ht="14.45">
      <c r="A65" s="1">
        <v>22910297</v>
      </c>
      <c r="B65" s="6">
        <v>41568</v>
      </c>
      <c r="C65" s="19">
        <v>7.1129363449691994</v>
      </c>
      <c r="D65" s="3"/>
      <c r="E65" s="3" t="b">
        <f>_xlfn.XLOOKUP(PE_1[[#This Row],[STN]],SE_1[STN],SE_1[IdeaEligibility],"w/o disability",0)</f>
        <v>1</v>
      </c>
      <c r="F65" t="str">
        <f>_xlfn.XLOOKUP(PE_1[[#This Row],[STN]],SE_1[STN],SE_1[Ethnicity],"",0)</f>
        <v>White</v>
      </c>
    </row>
    <row r="66" spans="1:6" ht="14.45">
      <c r="A66" s="1">
        <v>22910297</v>
      </c>
      <c r="B66" s="6">
        <v>41612</v>
      </c>
      <c r="C66" s="19">
        <v>6.9924709103353866</v>
      </c>
      <c r="D66" s="3"/>
      <c r="E66" s="3" t="b">
        <f>_xlfn.XLOOKUP(PE_1[[#This Row],[STN]],SE_1[STN],SE_1[IdeaEligibility],"w/o disability",0)</f>
        <v>1</v>
      </c>
      <c r="F66" t="str">
        <f>_xlfn.XLOOKUP(PE_1[[#This Row],[STN]],SE_1[STN],SE_1[Ethnicity],"",0)</f>
        <v>White</v>
      </c>
    </row>
    <row r="67" spans="1:6" ht="14.45">
      <c r="A67" s="1">
        <v>22910297</v>
      </c>
      <c r="B67" s="6">
        <v>39834</v>
      </c>
      <c r="C67" s="19">
        <v>11.860369609856264</v>
      </c>
      <c r="D67" s="3"/>
      <c r="E67" s="3" t="b">
        <f>_xlfn.XLOOKUP(PE_1[[#This Row],[STN]],SE_1[STN],SE_1[IdeaEligibility],"w/o disability",0)</f>
        <v>1</v>
      </c>
      <c r="F67" t="str">
        <f>_xlfn.XLOOKUP(PE_1[[#This Row],[STN]],SE_1[STN],SE_1[Ethnicity],"",0)</f>
        <v>White</v>
      </c>
    </row>
    <row r="68" spans="1:6" ht="14.45">
      <c r="A68" s="1">
        <v>22910297</v>
      </c>
      <c r="B68" s="6">
        <v>41582</v>
      </c>
      <c r="C68" s="19">
        <v>7.0746064339493495</v>
      </c>
      <c r="D68" s="3"/>
      <c r="E68" s="3" t="b">
        <f>_xlfn.XLOOKUP(PE_1[[#This Row],[STN]],SE_1[STN],SE_1[IdeaEligibility],"w/o disability",0)</f>
        <v>1</v>
      </c>
      <c r="F68" t="str">
        <f>_xlfn.XLOOKUP(PE_1[[#This Row],[STN]],SE_1[STN],SE_1[Ethnicity],"",0)</f>
        <v>White</v>
      </c>
    </row>
    <row r="69" spans="1:6" ht="14.45">
      <c r="A69" s="1">
        <v>22910297</v>
      </c>
      <c r="B69" s="6">
        <v>39778</v>
      </c>
      <c r="C69" s="19">
        <v>12.011791956201305</v>
      </c>
      <c r="D69" s="3"/>
      <c r="E69" s="3" t="b">
        <f>_xlfn.XLOOKUP(PE_1[[#This Row],[STN]],SE_1[STN],SE_1[IdeaEligibility],"w/o disability",0)</f>
        <v>1</v>
      </c>
      <c r="F69" t="str">
        <f>_xlfn.XLOOKUP(PE_1[[#This Row],[STN]],SE_1[STN],SE_1[Ethnicity],"",0)</f>
        <v>White</v>
      </c>
    </row>
    <row r="70" spans="1:6" ht="14.45">
      <c r="A70" s="1">
        <v>22911142</v>
      </c>
      <c r="B70" s="6">
        <v>38239</v>
      </c>
      <c r="C70" s="19">
        <v>16.225281803542671</v>
      </c>
      <c r="D70" s="3"/>
      <c r="E70" s="3" t="b">
        <f>_xlfn.XLOOKUP(PE_1[[#This Row],[STN]],SE_1[STN],SE_1[IdeaEligibility],"w/o disability",0)</f>
        <v>1</v>
      </c>
      <c r="F70" t="str">
        <f>_xlfn.XLOOKUP(PE_1[[#This Row],[STN]],SE_1[STN],SE_1[Ethnicity],"",0)</f>
        <v>White</v>
      </c>
    </row>
    <row r="71" spans="1:6" ht="14.45">
      <c r="A71" s="1">
        <v>22911230</v>
      </c>
      <c r="B71" s="6">
        <v>40650</v>
      </c>
      <c r="C71" s="19">
        <v>9.6249657815494114</v>
      </c>
      <c r="D71" s="3"/>
      <c r="E71" s="3" t="b">
        <f>_xlfn.XLOOKUP(PE_1[[#This Row],[STN]],SE_1[STN],SE_1[IdeaEligibility],"w/o disability",0)</f>
        <v>1</v>
      </c>
      <c r="F71" t="str">
        <f>_xlfn.XLOOKUP(PE_1[[#This Row],[STN]],SE_1[STN],SE_1[Ethnicity],"",0)</f>
        <v>Hispanic Ethnicity and of any race</v>
      </c>
    </row>
    <row r="72" spans="1:6" ht="14.45">
      <c r="A72" s="1">
        <v>22907200</v>
      </c>
      <c r="B72" s="6">
        <v>42324</v>
      </c>
      <c r="C72" s="19">
        <v>5.0419708029197086</v>
      </c>
      <c r="D72" s="3"/>
      <c r="E72" s="3" t="b">
        <f>_xlfn.XLOOKUP(PE_1[[#This Row],[STN]],SE_1[STN],SE_1[IdeaEligibility],"w/o disability",0)</f>
        <v>1</v>
      </c>
      <c r="F72" t="str">
        <f>_xlfn.XLOOKUP(PE_1[[#This Row],[STN]],SE_1[STN],SE_1[Ethnicity],"",0)</f>
        <v>White</v>
      </c>
    </row>
    <row r="73" spans="1:6" ht="14.45">
      <c r="A73" s="1">
        <v>22907200</v>
      </c>
      <c r="B73" s="6">
        <v>41835</v>
      </c>
      <c r="C73" s="19">
        <v>6.3813062182244815</v>
      </c>
      <c r="D73" s="3"/>
      <c r="E73" s="3" t="b">
        <f>_xlfn.XLOOKUP(PE_1[[#This Row],[STN]],SE_1[STN],SE_1[IdeaEligibility],"w/o disability",0)</f>
        <v>1</v>
      </c>
      <c r="F73" t="str">
        <f>_xlfn.XLOOKUP(PE_1[[#This Row],[STN]],SE_1[STN],SE_1[Ethnicity],"",0)</f>
        <v>White</v>
      </c>
    </row>
    <row r="74" spans="1:6" ht="14.45">
      <c r="A74" s="1">
        <v>22910125</v>
      </c>
      <c r="B74" s="6">
        <v>38740</v>
      </c>
      <c r="C74" s="19">
        <v>14.854900529293667</v>
      </c>
      <c r="D74" s="3"/>
      <c r="E74" s="3" t="b">
        <f>_xlfn.XLOOKUP(PE_1[[#This Row],[STN]],SE_1[STN],SE_1[IdeaEligibility],"w/o disability",0)</f>
        <v>1</v>
      </c>
      <c r="F74" t="str">
        <f>_xlfn.XLOOKUP(PE_1[[#This Row],[STN]],SE_1[STN],SE_1[Ethnicity],"",0)</f>
        <v>Hispanic Ethnicity and of any race</v>
      </c>
    </row>
    <row r="75" spans="1:6" ht="14.45">
      <c r="A75" s="1">
        <v>22915531</v>
      </c>
      <c r="B75" s="6">
        <v>41979</v>
      </c>
      <c r="C75" s="19">
        <v>5.9870942510754794</v>
      </c>
      <c r="D75" s="3"/>
      <c r="E75" s="3" t="b">
        <f>_xlfn.XLOOKUP(PE_1[[#This Row],[STN]],SE_1[STN],SE_1[IdeaEligibility],"w/o disability",0)</f>
        <v>1</v>
      </c>
      <c r="F75" t="str">
        <f>_xlfn.XLOOKUP(PE_1[[#This Row],[STN]],SE_1[STN],SE_1[Ethnicity],"",0)</f>
        <v>Hispanic Ethnicity and of any race</v>
      </c>
    </row>
    <row r="76" spans="1:6" ht="14.45">
      <c r="A76" s="1">
        <v>22915531</v>
      </c>
      <c r="B76" s="6">
        <v>41345</v>
      </c>
      <c r="C76" s="19">
        <v>7.7234770704996576</v>
      </c>
      <c r="D76" s="3"/>
      <c r="E76" s="3" t="b">
        <f>_xlfn.XLOOKUP(PE_1[[#This Row],[STN]],SE_1[STN],SE_1[IdeaEligibility],"w/o disability",0)</f>
        <v>1</v>
      </c>
      <c r="F76" t="str">
        <f>_xlfn.XLOOKUP(PE_1[[#This Row],[STN]],SE_1[STN],SE_1[Ethnicity],"",0)</f>
        <v>Hispanic Ethnicity and of any race</v>
      </c>
    </row>
    <row r="77" spans="1:6" ht="14.45">
      <c r="A77" s="1">
        <v>23315060</v>
      </c>
      <c r="B77" s="6">
        <v>39795</v>
      </c>
      <c r="C77" s="19">
        <v>11.965255843335438</v>
      </c>
      <c r="D77" s="3"/>
      <c r="E77" s="3" t="b">
        <f>_xlfn.XLOOKUP(PE_1[[#This Row],[STN]],SE_1[STN],SE_1[IdeaEligibility],"w/o disability",0)</f>
        <v>1</v>
      </c>
      <c r="F77" t="str">
        <f>_xlfn.XLOOKUP(PE_1[[#This Row],[STN]],SE_1[STN],SE_1[Ethnicity],"",0)</f>
        <v>White</v>
      </c>
    </row>
    <row r="78" spans="1:6" ht="14.45">
      <c r="A78" s="1">
        <v>23315060</v>
      </c>
      <c r="B78" s="6">
        <v>40040</v>
      </c>
      <c r="C78" s="19">
        <v>11.296372347707051</v>
      </c>
      <c r="D78" s="3"/>
      <c r="E78" s="3" t="b">
        <f>_xlfn.XLOOKUP(PE_1[[#This Row],[STN]],SE_1[STN],SE_1[IdeaEligibility],"w/o disability",0)</f>
        <v>1</v>
      </c>
      <c r="F78" t="str">
        <f>_xlfn.XLOOKUP(PE_1[[#This Row],[STN]],SE_1[STN],SE_1[Ethnicity],"",0)</f>
        <v>White</v>
      </c>
    </row>
    <row r="79" spans="1:6" ht="14.45">
      <c r="A79" s="1">
        <v>22914150</v>
      </c>
      <c r="B79" s="6">
        <v>41813</v>
      </c>
      <c r="C79" s="19">
        <v>6.4415330465389129</v>
      </c>
      <c r="D79" s="3"/>
      <c r="E79" s="3" t="b">
        <f>_xlfn.XLOOKUP(PE_1[[#This Row],[STN]],SE_1[STN],SE_1[IdeaEligibility],"w/o disability",0)</f>
        <v>1</v>
      </c>
      <c r="F79" t="str">
        <f>_xlfn.XLOOKUP(PE_1[[#This Row],[STN]],SE_1[STN],SE_1[Ethnicity],"",0)</f>
        <v>Hispanic Ethnicity and of any race</v>
      </c>
    </row>
    <row r="80" spans="1:6" ht="14.45">
      <c r="A80" s="1">
        <v>22914160</v>
      </c>
      <c r="B80" s="6">
        <v>39112</v>
      </c>
      <c r="C80" s="19">
        <v>13.835745013687916</v>
      </c>
      <c r="D80" s="3"/>
      <c r="E80" s="3" t="b">
        <f>_xlfn.XLOOKUP(PE_1[[#This Row],[STN]],SE_1[STN],SE_1[IdeaEligibility],"w/o disability",0)</f>
        <v>1</v>
      </c>
      <c r="F80" t="str">
        <f>_xlfn.XLOOKUP(PE_1[[#This Row],[STN]],SE_1[STN],SE_1[Ethnicity],"",0)</f>
        <v>White</v>
      </c>
    </row>
    <row r="81" spans="1:6" ht="14.45">
      <c r="A81" s="1">
        <v>22914277</v>
      </c>
      <c r="B81" s="6">
        <v>41464</v>
      </c>
      <c r="C81" s="19">
        <v>7.397672826830938</v>
      </c>
      <c r="D81" s="3"/>
      <c r="E81" s="3" t="b">
        <f>_xlfn.XLOOKUP(PE_1[[#This Row],[STN]],SE_1[STN],SE_1[IdeaEligibility],"w/o disability",0)</f>
        <v>1</v>
      </c>
      <c r="F81" t="str">
        <f>_xlfn.XLOOKUP(PE_1[[#This Row],[STN]],SE_1[STN],SE_1[Ethnicity],"",0)</f>
        <v>Hispanic Ethnicity and of any race</v>
      </c>
    </row>
    <row r="82" spans="1:6" ht="14.45">
      <c r="A82" s="1">
        <v>22914277</v>
      </c>
      <c r="B82" s="6">
        <v>41065</v>
      </c>
      <c r="C82" s="19">
        <v>8.4881386861313874</v>
      </c>
      <c r="D82" s="3"/>
      <c r="E82" s="3" t="b">
        <f>_xlfn.XLOOKUP(PE_1[[#This Row],[STN]],SE_1[STN],SE_1[IdeaEligibility],"w/o disability",0)</f>
        <v>1</v>
      </c>
      <c r="F82" t="str">
        <f>_xlfn.XLOOKUP(PE_1[[#This Row],[STN]],SE_1[STN],SE_1[Ethnicity],"",0)</f>
        <v>Hispanic Ethnicity and of any race</v>
      </c>
    </row>
    <row r="83" spans="1:6" ht="14.45">
      <c r="A83" s="1">
        <v>22914277</v>
      </c>
      <c r="B83" s="6">
        <v>40368</v>
      </c>
      <c r="C83" s="19">
        <v>10.39771030363365</v>
      </c>
      <c r="D83" s="3"/>
      <c r="E83" s="3" t="b">
        <f>_xlfn.XLOOKUP(PE_1[[#This Row],[STN]],SE_1[STN],SE_1[IdeaEligibility],"w/o disability",0)</f>
        <v>1</v>
      </c>
      <c r="F83" t="str">
        <f>_xlfn.XLOOKUP(PE_1[[#This Row],[STN]],SE_1[STN],SE_1[Ethnicity],"",0)</f>
        <v>Hispanic Ethnicity and of any race</v>
      </c>
    </row>
    <row r="84" spans="1:6" ht="14.45">
      <c r="A84" s="1">
        <v>22914393</v>
      </c>
      <c r="B84" s="6">
        <v>38540</v>
      </c>
      <c r="C84" s="19">
        <v>15.403148528405202</v>
      </c>
      <c r="D84" s="3"/>
      <c r="E84" s="3" t="b">
        <f>_xlfn.XLOOKUP(PE_1[[#This Row],[STN]],SE_1[STN],SE_1[IdeaEligibility],"w/o disability",0)</f>
        <v>1</v>
      </c>
      <c r="F84" t="str">
        <f>_xlfn.XLOOKUP(PE_1[[#This Row],[STN]],SE_1[STN],SE_1[Ethnicity],"",0)</f>
        <v>Multiracial (two or more races)</v>
      </c>
    </row>
    <row r="85" spans="1:6" ht="14.45">
      <c r="A85" s="1">
        <v>22914393</v>
      </c>
      <c r="B85" s="9">
        <v>39569</v>
      </c>
      <c r="C85" s="19">
        <v>12.583912402611075</v>
      </c>
      <c r="D85" s="3"/>
      <c r="E85" s="3" t="b">
        <f>_xlfn.XLOOKUP(PE_1[[#This Row],[STN]],SE_1[STN],SE_1[IdeaEligibility],"w/o disability",0)</f>
        <v>1</v>
      </c>
      <c r="F85" t="str">
        <f>_xlfn.XLOOKUP(PE_1[[#This Row],[STN]],SE_1[STN],SE_1[Ethnicity],"",0)</f>
        <v>Multiracial (two or more races)</v>
      </c>
    </row>
    <row r="86" spans="1:6" ht="14.45">
      <c r="A86" s="1">
        <v>22914393</v>
      </c>
      <c r="B86" s="6">
        <v>40633</v>
      </c>
      <c r="C86" s="19">
        <v>9.6715028743498497</v>
      </c>
      <c r="D86" s="3"/>
      <c r="E86" s="3" t="b">
        <f>_xlfn.XLOOKUP(PE_1[[#This Row],[STN]],SE_1[STN],SE_1[IdeaEligibility],"w/o disability",0)</f>
        <v>1</v>
      </c>
      <c r="F86" t="str">
        <f>_xlfn.XLOOKUP(PE_1[[#This Row],[STN]],SE_1[STN],SE_1[Ethnicity],"",0)</f>
        <v>Multiracial (two or more races)</v>
      </c>
    </row>
    <row r="87" spans="1:6" ht="14.45">
      <c r="A87" s="1">
        <v>22914393</v>
      </c>
      <c r="B87" s="6">
        <v>39884</v>
      </c>
      <c r="C87" s="19">
        <v>11.723477070499658</v>
      </c>
      <c r="D87" s="3"/>
      <c r="E87" s="3" t="b">
        <f>_xlfn.XLOOKUP(PE_1[[#This Row],[STN]],SE_1[STN],SE_1[IdeaEligibility],"w/o disability",0)</f>
        <v>1</v>
      </c>
      <c r="F87" t="str">
        <f>_xlfn.XLOOKUP(PE_1[[#This Row],[STN]],SE_1[STN],SE_1[Ethnicity],"",0)</f>
        <v>Multiracial (two or more races)</v>
      </c>
    </row>
    <row r="88" spans="1:6" ht="14.45">
      <c r="A88" s="1">
        <v>22914393</v>
      </c>
      <c r="B88" s="9">
        <v>41405</v>
      </c>
      <c r="C88" s="19">
        <v>7.5592060232717317</v>
      </c>
      <c r="D88" s="3"/>
      <c r="E88" s="3" t="b">
        <f>_xlfn.XLOOKUP(PE_1[[#This Row],[STN]],SE_1[STN],SE_1[IdeaEligibility],"w/o disability",0)</f>
        <v>1</v>
      </c>
      <c r="F88" t="str">
        <f>_xlfn.XLOOKUP(PE_1[[#This Row],[STN]],SE_1[STN],SE_1[Ethnicity],"",0)</f>
        <v>Multiracial (two or more races)</v>
      </c>
    </row>
    <row r="89" spans="1:6" ht="14.45">
      <c r="A89" s="1">
        <v>22914131</v>
      </c>
      <c r="B89" s="6">
        <v>39078</v>
      </c>
      <c r="C89" s="19">
        <v>13.929549187807995</v>
      </c>
      <c r="D89" s="3"/>
      <c r="E89" s="3" t="b">
        <f>_xlfn.XLOOKUP(PE_1[[#This Row],[STN]],SE_1[STN],SE_1[IdeaEligibility],"w/o disability",0)</f>
        <v>1</v>
      </c>
      <c r="F89" t="str">
        <f>_xlfn.XLOOKUP(PE_1[[#This Row],[STN]],SE_1[STN],SE_1[Ethnicity],"",0)</f>
        <v>White</v>
      </c>
    </row>
    <row r="90" spans="1:6" ht="14.45">
      <c r="A90" s="1">
        <v>22915043</v>
      </c>
      <c r="B90" s="10">
        <v>39938</v>
      </c>
      <c r="C90" s="19">
        <v>11.575633127994525</v>
      </c>
      <c r="D90" s="3"/>
      <c r="E90" s="3" t="b">
        <f>_xlfn.XLOOKUP(PE_1[[#This Row],[STN]],SE_1[STN],SE_1[IdeaEligibility],"w/o disability",0)</f>
        <v>1</v>
      </c>
      <c r="F90" t="str">
        <f>_xlfn.XLOOKUP(PE_1[[#This Row],[STN]],SE_1[STN],SE_1[Ethnicity],"",0)</f>
        <v>Hispanic Ethnicity and of any race</v>
      </c>
    </row>
    <row r="91" spans="1:6" ht="13.9">
      <c r="A91" s="3" t="s">
        <v>164</v>
      </c>
      <c r="B91" s="10">
        <v>39945</v>
      </c>
      <c r="C91" s="19">
        <v>11.5564681724846</v>
      </c>
      <c r="D91" s="3"/>
      <c r="E91" s="3" t="str">
        <f>_xlfn.XLOOKUP(PE_1[[#This Row],[STN]],SE_1[STN],SE_1[IdeaEligibility],"w/o disability",0)</f>
        <v>w/o disability</v>
      </c>
      <c r="F91" t="str">
        <f>_xlfn.XLOOKUP(PE_1[[#This Row],[STN]],SE_1[STN],SE_1[Ethnicity],"",0)</f>
        <v/>
      </c>
    </row>
    <row r="92" spans="1:6" ht="13.9">
      <c r="A92" s="3" t="s">
        <v>165</v>
      </c>
      <c r="B92" s="10">
        <v>39945</v>
      </c>
      <c r="C92" s="19">
        <v>11.5564681724846</v>
      </c>
      <c r="D92" s="3"/>
      <c r="E92" s="3" t="str">
        <f>_xlfn.XLOOKUP(PE_1[[#This Row],[STN]],SE_1[STN],SE_1[IdeaEligibility],"w/o disability",0)</f>
        <v>w/o disability</v>
      </c>
      <c r="F92" t="str">
        <f>_xlfn.XLOOKUP(PE_1[[#This Row],[STN]],SE_1[STN],SE_1[Ethnicity],"",0)</f>
        <v/>
      </c>
    </row>
    <row r="93" spans="1:6" ht="13.9">
      <c r="A93" s="3" t="s">
        <v>166</v>
      </c>
      <c r="B93" s="10">
        <v>39889</v>
      </c>
      <c r="C93" s="19">
        <v>11.709787816563997</v>
      </c>
      <c r="D93" s="3"/>
      <c r="E93" s="3" t="str">
        <f>_xlfn.XLOOKUP(PE_1[[#This Row],[STN]],SE_1[STN],SE_1[IdeaEligibility],"w/o disability",0)</f>
        <v>w/o disability</v>
      </c>
      <c r="F93" t="str">
        <f>_xlfn.XLOOKUP(PE_1[[#This Row],[STN]],SE_1[STN],SE_1[Ethnicity],"",0)</f>
        <v/>
      </c>
    </row>
    <row r="94" spans="1:6" ht="13.9">
      <c r="A94" s="3" t="s">
        <v>167</v>
      </c>
      <c r="B94" s="10">
        <v>40175</v>
      </c>
      <c r="C94" s="19">
        <v>10.926762491444217</v>
      </c>
      <c r="D94" s="3"/>
      <c r="E94" s="3" t="str">
        <f>_xlfn.XLOOKUP(PE_1[[#This Row],[STN]],SE_1[STN],SE_1[IdeaEligibility],"w/o disability",0)</f>
        <v>w/o disability</v>
      </c>
      <c r="F94" t="str">
        <f>_xlfn.XLOOKUP(PE_1[[#This Row],[STN]],SE_1[STN],SE_1[Ethnicity],"",0)</f>
        <v/>
      </c>
    </row>
    <row r="95" spans="1:6" ht="13.9">
      <c r="A95" s="3" t="s">
        <v>168</v>
      </c>
      <c r="B95" s="10">
        <v>40149</v>
      </c>
      <c r="C95" s="19">
        <v>10.997946611909651</v>
      </c>
      <c r="D95" s="3"/>
      <c r="E95" s="3" t="str">
        <f>_xlfn.XLOOKUP(PE_1[[#This Row],[STN]],SE_1[STN],SE_1[IdeaEligibility],"w/o disability",0)</f>
        <v>w/o disability</v>
      </c>
      <c r="F95" t="str">
        <f>_xlfn.XLOOKUP(PE_1[[#This Row],[STN]],SE_1[STN],SE_1[Ethnicity],"",0)</f>
        <v/>
      </c>
    </row>
    <row r="96" spans="1:6" ht="13.9">
      <c r="A96" s="3" t="s">
        <v>169</v>
      </c>
      <c r="B96" s="10">
        <v>39968</v>
      </c>
      <c r="C96" s="19">
        <v>11.493497604380561</v>
      </c>
      <c r="D96" s="3"/>
      <c r="E96" s="3" t="str">
        <f>_xlfn.XLOOKUP(PE_1[[#This Row],[STN]],SE_1[STN],SE_1[IdeaEligibility],"w/o disability",0)</f>
        <v>w/o disability</v>
      </c>
      <c r="F96" t="str">
        <f>_xlfn.XLOOKUP(PE_1[[#This Row],[STN]],SE_1[STN],SE_1[Ethnicity],"",0)</f>
        <v/>
      </c>
    </row>
    <row r="97" spans="1:6" ht="13.9">
      <c r="A97" s="3" t="s">
        <v>170</v>
      </c>
      <c r="B97" s="10">
        <v>40196</v>
      </c>
      <c r="C97" s="19">
        <v>10.868591338974614</v>
      </c>
      <c r="D97" s="3"/>
      <c r="E97" s="3" t="str">
        <f>_xlfn.XLOOKUP(PE_1[[#This Row],[STN]],SE_1[STN],SE_1[IdeaEligibility],"w/o disability",0)</f>
        <v>w/o disability</v>
      </c>
      <c r="F97" t="str">
        <f>_xlfn.XLOOKUP(PE_1[[#This Row],[STN]],SE_1[STN],SE_1[Ethnicity],"",0)</f>
        <v/>
      </c>
    </row>
    <row r="98" spans="1:6" ht="13.9">
      <c r="A98" s="3" t="s">
        <v>171</v>
      </c>
      <c r="B98" s="10">
        <v>40028</v>
      </c>
      <c r="C98" s="19">
        <v>11.329226557152635</v>
      </c>
      <c r="D98" s="3"/>
      <c r="E98" s="3" t="str">
        <f>_xlfn.XLOOKUP(PE_1[[#This Row],[STN]],SE_1[STN],SE_1[IdeaEligibility],"w/o disability",0)</f>
        <v>w/o disability</v>
      </c>
      <c r="F98" t="str">
        <f>_xlfn.XLOOKUP(PE_1[[#This Row],[STN]],SE_1[STN],SE_1[Ethnicity],"",0)</f>
        <v/>
      </c>
    </row>
    <row r="99" spans="1:6" ht="13.9">
      <c r="A99" s="3" t="s">
        <v>172</v>
      </c>
      <c r="B99" s="10">
        <v>40058</v>
      </c>
      <c r="C99" s="19">
        <v>11.247091033538672</v>
      </c>
      <c r="D99" s="3"/>
      <c r="E99" s="3" t="str">
        <f>_xlfn.XLOOKUP(PE_1[[#This Row],[STN]],SE_1[STN],SE_1[IdeaEligibility],"w/o disability",0)</f>
        <v>w/o disability</v>
      </c>
      <c r="F99" t="str">
        <f>_xlfn.XLOOKUP(PE_1[[#This Row],[STN]],SE_1[STN],SE_1[Ethnicity],"",0)</f>
        <v/>
      </c>
    </row>
    <row r="100" spans="1:6" ht="13.9">
      <c r="A100" s="3" t="s">
        <v>173</v>
      </c>
      <c r="B100" s="10">
        <v>40267</v>
      </c>
      <c r="C100" s="19">
        <v>10.674216027874564</v>
      </c>
      <c r="D100" s="3"/>
      <c r="E100" s="3" t="str">
        <f>_xlfn.XLOOKUP(PE_1[[#This Row],[STN]],SE_1[STN],SE_1[IdeaEligibility],"w/o disability",0)</f>
        <v>w/o disability</v>
      </c>
      <c r="F100" t="str">
        <f>_xlfn.XLOOKUP(PE_1[[#This Row],[STN]],SE_1[STN],SE_1[Ethnicity],"",0)</f>
        <v/>
      </c>
    </row>
    <row r="101" spans="1:6" ht="13.9">
      <c r="A101" s="3" t="s">
        <v>174</v>
      </c>
      <c r="B101" s="10">
        <v>40192</v>
      </c>
      <c r="C101" s="19">
        <v>10.879542060726731</v>
      </c>
      <c r="D101" s="3"/>
      <c r="E101" s="3" t="str">
        <f>_xlfn.XLOOKUP(PE_1[[#This Row],[STN]],SE_1[STN],SE_1[IdeaEligibility],"w/o disability",0)</f>
        <v>w/o disability</v>
      </c>
      <c r="F101" t="str">
        <f>_xlfn.XLOOKUP(PE_1[[#This Row],[STN]],SE_1[STN],SE_1[Ethnicity],"",0)</f>
        <v/>
      </c>
    </row>
    <row r="102" spans="1:6" ht="13.9">
      <c r="A102" s="3" t="s">
        <v>175</v>
      </c>
      <c r="B102" s="10">
        <v>39966</v>
      </c>
      <c r="C102" s="19">
        <v>11.498973305954825</v>
      </c>
      <c r="D102" s="3"/>
      <c r="E102" s="3" t="str">
        <f>_xlfn.XLOOKUP(PE_1[[#This Row],[STN]],SE_1[STN],SE_1[IdeaEligibility],"w/o disability",0)</f>
        <v>w/o disability</v>
      </c>
      <c r="F102" t="str">
        <f>_xlfn.XLOOKUP(PE_1[[#This Row],[STN]],SE_1[STN],SE_1[Ethnicity],"",0)</f>
        <v/>
      </c>
    </row>
    <row r="103" spans="1:6" ht="13.9">
      <c r="A103" s="3" t="s">
        <v>176</v>
      </c>
      <c r="B103" s="10">
        <v>40088</v>
      </c>
      <c r="C103" s="19">
        <v>11.16495550992471</v>
      </c>
      <c r="D103" s="3"/>
      <c r="E103" s="3" t="str">
        <f>_xlfn.XLOOKUP(PE_1[[#This Row],[STN]],SE_1[STN],SE_1[IdeaEligibility],"w/o disability",0)</f>
        <v>w/o disability</v>
      </c>
      <c r="F103" t="str">
        <f>_xlfn.XLOOKUP(PE_1[[#This Row],[STN]],SE_1[STN],SE_1[Ethnicity],"",0)</f>
        <v/>
      </c>
    </row>
    <row r="104" spans="1:6" ht="13.9">
      <c r="A104" s="3">
        <v>2021067</v>
      </c>
      <c r="B104" s="10">
        <v>42200</v>
      </c>
      <c r="C104" s="19">
        <v>5.3813868613138691</v>
      </c>
      <c r="D104" s="3"/>
      <c r="E104" s="3" t="str">
        <f>_xlfn.XLOOKUP(PE_1[[#This Row],[STN]],SE_1[STN],SE_1[IdeaEligibility],"w/o disability",0)</f>
        <v>w/o disability</v>
      </c>
      <c r="F104" t="str">
        <f>_xlfn.XLOOKUP(PE_1[[#This Row],[STN]],SE_1[STN],SE_1[Ethnicity],"",0)</f>
        <v/>
      </c>
    </row>
    <row r="105" spans="1:6" ht="13.9">
      <c r="A105" s="3">
        <v>3719277</v>
      </c>
      <c r="B105" s="10">
        <v>42474</v>
      </c>
      <c r="C105" s="19">
        <v>4.6305418719211824</v>
      </c>
      <c r="D105" s="3"/>
      <c r="E105" s="3" t="str">
        <f>_xlfn.XLOOKUP(PE_1[[#This Row],[STN]],SE_1[STN],SE_1[IdeaEligibility],"w/o disability",0)</f>
        <v>w/o disability</v>
      </c>
      <c r="F105" t="str">
        <f>_xlfn.XLOOKUP(PE_1[[#This Row],[STN]],SE_1[STN],SE_1[Ethnicity],"",0)</f>
        <v/>
      </c>
    </row>
    <row r="106" spans="1:6" ht="13.9">
      <c r="A106" s="3">
        <v>4110073</v>
      </c>
      <c r="B106" s="10">
        <v>40878</v>
      </c>
      <c r="C106" s="19">
        <v>9.0008212428141245</v>
      </c>
      <c r="D106" s="3"/>
      <c r="E106" s="3" t="str">
        <f>_xlfn.XLOOKUP(PE_1[[#This Row],[STN]],SE_1[STN],SE_1[IdeaEligibility],"w/o disability",0)</f>
        <v>w/o disability</v>
      </c>
      <c r="F106" t="str">
        <f>_xlfn.XLOOKUP(PE_1[[#This Row],[STN]],SE_1[STN],SE_1[Ethnicity],"",0)</f>
        <v/>
      </c>
    </row>
    <row r="107" spans="1:6" ht="13.9">
      <c r="A107" s="3">
        <v>3719283</v>
      </c>
      <c r="B107" s="10">
        <v>42329</v>
      </c>
      <c r="C107" s="19">
        <v>5.0282846715328473</v>
      </c>
      <c r="D107" s="3"/>
      <c r="E107" s="3" t="str">
        <f>_xlfn.XLOOKUP(PE_1[[#This Row],[STN]],SE_1[STN],SE_1[IdeaEligibility],"w/o disability",0)</f>
        <v>w/o disability</v>
      </c>
      <c r="F107" t="str">
        <f>_xlfn.XLOOKUP(PE_1[[#This Row],[STN]],SE_1[STN],SE_1[Ethnicity],"",0)</f>
        <v/>
      </c>
    </row>
    <row r="108" spans="1:6" ht="13.9">
      <c r="A108" s="3" t="s">
        <v>177</v>
      </c>
      <c r="B108" s="10">
        <v>40551</v>
      </c>
      <c r="C108" s="19">
        <v>9.8959759102107849</v>
      </c>
      <c r="D108" s="3"/>
      <c r="E108" s="3" t="str">
        <f>_xlfn.XLOOKUP(PE_1[[#This Row],[STN]],SE_1[STN],SE_1[IdeaEligibility],"w/o disability",0)</f>
        <v>w/o disability</v>
      </c>
      <c r="F108" t="str">
        <f>_xlfn.XLOOKUP(PE_1[[#This Row],[STN]],SE_1[STN],SE_1[Ethnicity],"",0)</f>
        <v/>
      </c>
    </row>
    <row r="109" spans="1:6" ht="13.9">
      <c r="A109" s="3">
        <v>3719287</v>
      </c>
      <c r="B109" s="10">
        <v>42235</v>
      </c>
      <c r="C109" s="19">
        <v>5.2855839416058394</v>
      </c>
      <c r="D109" s="3"/>
      <c r="E109" s="3" t="str">
        <f>_xlfn.XLOOKUP(PE_1[[#This Row],[STN]],SE_1[STN],SE_1[IdeaEligibility],"w/o disability",0)</f>
        <v>w/o disability</v>
      </c>
      <c r="F109" t="str">
        <f>_xlfn.XLOOKUP(PE_1[[#This Row],[STN]],SE_1[STN],SE_1[Ethnicity],"",0)</f>
        <v/>
      </c>
    </row>
    <row r="110" spans="1:6" ht="13.9">
      <c r="A110" s="3">
        <v>3719323</v>
      </c>
      <c r="B110" s="10">
        <v>42860</v>
      </c>
      <c r="C110" s="19">
        <v>3.5756331279945242</v>
      </c>
      <c r="D110" s="3"/>
      <c r="E110" s="3" t="str">
        <f>_xlfn.XLOOKUP(PE_1[[#This Row],[STN]],SE_1[STN],SE_1[IdeaEligibility],"w/o disability",0)</f>
        <v>w/o disability</v>
      </c>
      <c r="F110" t="str">
        <f>_xlfn.XLOOKUP(PE_1[[#This Row],[STN]],SE_1[STN],SE_1[Ethnicity],"",0)</f>
        <v/>
      </c>
    </row>
    <row r="111" spans="1:6" ht="13.9">
      <c r="A111" s="3" t="s">
        <v>178</v>
      </c>
      <c r="B111" s="10">
        <v>42225</v>
      </c>
      <c r="C111" s="19">
        <v>5.312956204379562</v>
      </c>
      <c r="D111" s="3"/>
      <c r="E111" s="3" t="str">
        <f>_xlfn.XLOOKUP(PE_1[[#This Row],[STN]],SE_1[STN],SE_1[IdeaEligibility],"w/o disability",0)</f>
        <v>w/o disability</v>
      </c>
      <c r="F111" t="str">
        <f>_xlfn.XLOOKUP(PE_1[[#This Row],[STN]],SE_1[STN],SE_1[Ethnicity],"",0)</f>
        <v/>
      </c>
    </row>
    <row r="112" spans="1:6" ht="13.9">
      <c r="A112" s="3" t="s">
        <v>179</v>
      </c>
      <c r="B112" s="10">
        <v>42341</v>
      </c>
      <c r="C112" s="19">
        <v>4.9954379562043796</v>
      </c>
      <c r="D112" s="3"/>
      <c r="E112" s="3" t="str">
        <f>_xlfn.XLOOKUP(PE_1[[#This Row],[STN]],SE_1[STN],SE_1[IdeaEligibility],"w/o disability",0)</f>
        <v>w/o disability</v>
      </c>
      <c r="F112" t="str">
        <f>_xlfn.XLOOKUP(PE_1[[#This Row],[STN]],SE_1[STN],SE_1[Ethnicity],"",0)</f>
        <v/>
      </c>
    </row>
    <row r="113" spans="1:6" ht="13.9">
      <c r="A113" s="3" t="s">
        <v>180</v>
      </c>
      <c r="B113" s="10">
        <v>42366</v>
      </c>
      <c r="C113" s="19">
        <v>4.9270072992700733</v>
      </c>
      <c r="D113" s="3"/>
      <c r="E113" s="3" t="str">
        <f>_xlfn.XLOOKUP(PE_1[[#This Row],[STN]],SE_1[STN],SE_1[IdeaEligibility],"w/o disability",0)</f>
        <v>w/o disability</v>
      </c>
      <c r="F113" t="str">
        <f>_xlfn.XLOOKUP(PE_1[[#This Row],[STN]],SE_1[STN],SE_1[Ethnicity],"",0)</f>
        <v/>
      </c>
    </row>
    <row r="114" spans="1:6" ht="13.9">
      <c r="A114" s="3" t="s">
        <v>181</v>
      </c>
      <c r="B114" s="10">
        <v>42121</v>
      </c>
      <c r="C114" s="19">
        <v>5.5976277372262775</v>
      </c>
      <c r="D114" s="3"/>
      <c r="E114" s="3" t="str">
        <f>_xlfn.XLOOKUP(PE_1[[#This Row],[STN]],SE_1[STN],SE_1[IdeaEligibility],"w/o disability",0)</f>
        <v>w/o disability</v>
      </c>
      <c r="F114" t="str">
        <f>_xlfn.XLOOKUP(PE_1[[#This Row],[STN]],SE_1[STN],SE_1[Ethnicity],"",0)</f>
        <v/>
      </c>
    </row>
    <row r="115" spans="1:6" ht="13.9">
      <c r="A115" s="3" t="s">
        <v>182</v>
      </c>
      <c r="B115" s="10">
        <v>42179</v>
      </c>
      <c r="C115" s="19">
        <v>5.4388686131386867</v>
      </c>
      <c r="D115" s="3"/>
      <c r="E115" s="3" t="str">
        <f>_xlfn.XLOOKUP(PE_1[[#This Row],[STN]],SE_1[STN],SE_1[IdeaEligibility],"w/o disability",0)</f>
        <v>w/o disability</v>
      </c>
      <c r="F115" t="str">
        <f>_xlfn.XLOOKUP(PE_1[[#This Row],[STN]],SE_1[STN],SE_1[Ethnicity],"",0)</f>
        <v/>
      </c>
    </row>
    <row r="116" spans="1:6" ht="13.9">
      <c r="A116" s="3" t="s">
        <v>183</v>
      </c>
      <c r="B116" s="10">
        <v>42312</v>
      </c>
      <c r="C116" s="19">
        <v>5.0748175182481754</v>
      </c>
      <c r="D116" s="3"/>
      <c r="E116" s="3" t="str">
        <f>_xlfn.XLOOKUP(PE_1[[#This Row],[STN]],SE_1[STN],SE_1[IdeaEligibility],"w/o disability",0)</f>
        <v>w/o disability</v>
      </c>
      <c r="F116" t="str">
        <f>_xlfn.XLOOKUP(PE_1[[#This Row],[STN]],SE_1[STN],SE_1[Ethnicity],"",0)</f>
        <v/>
      </c>
    </row>
    <row r="117" spans="1:6" ht="13.9">
      <c r="A117" s="3" t="s">
        <v>184</v>
      </c>
      <c r="B117" s="10">
        <v>42477</v>
      </c>
      <c r="C117" s="19">
        <v>4.6223316912972088</v>
      </c>
      <c r="D117" s="3"/>
      <c r="E117" s="3" t="str">
        <f>_xlfn.XLOOKUP(PE_1[[#This Row],[STN]],SE_1[STN],SE_1[IdeaEligibility],"w/o disability",0)</f>
        <v>w/o disability</v>
      </c>
      <c r="F117" t="str">
        <f>_xlfn.XLOOKUP(PE_1[[#This Row],[STN]],SE_1[STN],SE_1[Ethnicity],"",0)</f>
        <v/>
      </c>
    </row>
    <row r="118" spans="1:6" ht="13.9">
      <c r="A118" s="3" t="s">
        <v>185</v>
      </c>
      <c r="B118" s="10">
        <v>42273</v>
      </c>
      <c r="C118" s="19">
        <v>5.1815693430656937</v>
      </c>
      <c r="D118" s="3"/>
      <c r="E118" s="3" t="str">
        <f>_xlfn.XLOOKUP(PE_1[[#This Row],[STN]],SE_1[STN],SE_1[IdeaEligibility],"w/o disability",0)</f>
        <v>w/o disability</v>
      </c>
      <c r="F118" t="str">
        <f>_xlfn.XLOOKUP(PE_1[[#This Row],[STN]],SE_1[STN],SE_1[Ethnicity],"",0)</f>
        <v/>
      </c>
    </row>
    <row r="119" spans="1:6" ht="13.9">
      <c r="A119" s="3" t="s">
        <v>186</v>
      </c>
      <c r="B119" s="10">
        <v>42300</v>
      </c>
      <c r="C119" s="19">
        <v>5.1076642335766422</v>
      </c>
      <c r="D119" s="3"/>
      <c r="E119" s="3" t="str">
        <f>_xlfn.XLOOKUP(PE_1[[#This Row],[STN]],SE_1[STN],SE_1[IdeaEligibility],"w/o disability",0)</f>
        <v>w/o disability</v>
      </c>
      <c r="F119" t="str">
        <f>_xlfn.XLOOKUP(PE_1[[#This Row],[STN]],SE_1[STN],SE_1[Ethnicity],"",0)</f>
        <v/>
      </c>
    </row>
    <row r="120" spans="1:6" ht="13.9">
      <c r="A120" s="3" t="s">
        <v>187</v>
      </c>
      <c r="B120" s="10">
        <v>42139</v>
      </c>
      <c r="C120" s="19">
        <v>5.5483576642335768</v>
      </c>
      <c r="D120" s="3"/>
      <c r="E120" s="3" t="str">
        <f>_xlfn.XLOOKUP(PE_1[[#This Row],[STN]],SE_1[STN],SE_1[IdeaEligibility],"w/o disability",0)</f>
        <v>w/o disability</v>
      </c>
      <c r="F120" t="str">
        <f>_xlfn.XLOOKUP(PE_1[[#This Row],[STN]],SE_1[STN],SE_1[Ethnicity],"",0)</f>
        <v/>
      </c>
    </row>
    <row r="121" spans="1:6" ht="13.9">
      <c r="A121" s="3" t="s">
        <v>188</v>
      </c>
      <c r="B121" s="10">
        <v>42458</v>
      </c>
      <c r="C121" s="19">
        <v>4.6743295019157092</v>
      </c>
      <c r="D121" s="3"/>
      <c r="E121" s="3" t="str">
        <f>_xlfn.XLOOKUP(PE_1[[#This Row],[STN]],SE_1[STN],SE_1[IdeaEligibility],"w/o disability",0)</f>
        <v>w/o disability</v>
      </c>
      <c r="F121" t="str">
        <f>_xlfn.XLOOKUP(PE_1[[#This Row],[STN]],SE_1[STN],SE_1[Ethnicity],"",0)</f>
        <v/>
      </c>
    </row>
    <row r="122" spans="1:6" ht="13.9">
      <c r="A122" s="3" t="s">
        <v>189</v>
      </c>
      <c r="B122" s="10">
        <v>42359</v>
      </c>
      <c r="C122" s="19">
        <v>4.9461678832116789</v>
      </c>
      <c r="D122" s="3"/>
      <c r="E122" s="3" t="str">
        <f>_xlfn.XLOOKUP(PE_1[[#This Row],[STN]],SE_1[STN],SE_1[IdeaEligibility],"w/o disability",0)</f>
        <v>w/o disability</v>
      </c>
      <c r="F122" t="str">
        <f>_xlfn.XLOOKUP(PE_1[[#This Row],[STN]],SE_1[STN],SE_1[Ethnicity],"",0)</f>
        <v/>
      </c>
    </row>
    <row r="123" spans="1:6" ht="13.9">
      <c r="A123" s="3" t="s">
        <v>190</v>
      </c>
      <c r="B123" s="10">
        <v>42270</v>
      </c>
      <c r="C123" s="19">
        <v>5.1897810218978107</v>
      </c>
      <c r="D123" s="3"/>
      <c r="E123" s="3" t="str">
        <f>_xlfn.XLOOKUP(PE_1[[#This Row],[STN]],SE_1[STN],SE_1[IdeaEligibility],"w/o disability",0)</f>
        <v>w/o disability</v>
      </c>
      <c r="F123" t="str">
        <f>_xlfn.XLOOKUP(PE_1[[#This Row],[STN]],SE_1[STN],SE_1[Ethnicity],"",0)</f>
        <v/>
      </c>
    </row>
    <row r="124" spans="1:6" ht="13.9">
      <c r="A124" s="3" t="s">
        <v>191</v>
      </c>
      <c r="B124" s="10">
        <v>42347</v>
      </c>
      <c r="C124" s="19">
        <v>4.9790145985401466</v>
      </c>
      <c r="D124" s="3"/>
      <c r="E124" s="3" t="str">
        <f>_xlfn.XLOOKUP(PE_1[[#This Row],[STN]],SE_1[STN],SE_1[IdeaEligibility],"w/o disability",0)</f>
        <v>w/o disability</v>
      </c>
      <c r="F124" t="str">
        <f>_xlfn.XLOOKUP(PE_1[[#This Row],[STN]],SE_1[STN],SE_1[Ethnicity],"",0)</f>
        <v/>
      </c>
    </row>
    <row r="125" spans="1:6" ht="13.9">
      <c r="A125" s="3" t="s">
        <v>192</v>
      </c>
      <c r="B125" s="10">
        <v>41889</v>
      </c>
      <c r="C125" s="19">
        <v>6.2334767305436056</v>
      </c>
      <c r="D125" s="3"/>
      <c r="E125" s="3" t="str">
        <f>_xlfn.XLOOKUP(PE_1[[#This Row],[STN]],SE_1[STN],SE_1[IdeaEligibility],"w/o disability",0)</f>
        <v>w/o disability</v>
      </c>
      <c r="F125" t="str">
        <f>_xlfn.XLOOKUP(PE_1[[#This Row],[STN]],SE_1[STN],SE_1[Ethnicity],"",0)</f>
        <v/>
      </c>
    </row>
    <row r="126" spans="1:6" ht="13.9">
      <c r="A126" s="3" t="s">
        <v>193</v>
      </c>
      <c r="B126" s="10">
        <v>41072</v>
      </c>
      <c r="C126" s="19">
        <v>8.4689781021897819</v>
      </c>
      <c r="D126" s="3"/>
      <c r="E126" s="3" t="str">
        <f>_xlfn.XLOOKUP(PE_1[[#This Row],[STN]],SE_1[STN],SE_1[IdeaEligibility],"w/o disability",0)</f>
        <v>w/o disability</v>
      </c>
      <c r="F126" t="str">
        <f>_xlfn.XLOOKUP(PE_1[[#This Row],[STN]],SE_1[STN],SE_1[Ethnicity],"",0)</f>
        <v/>
      </c>
    </row>
    <row r="127" spans="1:6" ht="13.9">
      <c r="A127" s="3" t="s">
        <v>194</v>
      </c>
      <c r="B127" s="10">
        <v>40959</v>
      </c>
      <c r="C127" s="19">
        <v>8.7782846715328464</v>
      </c>
      <c r="D127" s="3"/>
      <c r="E127" s="3" t="str">
        <f>_xlfn.XLOOKUP(PE_1[[#This Row],[STN]],SE_1[STN],SE_1[IdeaEligibility],"w/o disability",0)</f>
        <v>w/o disability</v>
      </c>
      <c r="F127" t="str">
        <f>_xlfn.XLOOKUP(PE_1[[#This Row],[STN]],SE_1[STN],SE_1[Ethnicity],"",0)</f>
        <v/>
      </c>
    </row>
    <row r="128" spans="1:6" ht="13.9">
      <c r="A128" s="3" t="s">
        <v>195</v>
      </c>
      <c r="B128" s="10">
        <v>40686</v>
      </c>
      <c r="C128" s="19">
        <v>9.5264166438543665</v>
      </c>
      <c r="D128" s="3"/>
      <c r="E128" s="3" t="str">
        <f>_xlfn.XLOOKUP(PE_1[[#This Row],[STN]],SE_1[STN],SE_1[IdeaEligibility],"w/o disability",0)</f>
        <v>w/o disability</v>
      </c>
      <c r="F128" t="str">
        <f>_xlfn.XLOOKUP(PE_1[[#This Row],[STN]],SE_1[STN],SE_1[Ethnicity],"",0)</f>
        <v/>
      </c>
    </row>
    <row r="129" spans="1:6" ht="13.9">
      <c r="A129" s="3" t="s">
        <v>196</v>
      </c>
      <c r="B129" s="10">
        <v>40954</v>
      </c>
      <c r="C129" s="19">
        <v>8.7919708029197086</v>
      </c>
      <c r="D129" s="3"/>
      <c r="E129" s="3" t="str">
        <f>_xlfn.XLOOKUP(PE_1[[#This Row],[STN]],SE_1[STN],SE_1[IdeaEligibility],"w/o disability",0)</f>
        <v>w/o disability</v>
      </c>
      <c r="F129" t="str">
        <f>_xlfn.XLOOKUP(PE_1[[#This Row],[STN]],SE_1[STN],SE_1[Ethnicity],"",0)</f>
        <v/>
      </c>
    </row>
    <row r="130" spans="1:6" ht="13.9">
      <c r="A130" s="3" t="s">
        <v>197</v>
      </c>
      <c r="B130" s="10">
        <v>40826</v>
      </c>
      <c r="C130" s="19">
        <v>9.1431699972625236</v>
      </c>
      <c r="D130" s="3"/>
      <c r="E130" s="3" t="str">
        <f>_xlfn.XLOOKUP(PE_1[[#This Row],[STN]],SE_1[STN],SE_1[IdeaEligibility],"w/o disability",0)</f>
        <v>w/o disability</v>
      </c>
      <c r="F130" t="str">
        <f>_xlfn.XLOOKUP(PE_1[[#This Row],[STN]],SE_1[STN],SE_1[Ethnicity],"",0)</f>
        <v/>
      </c>
    </row>
    <row r="131" spans="1:6" ht="13.9">
      <c r="A131" s="3" t="s">
        <v>198</v>
      </c>
      <c r="B131" s="10">
        <v>40800</v>
      </c>
      <c r="C131" s="19">
        <v>9.2143443744867231</v>
      </c>
      <c r="D131" s="3"/>
      <c r="E131" s="3" t="str">
        <f>_xlfn.XLOOKUP(PE_1[[#This Row],[STN]],SE_1[STN],SE_1[IdeaEligibility],"w/o disability",0)</f>
        <v>w/o disability</v>
      </c>
      <c r="F131" t="str">
        <f>_xlfn.XLOOKUP(PE_1[[#This Row],[STN]],SE_1[STN],SE_1[Ethnicity],"",0)</f>
        <v/>
      </c>
    </row>
    <row r="132" spans="1:6" ht="13.9">
      <c r="A132" s="3" t="s">
        <v>199</v>
      </c>
      <c r="B132" s="10">
        <v>40841</v>
      </c>
      <c r="C132" s="19">
        <v>9.1021078565562554</v>
      </c>
      <c r="D132" s="3"/>
      <c r="E132" s="3" t="str">
        <f>_xlfn.XLOOKUP(PE_1[[#This Row],[STN]],SE_1[STN],SE_1[IdeaEligibility],"w/o disability",0)</f>
        <v>w/o disability</v>
      </c>
      <c r="F132" t="str">
        <f>_xlfn.XLOOKUP(PE_1[[#This Row],[STN]],SE_1[STN],SE_1[Ethnicity],"",0)</f>
        <v/>
      </c>
    </row>
    <row r="133" spans="1:6" ht="13.9">
      <c r="A133" s="3" t="s">
        <v>200</v>
      </c>
      <c r="B133" s="10">
        <v>40660</v>
      </c>
      <c r="C133" s="19">
        <v>9.597591021078566</v>
      </c>
      <c r="D133" s="3"/>
      <c r="E133" s="3" t="str">
        <f>_xlfn.XLOOKUP(PE_1[[#This Row],[STN]],SE_1[STN],SE_1[IdeaEligibility],"w/o disability",0)</f>
        <v>w/o disability</v>
      </c>
      <c r="F133" t="str">
        <f>_xlfn.XLOOKUP(PE_1[[#This Row],[STN]],SE_1[STN],SE_1[Ethnicity],"",0)</f>
        <v/>
      </c>
    </row>
    <row r="134" spans="1:6" ht="13.9">
      <c r="A134" s="3" t="s">
        <v>201</v>
      </c>
      <c r="B134" s="10">
        <v>40884</v>
      </c>
      <c r="C134" s="19">
        <v>8.9843963865316177</v>
      </c>
      <c r="D134" s="3"/>
      <c r="E134" s="3" t="str">
        <f>_xlfn.XLOOKUP(PE_1[[#This Row],[STN]],SE_1[STN],SE_1[IdeaEligibility],"w/o disability",0)</f>
        <v>w/o disability</v>
      </c>
      <c r="F134" t="str">
        <f>_xlfn.XLOOKUP(PE_1[[#This Row],[STN]],SE_1[STN],SE_1[Ethnicity],"",0)</f>
        <v/>
      </c>
    </row>
    <row r="135" spans="1:6" ht="13.9">
      <c r="A135" s="3" t="s">
        <v>202</v>
      </c>
      <c r="B135" s="10">
        <v>42119</v>
      </c>
      <c r="C135" s="19">
        <v>5.6031021897810218</v>
      </c>
      <c r="D135" s="3"/>
      <c r="E135" s="3" t="str">
        <f>_xlfn.XLOOKUP(PE_1[[#This Row],[STN]],SE_1[STN],SE_1[IdeaEligibility],"w/o disability",0)</f>
        <v>w/o disability</v>
      </c>
      <c r="F135" t="str">
        <f>_xlfn.XLOOKUP(PE_1[[#This Row],[STN]],SE_1[STN],SE_1[Ethnicity],"",0)</f>
        <v/>
      </c>
    </row>
    <row r="136" spans="1:6" ht="13.9">
      <c r="A136" s="3" t="s">
        <v>203</v>
      </c>
      <c r="B136" s="10">
        <v>40990</v>
      </c>
      <c r="C136" s="19">
        <v>8.6934306569343072</v>
      </c>
      <c r="D136" s="3"/>
      <c r="E136" s="3" t="str">
        <f>_xlfn.XLOOKUP(PE_1[[#This Row],[STN]],SE_1[STN],SE_1[IdeaEligibility],"w/o disability",0)</f>
        <v>w/o disability</v>
      </c>
      <c r="F136" t="str">
        <f>_xlfn.XLOOKUP(PE_1[[#This Row],[STN]],SE_1[STN],SE_1[Ethnicity],"",0)</f>
        <v/>
      </c>
    </row>
    <row r="137" spans="1:6" ht="13.9">
      <c r="A137" s="3" t="s">
        <v>204</v>
      </c>
      <c r="B137" s="10">
        <v>40668</v>
      </c>
      <c r="C137" s="19">
        <v>9.5756912127018889</v>
      </c>
      <c r="D137" s="3"/>
      <c r="E137" s="3" t="str">
        <f>_xlfn.XLOOKUP(PE_1[[#This Row],[STN]],SE_1[STN],SE_1[IdeaEligibility],"w/o disability",0)</f>
        <v>w/o disability</v>
      </c>
      <c r="F137" t="str">
        <f>_xlfn.XLOOKUP(PE_1[[#This Row],[STN]],SE_1[STN],SE_1[Ethnicity],"",0)</f>
        <v/>
      </c>
    </row>
    <row r="138" spans="1:6" ht="13.9">
      <c r="A138" s="3" t="s">
        <v>205</v>
      </c>
      <c r="B138" s="10">
        <v>40663</v>
      </c>
      <c r="C138" s="19">
        <v>9.5893785929373117</v>
      </c>
      <c r="D138" s="3"/>
      <c r="E138" s="3" t="str">
        <f>_xlfn.XLOOKUP(PE_1[[#This Row],[STN]],SE_1[STN],SE_1[IdeaEligibility],"w/o disability",0)</f>
        <v>w/o disability</v>
      </c>
      <c r="F138" t="str">
        <f>_xlfn.XLOOKUP(PE_1[[#This Row],[STN]],SE_1[STN],SE_1[Ethnicity],"",0)</f>
        <v/>
      </c>
    </row>
    <row r="139" spans="1:6" ht="13.9">
      <c r="A139" s="3" t="s">
        <v>206</v>
      </c>
      <c r="B139" s="10">
        <v>40971</v>
      </c>
      <c r="C139" s="19">
        <v>8.7454379562043805</v>
      </c>
      <c r="D139" s="3"/>
      <c r="E139" s="3" t="str">
        <f>_xlfn.XLOOKUP(PE_1[[#This Row],[STN]],SE_1[STN],SE_1[IdeaEligibility],"w/o disability",0)</f>
        <v>w/o disability</v>
      </c>
      <c r="F139" t="str">
        <f>_xlfn.XLOOKUP(PE_1[[#This Row],[STN]],SE_1[STN],SE_1[Ethnicity],"",0)</f>
        <v/>
      </c>
    </row>
    <row r="140" spans="1:6" ht="13.9">
      <c r="A140" s="3" t="s">
        <v>207</v>
      </c>
      <c r="B140" s="10">
        <v>40631</v>
      </c>
      <c r="C140" s="19">
        <v>9.676977826444018</v>
      </c>
      <c r="D140" s="3"/>
      <c r="E140" s="3" t="str">
        <f>_xlfn.XLOOKUP(PE_1[[#This Row],[STN]],SE_1[STN],SE_1[IdeaEligibility],"w/o disability",0)</f>
        <v>w/o disability</v>
      </c>
      <c r="F140" t="str">
        <f>_xlfn.XLOOKUP(PE_1[[#This Row],[STN]],SE_1[STN],SE_1[Ethnicity],"",0)</f>
        <v/>
      </c>
    </row>
    <row r="141" spans="1:6" ht="13.9">
      <c r="A141" s="3" t="s">
        <v>208</v>
      </c>
      <c r="B141" s="10">
        <v>40832</v>
      </c>
      <c r="C141" s="19">
        <v>9.1267451409800167</v>
      </c>
      <c r="D141" s="3"/>
      <c r="E141" s="3" t="str">
        <f>_xlfn.XLOOKUP(PE_1[[#This Row],[STN]],SE_1[STN],SE_1[IdeaEligibility],"w/o disability",0)</f>
        <v>w/o disability</v>
      </c>
      <c r="F141" t="str">
        <f>_xlfn.XLOOKUP(PE_1[[#This Row],[STN]],SE_1[STN],SE_1[Ethnicity],"",0)</f>
        <v/>
      </c>
    </row>
    <row r="142" spans="1:6" ht="13.9">
      <c r="A142" s="3" t="s">
        <v>209</v>
      </c>
      <c r="B142" s="10">
        <v>40730</v>
      </c>
      <c r="C142" s="19">
        <v>9.4059676977826445</v>
      </c>
      <c r="D142" s="3"/>
      <c r="E142" s="3" t="str">
        <f>_xlfn.XLOOKUP(PE_1[[#This Row],[STN]],SE_1[STN],SE_1[IdeaEligibility],"w/o disability",0)</f>
        <v>w/o disability</v>
      </c>
      <c r="F142" t="str">
        <f>_xlfn.XLOOKUP(PE_1[[#This Row],[STN]],SE_1[STN],SE_1[Ethnicity],"",0)</f>
        <v/>
      </c>
    </row>
    <row r="143" spans="1:6" ht="13.9">
      <c r="A143" s="3" t="s">
        <v>210</v>
      </c>
      <c r="B143" s="10">
        <v>41078</v>
      </c>
      <c r="C143" s="19">
        <v>8.452554744525548</v>
      </c>
      <c r="D143" s="3"/>
      <c r="E143" s="3" t="str">
        <f>_xlfn.XLOOKUP(PE_1[[#This Row],[STN]],SE_1[STN],SE_1[IdeaEligibility],"w/o disability",0)</f>
        <v>w/o disability</v>
      </c>
      <c r="F143" t="str">
        <f>_xlfn.XLOOKUP(PE_1[[#This Row],[STN]],SE_1[STN],SE_1[Ethnicity],"",0)</f>
        <v/>
      </c>
    </row>
    <row r="144" spans="1:6" ht="13.9">
      <c r="A144" s="3" t="s">
        <v>211</v>
      </c>
      <c r="B144" s="10">
        <v>41008</v>
      </c>
      <c r="C144" s="19">
        <v>8.6441605839416056</v>
      </c>
      <c r="D144" s="3"/>
      <c r="E144" s="3" t="str">
        <f>_xlfn.XLOOKUP(PE_1[[#This Row],[STN]],SE_1[STN],SE_1[IdeaEligibility],"w/o disability",0)</f>
        <v>w/o disability</v>
      </c>
      <c r="F144" t="str">
        <f>_xlfn.XLOOKUP(PE_1[[#This Row],[STN]],SE_1[STN],SE_1[Ethnicity],"",0)</f>
        <v/>
      </c>
    </row>
    <row r="145" spans="1:6" ht="13.9">
      <c r="A145" s="3" t="s">
        <v>212</v>
      </c>
      <c r="B145" s="10">
        <v>40606</v>
      </c>
      <c r="C145" s="19">
        <v>9.7454147276211334</v>
      </c>
      <c r="D145" s="3"/>
      <c r="E145" s="3" t="str">
        <f>_xlfn.XLOOKUP(PE_1[[#This Row],[STN]],SE_1[STN],SE_1[IdeaEligibility],"w/o disability",0)</f>
        <v>w/o disability</v>
      </c>
      <c r="F145" t="str">
        <f>_xlfn.XLOOKUP(PE_1[[#This Row],[STN]],SE_1[STN],SE_1[Ethnicity],"",0)</f>
        <v/>
      </c>
    </row>
    <row r="146" spans="1:6" ht="13.9">
      <c r="A146" s="3" t="s">
        <v>213</v>
      </c>
      <c r="B146" s="10">
        <v>40976</v>
      </c>
      <c r="C146" s="19">
        <v>8.7317518248175183</v>
      </c>
      <c r="D146" s="3"/>
      <c r="E146" s="3" t="str">
        <f>_xlfn.XLOOKUP(PE_1[[#This Row],[STN]],SE_1[STN],SE_1[IdeaEligibility],"w/o disability",0)</f>
        <v>w/o disability</v>
      </c>
      <c r="F146" t="str">
        <f>_xlfn.XLOOKUP(PE_1[[#This Row],[STN]],SE_1[STN],SE_1[Ethnicity],"",0)</f>
        <v/>
      </c>
    </row>
    <row r="147" spans="1:6" ht="13.9">
      <c r="A147" s="3" t="s">
        <v>214</v>
      </c>
      <c r="B147" s="10">
        <v>40800</v>
      </c>
      <c r="C147" s="19">
        <v>9.2143443744867231</v>
      </c>
      <c r="D147" s="3"/>
      <c r="E147" s="3" t="str">
        <f>_xlfn.XLOOKUP(PE_1[[#This Row],[STN]],SE_1[STN],SE_1[IdeaEligibility],"w/o disability",0)</f>
        <v>w/o disability</v>
      </c>
      <c r="F147" t="str">
        <f>_xlfn.XLOOKUP(PE_1[[#This Row],[STN]],SE_1[STN],SE_1[Ethnicity],"",0)</f>
        <v/>
      </c>
    </row>
    <row r="148" spans="1:6" ht="13.9">
      <c r="A148" s="3" t="s">
        <v>215</v>
      </c>
      <c r="B148" s="10">
        <v>41055</v>
      </c>
      <c r="C148" s="19">
        <v>8.51551094890511</v>
      </c>
      <c r="D148" s="3"/>
      <c r="E148" s="3" t="str">
        <f>_xlfn.XLOOKUP(PE_1[[#This Row],[STN]],SE_1[STN],SE_1[IdeaEligibility],"w/o disability",0)</f>
        <v>w/o disability</v>
      </c>
      <c r="F148" t="str">
        <f>_xlfn.XLOOKUP(PE_1[[#This Row],[STN]],SE_1[STN],SE_1[Ethnicity],"",0)</f>
        <v/>
      </c>
    </row>
    <row r="149" spans="1:6" ht="13.9">
      <c r="A149" s="3" t="s">
        <v>216</v>
      </c>
      <c r="B149" s="10">
        <v>40888</v>
      </c>
      <c r="C149" s="19">
        <v>8.9734464823432791</v>
      </c>
      <c r="D149" s="3"/>
      <c r="E149" s="3" t="str">
        <f>_xlfn.XLOOKUP(PE_1[[#This Row],[STN]],SE_1[STN],SE_1[IdeaEligibility],"w/o disability",0)</f>
        <v>w/o disability</v>
      </c>
      <c r="F149" t="str">
        <f>_xlfn.XLOOKUP(PE_1[[#This Row],[STN]],SE_1[STN],SE_1[Ethnicity],"",0)</f>
        <v/>
      </c>
    </row>
    <row r="150" spans="1:6" ht="13.9">
      <c r="A150" s="3" t="s">
        <v>217</v>
      </c>
      <c r="B150" s="10">
        <v>40975</v>
      </c>
      <c r="C150" s="19">
        <v>8.7344890510948918</v>
      </c>
      <c r="D150" s="3"/>
      <c r="E150" s="3" t="str">
        <f>_xlfn.XLOOKUP(PE_1[[#This Row],[STN]],SE_1[STN],SE_1[IdeaEligibility],"w/o disability",0)</f>
        <v>w/o disability</v>
      </c>
      <c r="F150" t="str">
        <f>_xlfn.XLOOKUP(PE_1[[#This Row],[STN]],SE_1[STN],SE_1[Ethnicity],"",0)</f>
        <v/>
      </c>
    </row>
    <row r="151" spans="1:6" ht="13.9">
      <c r="A151" s="3" t="s">
        <v>218</v>
      </c>
      <c r="B151" s="10">
        <v>42531</v>
      </c>
      <c r="C151" s="19">
        <v>4.4745484400656821</v>
      </c>
      <c r="D151" s="3"/>
      <c r="E151" s="3" t="str">
        <f>_xlfn.XLOOKUP(PE_1[[#This Row],[STN]],SE_1[STN],SE_1[IdeaEligibility],"w/o disability",0)</f>
        <v>w/o disability</v>
      </c>
      <c r="F151" t="str">
        <f>_xlfn.XLOOKUP(PE_1[[#This Row],[STN]],SE_1[STN],SE_1[Ethnicity],"",0)</f>
        <v/>
      </c>
    </row>
    <row r="152" spans="1:6" ht="13.9">
      <c r="A152" s="3">
        <v>4110032</v>
      </c>
      <c r="B152" s="10">
        <v>40810</v>
      </c>
      <c r="C152" s="19">
        <v>9.1869696140158776</v>
      </c>
      <c r="D152" s="3"/>
      <c r="E152" s="3" t="str">
        <f>_xlfn.XLOOKUP(PE_1[[#This Row],[STN]],SE_1[STN],SE_1[IdeaEligibility],"w/o disability",0)</f>
        <v>w/o disability</v>
      </c>
      <c r="F152" t="str">
        <f>_xlfn.XLOOKUP(PE_1[[#This Row],[STN]],SE_1[STN],SE_1[Ethnicity],"",0)</f>
        <v/>
      </c>
    </row>
    <row r="153" spans="1:6" ht="13.9">
      <c r="A153" s="3">
        <v>4109952</v>
      </c>
      <c r="B153" s="10">
        <v>40455</v>
      </c>
      <c r="C153" s="19">
        <v>10.159532105525138</v>
      </c>
      <c r="D153" s="3"/>
      <c r="E153" s="3" t="str">
        <f>_xlfn.XLOOKUP(PE_1[[#This Row],[STN]],SE_1[STN],SE_1[IdeaEligibility],"w/o disability",0)</f>
        <v>w/o disability</v>
      </c>
      <c r="F153" t="str">
        <f>_xlfn.XLOOKUP(PE_1[[#This Row],[STN]],SE_1[STN],SE_1[Ethnicity],"",0)</f>
        <v/>
      </c>
    </row>
    <row r="154" spans="1:6" ht="13.9">
      <c r="A154" s="3">
        <v>4110100</v>
      </c>
      <c r="B154" s="10">
        <v>41024</v>
      </c>
      <c r="C154" s="19">
        <v>8.6003649635036492</v>
      </c>
      <c r="D154" s="3"/>
      <c r="E154" s="3" t="str">
        <f>_xlfn.XLOOKUP(PE_1[[#This Row],[STN]],SE_1[STN],SE_1[IdeaEligibility],"w/o disability",0)</f>
        <v>w/o disability</v>
      </c>
      <c r="F154" t="str">
        <f>_xlfn.XLOOKUP(PE_1[[#This Row],[STN]],SE_1[STN],SE_1[Ethnicity],"",0)</f>
        <v/>
      </c>
    </row>
    <row r="155" spans="1:6" ht="13.9">
      <c r="A155" s="3" t="s">
        <v>219</v>
      </c>
      <c r="B155" s="10">
        <v>42526</v>
      </c>
      <c r="C155" s="19">
        <v>4.4882320744389714</v>
      </c>
      <c r="D155" s="3"/>
      <c r="E155" s="3" t="str">
        <f>_xlfn.XLOOKUP(PE_1[[#This Row],[STN]],SE_1[STN],SE_1[IdeaEligibility],"w/o disability",0)</f>
        <v>w/o disability</v>
      </c>
      <c r="F155" t="str">
        <f>_xlfn.XLOOKUP(PE_1[[#This Row],[STN]],SE_1[STN],SE_1[Ethnicity],"",0)</f>
        <v/>
      </c>
    </row>
    <row r="156" spans="1:6" ht="13.9">
      <c r="A156" s="3" t="s">
        <v>220</v>
      </c>
      <c r="B156" s="10">
        <v>41655</v>
      </c>
      <c r="C156" s="19">
        <v>6.8740711771607357</v>
      </c>
      <c r="D156" s="3"/>
      <c r="E156" s="3" t="str">
        <f>_xlfn.XLOOKUP(PE_1[[#This Row],[STN]],SE_1[STN],SE_1[IdeaEligibility],"w/o disability",0)</f>
        <v>w/o disability</v>
      </c>
      <c r="F156" t="str">
        <f>_xlfn.XLOOKUP(PE_1[[#This Row],[STN]],SE_1[STN],SE_1[Ethnicity],"",0)</f>
        <v/>
      </c>
    </row>
    <row r="157" spans="1:6" ht="13.9">
      <c r="A157" s="3">
        <v>4110231</v>
      </c>
      <c r="B157" s="10">
        <v>41247</v>
      </c>
      <c r="C157" s="19">
        <v>7.9899635036496353</v>
      </c>
      <c r="D157" s="3"/>
      <c r="E157" s="3" t="str">
        <f>_xlfn.XLOOKUP(PE_1[[#This Row],[STN]],SE_1[STN],SE_1[IdeaEligibility],"w/o disability",0)</f>
        <v>w/o disability</v>
      </c>
      <c r="F157" t="str">
        <f>_xlfn.XLOOKUP(PE_1[[#This Row],[STN]],SE_1[STN],SE_1[Ethnicity],"",0)</f>
        <v/>
      </c>
    </row>
    <row r="158" spans="1:6" ht="13.9">
      <c r="A158" s="3" t="s">
        <v>221</v>
      </c>
      <c r="B158" s="10">
        <v>41086</v>
      </c>
      <c r="C158" s="19">
        <v>8.4306569343065689</v>
      </c>
      <c r="D158" s="3"/>
      <c r="E158" s="3" t="str">
        <f>_xlfn.XLOOKUP(PE_1[[#This Row],[STN]],SE_1[STN],SE_1[IdeaEligibility],"w/o disability",0)</f>
        <v>w/o disability</v>
      </c>
      <c r="F158" t="str">
        <f>_xlfn.XLOOKUP(PE_1[[#This Row],[STN]],SE_1[STN],SE_1[Ethnicity],"",0)</f>
        <v/>
      </c>
    </row>
    <row r="159" spans="1:6" ht="13.9">
      <c r="A159" s="3" t="s">
        <v>222</v>
      </c>
      <c r="B159" s="10">
        <v>41250</v>
      </c>
      <c r="C159" s="19">
        <v>7.9817518248175183</v>
      </c>
      <c r="D159" s="3"/>
      <c r="E159" s="3" t="str">
        <f>_xlfn.XLOOKUP(PE_1[[#This Row],[STN]],SE_1[STN],SE_1[IdeaEligibility],"w/o disability",0)</f>
        <v>w/o disability</v>
      </c>
      <c r="F159" t="str">
        <f>_xlfn.XLOOKUP(PE_1[[#This Row],[STN]],SE_1[STN],SE_1[Ethnicity],"",0)</f>
        <v/>
      </c>
    </row>
    <row r="160" spans="1:6" ht="13.9">
      <c r="A160" s="3" t="s">
        <v>223</v>
      </c>
      <c r="B160" s="10">
        <v>41193</v>
      </c>
      <c r="C160" s="19">
        <v>8.1377737226277382</v>
      </c>
      <c r="D160" s="3"/>
      <c r="E160" s="3" t="str">
        <f>_xlfn.XLOOKUP(PE_1[[#This Row],[STN]],SE_1[STN],SE_1[IdeaEligibility],"w/o disability",0)</f>
        <v>w/o disability</v>
      </c>
      <c r="F160" t="str">
        <f>_xlfn.XLOOKUP(PE_1[[#This Row],[STN]],SE_1[STN],SE_1[Ethnicity],"",0)</f>
        <v/>
      </c>
    </row>
    <row r="161" spans="1:6" ht="13.9">
      <c r="A161" s="3" t="s">
        <v>224</v>
      </c>
      <c r="B161" s="10">
        <v>40989</v>
      </c>
      <c r="C161" s="19">
        <v>8.6961678832116789</v>
      </c>
      <c r="D161" s="3"/>
      <c r="E161" s="3" t="str">
        <f>_xlfn.XLOOKUP(PE_1[[#This Row],[STN]],SE_1[STN],SE_1[IdeaEligibility],"w/o disability",0)</f>
        <v>w/o disability</v>
      </c>
      <c r="F161" t="str">
        <f>_xlfn.XLOOKUP(PE_1[[#This Row],[STN]],SE_1[STN],SE_1[Ethnicity],"",0)</f>
        <v/>
      </c>
    </row>
    <row r="162" spans="1:6" ht="13.9">
      <c r="A162" s="3" t="s">
        <v>225</v>
      </c>
      <c r="B162" s="10">
        <v>41094</v>
      </c>
      <c r="C162" s="19">
        <v>8.4087591240875916</v>
      </c>
      <c r="D162" s="3"/>
      <c r="E162" s="3" t="str">
        <f>_xlfn.XLOOKUP(PE_1[[#This Row],[STN]],SE_1[STN],SE_1[IdeaEligibility],"w/o disability",0)</f>
        <v>w/o disability</v>
      </c>
      <c r="F162" t="str">
        <f>_xlfn.XLOOKUP(PE_1[[#This Row],[STN]],SE_1[STN],SE_1[Ethnicity],"",0)</f>
        <v/>
      </c>
    </row>
    <row r="163" spans="1:6" ht="13.9">
      <c r="A163" s="3" t="s">
        <v>226</v>
      </c>
      <c r="B163" s="10">
        <v>41348</v>
      </c>
      <c r="C163" s="19">
        <v>7.7152635181382614</v>
      </c>
      <c r="D163" s="3"/>
      <c r="E163" s="3" t="str">
        <f>_xlfn.XLOOKUP(PE_1[[#This Row],[STN]],SE_1[STN],SE_1[IdeaEligibility],"w/o disability",0)</f>
        <v>w/o disability</v>
      </c>
      <c r="F163" t="str">
        <f>_xlfn.XLOOKUP(PE_1[[#This Row],[STN]],SE_1[STN],SE_1[Ethnicity],"",0)</f>
        <v/>
      </c>
    </row>
    <row r="164" spans="1:6" ht="13.9">
      <c r="A164" s="3" t="s">
        <v>227</v>
      </c>
      <c r="B164" s="10">
        <v>41108</v>
      </c>
      <c r="C164" s="19">
        <v>8.3704379562043805</v>
      </c>
      <c r="D164" s="3"/>
      <c r="E164" s="3" t="str">
        <f>_xlfn.XLOOKUP(PE_1[[#This Row],[STN]],SE_1[STN],SE_1[IdeaEligibility],"w/o disability",0)</f>
        <v>w/o disability</v>
      </c>
      <c r="F164" t="str">
        <f>_xlfn.XLOOKUP(PE_1[[#This Row],[STN]],SE_1[STN],SE_1[Ethnicity],"",0)</f>
        <v/>
      </c>
    </row>
    <row r="165" spans="1:6" ht="13.9">
      <c r="A165" s="3" t="s">
        <v>228</v>
      </c>
      <c r="B165" s="10">
        <v>41140</v>
      </c>
      <c r="C165" s="19">
        <v>8.2828467153284677</v>
      </c>
      <c r="D165" s="3"/>
      <c r="E165" s="3" t="str">
        <f>_xlfn.XLOOKUP(PE_1[[#This Row],[STN]],SE_1[STN],SE_1[IdeaEligibility],"w/o disability",0)</f>
        <v>w/o disability</v>
      </c>
      <c r="F165" t="str">
        <f>_xlfn.XLOOKUP(PE_1[[#This Row],[STN]],SE_1[STN],SE_1[Ethnicity],"",0)</f>
        <v/>
      </c>
    </row>
    <row r="166" spans="1:6" ht="13.9">
      <c r="A166" s="3" t="s">
        <v>229</v>
      </c>
      <c r="B166" s="10">
        <v>41100</v>
      </c>
      <c r="C166" s="19">
        <v>8.3923357664233578</v>
      </c>
      <c r="D166" s="3"/>
      <c r="E166" s="3" t="str">
        <f>_xlfn.XLOOKUP(PE_1[[#This Row],[STN]],SE_1[STN],SE_1[IdeaEligibility],"w/o disability",0)</f>
        <v>w/o disability</v>
      </c>
      <c r="F166" t="str">
        <f>_xlfn.XLOOKUP(PE_1[[#This Row],[STN]],SE_1[STN],SE_1[Ethnicity],"",0)</f>
        <v/>
      </c>
    </row>
    <row r="167" spans="1:6" ht="13.9">
      <c r="A167" s="3" t="s">
        <v>230</v>
      </c>
      <c r="B167" s="10">
        <v>40936</v>
      </c>
      <c r="C167" s="19">
        <v>8.8412408759124084</v>
      </c>
      <c r="D167" s="3"/>
      <c r="E167" s="3" t="str">
        <f>_xlfn.XLOOKUP(PE_1[[#This Row],[STN]],SE_1[STN],SE_1[IdeaEligibility],"w/o disability",0)</f>
        <v>w/o disability</v>
      </c>
      <c r="F167" t="str">
        <f>_xlfn.XLOOKUP(PE_1[[#This Row],[STN]],SE_1[STN],SE_1[Ethnicity],"",0)</f>
        <v/>
      </c>
    </row>
    <row r="168" spans="1:6" ht="13.9">
      <c r="A168" s="3" t="s">
        <v>231</v>
      </c>
      <c r="B168" s="10">
        <v>41044</v>
      </c>
      <c r="C168" s="19">
        <v>8.5456204379562042</v>
      </c>
      <c r="D168" s="3"/>
      <c r="E168" s="3" t="str">
        <f>_xlfn.XLOOKUP(PE_1[[#This Row],[STN]],SE_1[STN],SE_1[IdeaEligibility],"w/o disability",0)</f>
        <v>w/o disability</v>
      </c>
      <c r="F168" t="str">
        <f>_xlfn.XLOOKUP(PE_1[[#This Row],[STN]],SE_1[STN],SE_1[Ethnicity],"",0)</f>
        <v/>
      </c>
    </row>
    <row r="169" spans="1:6" ht="13.9">
      <c r="A169" s="3" t="s">
        <v>232</v>
      </c>
      <c r="B169" s="10">
        <v>41290</v>
      </c>
      <c r="C169" s="19">
        <v>7.8740588637919231</v>
      </c>
      <c r="D169" s="3"/>
      <c r="E169" s="3" t="str">
        <f>_xlfn.XLOOKUP(PE_1[[#This Row],[STN]],SE_1[STN],SE_1[IdeaEligibility],"w/o disability",0)</f>
        <v>w/o disability</v>
      </c>
      <c r="F169" t="str">
        <f>_xlfn.XLOOKUP(PE_1[[#This Row],[STN]],SE_1[STN],SE_1[Ethnicity],"",0)</f>
        <v/>
      </c>
    </row>
    <row r="170" spans="1:6" ht="13.9">
      <c r="A170" s="3" t="s">
        <v>233</v>
      </c>
      <c r="B170" s="10">
        <v>41058</v>
      </c>
      <c r="C170" s="19">
        <v>8.507299270072993</v>
      </c>
      <c r="D170" s="3"/>
      <c r="E170" s="3" t="str">
        <f>_xlfn.XLOOKUP(PE_1[[#This Row],[STN]],SE_1[STN],SE_1[IdeaEligibility],"w/o disability",0)</f>
        <v>w/o disability</v>
      </c>
      <c r="F170" t="str">
        <f>_xlfn.XLOOKUP(PE_1[[#This Row],[STN]],SE_1[STN],SE_1[Ethnicity],"",0)</f>
        <v/>
      </c>
    </row>
    <row r="171" spans="1:6" ht="13.9">
      <c r="A171" s="3" t="s">
        <v>234</v>
      </c>
      <c r="B171" s="10">
        <v>41033</v>
      </c>
      <c r="C171" s="19">
        <v>8.5757299270073002</v>
      </c>
      <c r="D171" s="3"/>
      <c r="E171" s="3" t="str">
        <f>_xlfn.XLOOKUP(PE_1[[#This Row],[STN]],SE_1[STN],SE_1[IdeaEligibility],"w/o disability",0)</f>
        <v>w/o disability</v>
      </c>
      <c r="F171" t="str">
        <f>_xlfn.XLOOKUP(PE_1[[#This Row],[STN]],SE_1[STN],SE_1[Ethnicity],"",0)</f>
        <v/>
      </c>
    </row>
    <row r="172" spans="1:6" ht="13.9">
      <c r="A172" s="3" t="s">
        <v>235</v>
      </c>
      <c r="B172" s="10">
        <v>41087</v>
      </c>
      <c r="C172" s="19">
        <v>8.4279197080291972</v>
      </c>
      <c r="D172" s="3"/>
      <c r="E172" s="3" t="str">
        <f>_xlfn.XLOOKUP(PE_1[[#This Row],[STN]],SE_1[STN],SE_1[IdeaEligibility],"w/o disability",0)</f>
        <v>w/o disability</v>
      </c>
      <c r="F172" t="str">
        <f>_xlfn.XLOOKUP(PE_1[[#This Row],[STN]],SE_1[STN],SE_1[Ethnicity],"",0)</f>
        <v/>
      </c>
    </row>
    <row r="173" spans="1:6" ht="13.9">
      <c r="A173" s="3" t="s">
        <v>236</v>
      </c>
      <c r="B173" s="10">
        <v>41210</v>
      </c>
      <c r="C173" s="19">
        <v>8.0912408759124084</v>
      </c>
      <c r="D173" s="3"/>
      <c r="E173" s="3" t="str">
        <f>_xlfn.XLOOKUP(PE_1[[#This Row],[STN]],SE_1[STN],SE_1[IdeaEligibility],"w/o disability",0)</f>
        <v>w/o disability</v>
      </c>
      <c r="F173" t="str">
        <f>_xlfn.XLOOKUP(PE_1[[#This Row],[STN]],SE_1[STN],SE_1[Ethnicity],"",0)</f>
        <v/>
      </c>
    </row>
    <row r="174" spans="1:6" ht="13.9">
      <c r="A174" s="3" t="s">
        <v>237</v>
      </c>
      <c r="B174" s="10">
        <v>41211</v>
      </c>
      <c r="C174" s="19">
        <v>8.0885036496350367</v>
      </c>
      <c r="D174" s="3"/>
      <c r="E174" s="3" t="str">
        <f>_xlfn.XLOOKUP(PE_1[[#This Row],[STN]],SE_1[STN],SE_1[IdeaEligibility],"w/o disability",0)</f>
        <v>w/o disability</v>
      </c>
      <c r="F174" t="str">
        <f>_xlfn.XLOOKUP(PE_1[[#This Row],[STN]],SE_1[STN],SE_1[Ethnicity],"",0)</f>
        <v/>
      </c>
    </row>
    <row r="175" spans="1:6" ht="13.9">
      <c r="A175" s="3" t="s">
        <v>238</v>
      </c>
      <c r="B175" s="10">
        <v>41151</v>
      </c>
      <c r="C175" s="19">
        <v>8.2527372262773735</v>
      </c>
      <c r="D175" s="3"/>
      <c r="E175" s="3" t="str">
        <f>_xlfn.XLOOKUP(PE_1[[#This Row],[STN]],SE_1[STN],SE_1[IdeaEligibility],"w/o disability",0)</f>
        <v>w/o disability</v>
      </c>
      <c r="F175" t="str">
        <f>_xlfn.XLOOKUP(PE_1[[#This Row],[STN]],SE_1[STN],SE_1[Ethnicity],"",0)</f>
        <v/>
      </c>
    </row>
    <row r="176" spans="1:6" ht="13.9">
      <c r="A176" s="3" t="s">
        <v>239</v>
      </c>
      <c r="B176" s="10">
        <v>41247</v>
      </c>
      <c r="C176" s="19">
        <v>7.9899635036496353</v>
      </c>
      <c r="D176" s="3"/>
      <c r="E176" s="3" t="str">
        <f>_xlfn.XLOOKUP(PE_1[[#This Row],[STN]],SE_1[STN],SE_1[IdeaEligibility],"w/o disability",0)</f>
        <v>w/o disability</v>
      </c>
      <c r="F176" t="str">
        <f>_xlfn.XLOOKUP(PE_1[[#This Row],[STN]],SE_1[STN],SE_1[Ethnicity],"",0)</f>
        <v/>
      </c>
    </row>
    <row r="177" spans="1:6" ht="13.9">
      <c r="A177" s="3" t="s">
        <v>240</v>
      </c>
      <c r="B177" s="10">
        <v>41291</v>
      </c>
      <c r="C177" s="19">
        <v>7.871321013004791</v>
      </c>
      <c r="D177" s="3"/>
      <c r="E177" s="3" t="str">
        <f>_xlfn.XLOOKUP(PE_1[[#This Row],[STN]],SE_1[STN],SE_1[IdeaEligibility],"w/o disability",0)</f>
        <v>w/o disability</v>
      </c>
      <c r="F177" t="str">
        <f>_xlfn.XLOOKUP(PE_1[[#This Row],[STN]],SE_1[STN],SE_1[Ethnicity],"",0)</f>
        <v/>
      </c>
    </row>
    <row r="178" spans="1:6" ht="13.9">
      <c r="A178" s="3" t="s">
        <v>241</v>
      </c>
      <c r="B178" s="10">
        <v>41074</v>
      </c>
      <c r="C178" s="19">
        <v>8.4635036496350367</v>
      </c>
      <c r="D178" s="3"/>
      <c r="E178" s="3" t="str">
        <f>_xlfn.XLOOKUP(PE_1[[#This Row],[STN]],SE_1[STN],SE_1[IdeaEligibility],"w/o disability",0)</f>
        <v>w/o disability</v>
      </c>
      <c r="F178" t="str">
        <f>_xlfn.XLOOKUP(PE_1[[#This Row],[STN]],SE_1[STN],SE_1[Ethnicity],"",0)</f>
        <v/>
      </c>
    </row>
    <row r="179" spans="1:6" ht="13.9">
      <c r="A179" s="3" t="s">
        <v>242</v>
      </c>
      <c r="B179" s="10">
        <v>41250</v>
      </c>
      <c r="C179" s="19">
        <v>7.9817518248175183</v>
      </c>
      <c r="D179" s="3"/>
      <c r="E179" s="3" t="str">
        <f>_xlfn.XLOOKUP(PE_1[[#This Row],[STN]],SE_1[STN],SE_1[IdeaEligibility],"w/o disability",0)</f>
        <v>w/o disability</v>
      </c>
      <c r="F179" t="str">
        <f>_xlfn.XLOOKUP(PE_1[[#This Row],[STN]],SE_1[STN],SE_1[Ethnicity],"",0)</f>
        <v/>
      </c>
    </row>
    <row r="180" spans="1:6" ht="13.9">
      <c r="A180" s="3" t="s">
        <v>243</v>
      </c>
      <c r="B180" s="10">
        <v>41337</v>
      </c>
      <c r="C180" s="19">
        <v>7.7453798767967141</v>
      </c>
      <c r="D180" s="3"/>
      <c r="E180" s="3" t="str">
        <f>_xlfn.XLOOKUP(PE_1[[#This Row],[STN]],SE_1[STN],SE_1[IdeaEligibility],"w/o disability",0)</f>
        <v>w/o disability</v>
      </c>
      <c r="F180" t="str">
        <f>_xlfn.XLOOKUP(PE_1[[#This Row],[STN]],SE_1[STN],SE_1[Ethnicity],"",0)</f>
        <v/>
      </c>
    </row>
    <row r="181" spans="1:6" ht="13.9">
      <c r="A181" s="3" t="s">
        <v>244</v>
      </c>
      <c r="B181" s="10">
        <v>41058</v>
      </c>
      <c r="C181" s="19">
        <v>8.507299270072993</v>
      </c>
      <c r="D181" s="3"/>
      <c r="E181" s="3" t="str">
        <f>_xlfn.XLOOKUP(PE_1[[#This Row],[STN]],SE_1[STN],SE_1[IdeaEligibility],"w/o disability",0)</f>
        <v>w/o disability</v>
      </c>
      <c r="F181" t="str">
        <f>_xlfn.XLOOKUP(PE_1[[#This Row],[STN]],SE_1[STN],SE_1[Ethnicity],"",0)</f>
        <v/>
      </c>
    </row>
    <row r="182" spans="1:6" ht="13.9">
      <c r="A182" s="3" t="s">
        <v>245</v>
      </c>
      <c r="B182" s="10">
        <v>41057</v>
      </c>
      <c r="C182" s="19">
        <v>8.5100364963503647</v>
      </c>
      <c r="D182" s="3"/>
      <c r="E182" s="3" t="str">
        <f>_xlfn.XLOOKUP(PE_1[[#This Row],[STN]],SE_1[STN],SE_1[IdeaEligibility],"w/o disability",0)</f>
        <v>w/o disability</v>
      </c>
      <c r="F182" t="str">
        <f>_xlfn.XLOOKUP(PE_1[[#This Row],[STN]],SE_1[STN],SE_1[Ethnicity],"",0)</f>
        <v/>
      </c>
    </row>
    <row r="183" spans="1:6" ht="13.9">
      <c r="A183" s="3" t="s">
        <v>246</v>
      </c>
      <c r="B183" s="10">
        <v>41102</v>
      </c>
      <c r="C183" s="19">
        <v>8.3868613138686143</v>
      </c>
      <c r="D183" s="3"/>
      <c r="E183" s="3" t="str">
        <f>_xlfn.XLOOKUP(PE_1[[#This Row],[STN]],SE_1[STN],SE_1[IdeaEligibility],"w/o disability",0)</f>
        <v>w/o disability</v>
      </c>
      <c r="F183" t="str">
        <f>_xlfn.XLOOKUP(PE_1[[#This Row],[STN]],SE_1[STN],SE_1[Ethnicity],"",0)</f>
        <v/>
      </c>
    </row>
    <row r="184" spans="1:6" ht="13.9">
      <c r="A184" s="3" t="s">
        <v>247</v>
      </c>
      <c r="B184" s="10">
        <v>40644</v>
      </c>
      <c r="C184" s="19">
        <v>9.6413906378319183</v>
      </c>
      <c r="D184" s="3"/>
      <c r="E184" s="3" t="str">
        <f>_xlfn.XLOOKUP(PE_1[[#This Row],[STN]],SE_1[STN],SE_1[IdeaEligibility],"w/o disability",0)</f>
        <v>w/o disability</v>
      </c>
      <c r="F184" t="str">
        <f>_xlfn.XLOOKUP(PE_1[[#This Row],[STN]],SE_1[STN],SE_1[Ethnicity],"",0)</f>
        <v/>
      </c>
    </row>
    <row r="185" spans="1:6" ht="13.9">
      <c r="A185" s="3">
        <v>2022073</v>
      </c>
      <c r="B185" s="10">
        <v>42677</v>
      </c>
      <c r="C185" s="19">
        <v>4.074986316365627</v>
      </c>
      <c r="D185" s="3"/>
      <c r="E185" s="3" t="str">
        <f>_xlfn.XLOOKUP(PE_1[[#This Row],[STN]],SE_1[STN],SE_1[IdeaEligibility],"w/o disability",0)</f>
        <v>w/o disability</v>
      </c>
      <c r="F185" t="str">
        <f>_xlfn.XLOOKUP(PE_1[[#This Row],[STN]],SE_1[STN],SE_1[Ethnicity],"",0)</f>
        <v/>
      </c>
    </row>
    <row r="186" spans="1:6" ht="13.9">
      <c r="A186" s="3">
        <v>21719056</v>
      </c>
      <c r="B186" s="10">
        <v>41410</v>
      </c>
      <c r="C186" s="19">
        <v>7.5455167693360714</v>
      </c>
      <c r="D186" s="3"/>
      <c r="E186" s="3" t="str">
        <f>_xlfn.XLOOKUP(PE_1[[#This Row],[STN]],SE_1[STN],SE_1[IdeaEligibility],"w/o disability",0)</f>
        <v>w/o disability</v>
      </c>
      <c r="F186" t="str">
        <f>_xlfn.XLOOKUP(PE_1[[#This Row],[STN]],SE_1[STN],SE_1[Ethnicity],"",0)</f>
        <v/>
      </c>
    </row>
    <row r="187" spans="1:6" ht="13.9">
      <c r="A187" s="3" t="s">
        <v>248</v>
      </c>
      <c r="B187" s="10">
        <v>42900</v>
      </c>
      <c r="C187" s="19">
        <v>3.4661190965092401</v>
      </c>
      <c r="D187" s="3"/>
      <c r="E187" s="3" t="str">
        <f>_xlfn.XLOOKUP(PE_1[[#This Row],[STN]],SE_1[STN],SE_1[IdeaEligibility],"w/o disability",0)</f>
        <v>w/o disability</v>
      </c>
      <c r="F187" t="str">
        <f>_xlfn.XLOOKUP(PE_1[[#This Row],[STN]],SE_1[STN],SE_1[Ethnicity],"",0)</f>
        <v/>
      </c>
    </row>
    <row r="188" spans="1:6" ht="13.9">
      <c r="A188" s="3" t="s">
        <v>249</v>
      </c>
      <c r="B188" s="10">
        <v>42508</v>
      </c>
      <c r="C188" s="19">
        <v>4.537493158182814</v>
      </c>
      <c r="D188" s="3"/>
      <c r="E188" s="3" t="str">
        <f>_xlfn.XLOOKUP(PE_1[[#This Row],[STN]],SE_1[STN],SE_1[IdeaEligibility],"w/o disability",0)</f>
        <v>w/o disability</v>
      </c>
      <c r="F188" t="str">
        <f>_xlfn.XLOOKUP(PE_1[[#This Row],[STN]],SE_1[STN],SE_1[Ethnicity],"",0)</f>
        <v/>
      </c>
    </row>
    <row r="189" spans="1:6" ht="13.9">
      <c r="A189" s="3" t="s">
        <v>250</v>
      </c>
      <c r="B189" s="10">
        <v>42616</v>
      </c>
      <c r="C189" s="19">
        <v>4.2419266557197597</v>
      </c>
      <c r="D189" s="3"/>
      <c r="E189" s="3" t="str">
        <f>_xlfn.XLOOKUP(PE_1[[#This Row],[STN]],SE_1[STN],SE_1[IdeaEligibility],"w/o disability",0)</f>
        <v>w/o disability</v>
      </c>
      <c r="F189" t="str">
        <f>_xlfn.XLOOKUP(PE_1[[#This Row],[STN]],SE_1[STN],SE_1[Ethnicity],"",0)</f>
        <v/>
      </c>
    </row>
    <row r="190" spans="1:6" ht="13.9">
      <c r="A190" s="3" t="s">
        <v>251</v>
      </c>
      <c r="B190" s="10">
        <v>42891</v>
      </c>
      <c r="C190" s="19">
        <v>3.4907597535934292</v>
      </c>
      <c r="D190" s="3"/>
      <c r="E190" s="3" t="str">
        <f>_xlfn.XLOOKUP(PE_1[[#This Row],[STN]],SE_1[STN],SE_1[IdeaEligibility],"w/o disability",0)</f>
        <v>w/o disability</v>
      </c>
      <c r="F190" t="str">
        <f>_xlfn.XLOOKUP(PE_1[[#This Row],[STN]],SE_1[STN],SE_1[Ethnicity],"",0)</f>
        <v/>
      </c>
    </row>
    <row r="191" spans="1:6" ht="13.9">
      <c r="A191" s="3" t="s">
        <v>252</v>
      </c>
      <c r="B191" s="10">
        <v>42639</v>
      </c>
      <c r="C191" s="19">
        <v>4.1789819376026278</v>
      </c>
      <c r="D191" s="3"/>
      <c r="E191" s="3" t="str">
        <f>_xlfn.XLOOKUP(PE_1[[#This Row],[STN]],SE_1[STN],SE_1[IdeaEligibility],"w/o disability",0)</f>
        <v>w/o disability</v>
      </c>
      <c r="F191" t="str">
        <f>_xlfn.XLOOKUP(PE_1[[#This Row],[STN]],SE_1[STN],SE_1[Ethnicity],"",0)</f>
        <v/>
      </c>
    </row>
    <row r="192" spans="1:6" ht="13.9">
      <c r="A192" s="3" t="s">
        <v>253</v>
      </c>
      <c r="B192" s="10">
        <v>42747</v>
      </c>
      <c r="C192" s="19">
        <v>3.8850102669404518</v>
      </c>
      <c r="D192" s="3"/>
      <c r="E192" s="3" t="str">
        <f>_xlfn.XLOOKUP(PE_1[[#This Row],[STN]],SE_1[STN],SE_1[IdeaEligibility],"w/o disability",0)</f>
        <v>w/o disability</v>
      </c>
      <c r="F192" t="str">
        <f>_xlfn.XLOOKUP(PE_1[[#This Row],[STN]],SE_1[STN],SE_1[Ethnicity],"",0)</f>
        <v/>
      </c>
    </row>
    <row r="193" spans="1:6" ht="13.9">
      <c r="A193" s="3" t="s">
        <v>254</v>
      </c>
      <c r="B193" s="10">
        <v>42789</v>
      </c>
      <c r="C193" s="19">
        <v>3.7700205338809036</v>
      </c>
      <c r="D193" s="3"/>
      <c r="E193" s="3" t="str">
        <f>_xlfn.XLOOKUP(PE_1[[#This Row],[STN]],SE_1[STN],SE_1[IdeaEligibility],"w/o disability",0)</f>
        <v>w/o disability</v>
      </c>
      <c r="F193" t="str">
        <f>_xlfn.XLOOKUP(PE_1[[#This Row],[STN]],SE_1[STN],SE_1[Ethnicity],"",0)</f>
        <v/>
      </c>
    </row>
    <row r="194" spans="1:6" ht="13.9">
      <c r="A194" s="3" t="s">
        <v>255</v>
      </c>
      <c r="B194" s="10">
        <v>42716</v>
      </c>
      <c r="C194" s="19">
        <v>3.9682539682539684</v>
      </c>
      <c r="D194" s="3"/>
      <c r="E194" s="3" t="str">
        <f>_xlfn.XLOOKUP(PE_1[[#This Row],[STN]],SE_1[STN],SE_1[IdeaEligibility],"w/o disability",0)</f>
        <v>w/o disability</v>
      </c>
      <c r="F194" t="str">
        <f>_xlfn.XLOOKUP(PE_1[[#This Row],[STN]],SE_1[STN],SE_1[Ethnicity],"",0)</f>
        <v/>
      </c>
    </row>
    <row r="195" spans="1:6" ht="13.9">
      <c r="A195" s="3" t="s">
        <v>256</v>
      </c>
      <c r="B195" s="10">
        <v>42821</v>
      </c>
      <c r="C195" s="19">
        <v>3.6824093086926761</v>
      </c>
      <c r="D195" s="3"/>
      <c r="E195" s="3" t="str">
        <f>_xlfn.XLOOKUP(PE_1[[#This Row],[STN]],SE_1[STN],SE_1[IdeaEligibility],"w/o disability",0)</f>
        <v>w/o disability</v>
      </c>
      <c r="F195" t="str">
        <f>_xlfn.XLOOKUP(PE_1[[#This Row],[STN]],SE_1[STN],SE_1[Ethnicity],"",0)</f>
        <v/>
      </c>
    </row>
    <row r="196" spans="1:6" ht="13.9">
      <c r="A196" s="3" t="s">
        <v>257</v>
      </c>
      <c r="B196" s="10">
        <v>42688</v>
      </c>
      <c r="C196" s="19">
        <v>4.0448823207443896</v>
      </c>
      <c r="D196" s="3"/>
      <c r="E196" s="3" t="str">
        <f>_xlfn.XLOOKUP(PE_1[[#This Row],[STN]],SE_1[STN],SE_1[IdeaEligibility],"w/o disability",0)</f>
        <v>w/o disability</v>
      </c>
      <c r="F196" t="str">
        <f>_xlfn.XLOOKUP(PE_1[[#This Row],[STN]],SE_1[STN],SE_1[Ethnicity],"",0)</f>
        <v/>
      </c>
    </row>
    <row r="197" spans="1:6" ht="13.9">
      <c r="A197" s="3" t="s">
        <v>258</v>
      </c>
      <c r="B197" s="10">
        <v>42572</v>
      </c>
      <c r="C197" s="19">
        <v>4.3623426382047077</v>
      </c>
      <c r="D197" s="3"/>
      <c r="E197" s="3" t="str">
        <f>_xlfn.XLOOKUP(PE_1[[#This Row],[STN]],SE_1[STN],SE_1[IdeaEligibility],"w/o disability",0)</f>
        <v>w/o disability</v>
      </c>
      <c r="F197" t="str">
        <f>_xlfn.XLOOKUP(PE_1[[#This Row],[STN]],SE_1[STN],SE_1[Ethnicity],"",0)</f>
        <v/>
      </c>
    </row>
    <row r="198" spans="1:6" ht="13.9">
      <c r="A198" s="3" t="s">
        <v>259</v>
      </c>
      <c r="B198" s="10">
        <v>42678</v>
      </c>
      <c r="C198" s="19">
        <v>4.0722495894909692</v>
      </c>
      <c r="D198" s="3"/>
      <c r="E198" s="3" t="str">
        <f>_xlfn.XLOOKUP(PE_1[[#This Row],[STN]],SE_1[STN],SE_1[IdeaEligibility],"w/o disability",0)</f>
        <v>w/o disability</v>
      </c>
      <c r="F198" t="str">
        <f>_xlfn.XLOOKUP(PE_1[[#This Row],[STN]],SE_1[STN],SE_1[Ethnicity],"",0)</f>
        <v/>
      </c>
    </row>
    <row r="199" spans="1:6" ht="13.9">
      <c r="A199" s="3" t="s">
        <v>260</v>
      </c>
      <c r="B199" s="10">
        <v>42891</v>
      </c>
      <c r="C199" s="19">
        <v>3.4907597535934292</v>
      </c>
      <c r="D199" s="3"/>
      <c r="E199" s="3" t="str">
        <f>_xlfn.XLOOKUP(PE_1[[#This Row],[STN]],SE_1[STN],SE_1[IdeaEligibility],"w/o disability",0)</f>
        <v>w/o disability</v>
      </c>
      <c r="F199" t="str">
        <f>_xlfn.XLOOKUP(PE_1[[#This Row],[STN]],SE_1[STN],SE_1[Ethnicity],"",0)</f>
        <v/>
      </c>
    </row>
    <row r="200" spans="1:6" ht="13.9">
      <c r="A200" s="3" t="s">
        <v>261</v>
      </c>
      <c r="B200" s="10">
        <v>42579</v>
      </c>
      <c r="C200" s="19">
        <v>4.3431855500821017</v>
      </c>
      <c r="D200" s="3"/>
      <c r="E200" s="3" t="str">
        <f>_xlfn.XLOOKUP(PE_1[[#This Row],[STN]],SE_1[STN],SE_1[IdeaEligibility],"w/o disability",0)</f>
        <v>w/o disability</v>
      </c>
      <c r="F200" t="str">
        <f>_xlfn.XLOOKUP(PE_1[[#This Row],[STN]],SE_1[STN],SE_1[Ethnicity],"",0)</f>
        <v/>
      </c>
    </row>
    <row r="201" spans="1:6" ht="13.9">
      <c r="A201" s="3" t="s">
        <v>262</v>
      </c>
      <c r="B201" s="10">
        <v>42729</v>
      </c>
      <c r="C201" s="19">
        <v>3.9326765188834156</v>
      </c>
      <c r="D201" s="3"/>
      <c r="E201" s="3" t="str">
        <f>_xlfn.XLOOKUP(PE_1[[#This Row],[STN]],SE_1[STN],SE_1[IdeaEligibility],"w/o disability",0)</f>
        <v>w/o disability</v>
      </c>
      <c r="F201" t="str">
        <f>_xlfn.XLOOKUP(PE_1[[#This Row],[STN]],SE_1[STN],SE_1[Ethnicity],"",0)</f>
        <v/>
      </c>
    </row>
    <row r="202" spans="1:6" ht="13.9">
      <c r="A202" s="3" t="s">
        <v>263</v>
      </c>
      <c r="B202" s="10">
        <v>42878</v>
      </c>
      <c r="C202" s="19">
        <v>3.5263518138261465</v>
      </c>
      <c r="D202" s="3"/>
      <c r="E202" s="3" t="str">
        <f>_xlfn.XLOOKUP(PE_1[[#This Row],[STN]],SE_1[STN],SE_1[IdeaEligibility],"w/o disability",0)</f>
        <v>w/o disability</v>
      </c>
      <c r="F202" t="str">
        <f>_xlfn.XLOOKUP(PE_1[[#This Row],[STN]],SE_1[STN],SE_1[Ethnicity],"",0)</f>
        <v/>
      </c>
    </row>
    <row r="203" spans="1:6" ht="13.9">
      <c r="A203" s="3" t="s">
        <v>264</v>
      </c>
      <c r="B203" s="10">
        <v>42893</v>
      </c>
      <c r="C203" s="19">
        <v>3.485284052019165</v>
      </c>
      <c r="D203" s="3"/>
      <c r="E203" s="3" t="str">
        <f>_xlfn.XLOOKUP(PE_1[[#This Row],[STN]],SE_1[STN],SE_1[IdeaEligibility],"w/o disability",0)</f>
        <v>w/o disability</v>
      </c>
      <c r="F203" t="str">
        <f>_xlfn.XLOOKUP(PE_1[[#This Row],[STN]],SE_1[STN],SE_1[Ethnicity],"",0)</f>
        <v/>
      </c>
    </row>
    <row r="204" spans="1:6" ht="13.9">
      <c r="A204" s="3" t="s">
        <v>265</v>
      </c>
      <c r="B204" s="10">
        <v>42566</v>
      </c>
      <c r="C204" s="19">
        <v>4.3787629994526549</v>
      </c>
      <c r="D204" s="3"/>
      <c r="E204" s="3" t="str">
        <f>_xlfn.XLOOKUP(PE_1[[#This Row],[STN]],SE_1[STN],SE_1[IdeaEligibility],"w/o disability",0)</f>
        <v>w/o disability</v>
      </c>
      <c r="F204" t="str">
        <f>_xlfn.XLOOKUP(PE_1[[#This Row],[STN]],SE_1[STN],SE_1[Ethnicity],"",0)</f>
        <v/>
      </c>
    </row>
    <row r="205" spans="1:6" ht="13.9">
      <c r="A205" s="3" t="s">
        <v>266</v>
      </c>
      <c r="B205" s="10">
        <v>42626</v>
      </c>
      <c r="C205" s="19">
        <v>4.2145593869731801</v>
      </c>
      <c r="D205" s="3"/>
      <c r="E205" s="3" t="str">
        <f>_xlfn.XLOOKUP(PE_1[[#This Row],[STN]],SE_1[STN],SE_1[IdeaEligibility],"w/o disability",0)</f>
        <v>w/o disability</v>
      </c>
      <c r="F205" t="str">
        <f>_xlfn.XLOOKUP(PE_1[[#This Row],[STN]],SE_1[STN],SE_1[Ethnicity],"",0)</f>
        <v/>
      </c>
    </row>
    <row r="206" spans="1:6" ht="13.9">
      <c r="A206" s="3" t="s">
        <v>267</v>
      </c>
      <c r="B206" s="10">
        <v>42524</v>
      </c>
      <c r="C206" s="19">
        <v>4.4937055281882872</v>
      </c>
      <c r="D206" s="3"/>
      <c r="E206" s="3" t="str">
        <f>_xlfn.XLOOKUP(PE_1[[#This Row],[STN]],SE_1[STN],SE_1[IdeaEligibility],"w/o disability",0)</f>
        <v>w/o disability</v>
      </c>
      <c r="F206" t="str">
        <f>_xlfn.XLOOKUP(PE_1[[#This Row],[STN]],SE_1[STN],SE_1[Ethnicity],"",0)</f>
        <v/>
      </c>
    </row>
    <row r="207" spans="1:6" ht="13.9">
      <c r="A207" s="3" t="s">
        <v>268</v>
      </c>
      <c r="B207" s="10">
        <v>42828</v>
      </c>
      <c r="C207" s="19">
        <v>3.6632443531827517</v>
      </c>
      <c r="D207" s="3"/>
      <c r="E207" s="3" t="str">
        <f>_xlfn.XLOOKUP(PE_1[[#This Row],[STN]],SE_1[STN],SE_1[IdeaEligibility],"w/o disability",0)</f>
        <v>w/o disability</v>
      </c>
      <c r="F207" t="str">
        <f>_xlfn.XLOOKUP(PE_1[[#This Row],[STN]],SE_1[STN],SE_1[Ethnicity],"",0)</f>
        <v/>
      </c>
    </row>
    <row r="208" spans="1:6" ht="13.9">
      <c r="A208" s="3" t="s">
        <v>269</v>
      </c>
      <c r="B208" s="10">
        <v>42460</v>
      </c>
      <c r="C208" s="19">
        <v>4.6688560481663934</v>
      </c>
      <c r="D208" s="3"/>
      <c r="E208" s="3" t="str">
        <f>_xlfn.XLOOKUP(PE_1[[#This Row],[STN]],SE_1[STN],SE_1[IdeaEligibility],"w/o disability",0)</f>
        <v>w/o disability</v>
      </c>
      <c r="F208" t="str">
        <f>_xlfn.XLOOKUP(PE_1[[#This Row],[STN]],SE_1[STN],SE_1[Ethnicity],"",0)</f>
        <v/>
      </c>
    </row>
    <row r="209" spans="1:6" ht="13.9">
      <c r="A209" s="3" t="s">
        <v>270</v>
      </c>
      <c r="B209" s="10">
        <v>41181</v>
      </c>
      <c r="C209" s="19">
        <v>8.1706204379562042</v>
      </c>
      <c r="D209" s="3"/>
      <c r="E209" s="3" t="str">
        <f>_xlfn.XLOOKUP(PE_1[[#This Row],[STN]],SE_1[STN],SE_1[IdeaEligibility],"w/o disability",0)</f>
        <v>w/o disability</v>
      </c>
      <c r="F209" t="str">
        <f>_xlfn.XLOOKUP(PE_1[[#This Row],[STN]],SE_1[STN],SE_1[Ethnicity],"",0)</f>
        <v/>
      </c>
    </row>
    <row r="210" spans="1:6" ht="13.9">
      <c r="A210" s="3" t="s">
        <v>271</v>
      </c>
      <c r="B210" s="10">
        <v>41193</v>
      </c>
      <c r="C210" s="19">
        <v>8.1377737226277382</v>
      </c>
      <c r="D210" s="3"/>
      <c r="E210" s="3" t="str">
        <f>_xlfn.XLOOKUP(PE_1[[#This Row],[STN]],SE_1[STN],SE_1[IdeaEligibility],"w/o disability",0)</f>
        <v>w/o disability</v>
      </c>
      <c r="F210" t="str">
        <f>_xlfn.XLOOKUP(PE_1[[#This Row],[STN]],SE_1[STN],SE_1[Ethnicity],"",0)</f>
        <v/>
      </c>
    </row>
    <row r="211" spans="1:6" ht="13.9">
      <c r="A211" s="3" t="s">
        <v>272</v>
      </c>
      <c r="B211" s="10">
        <v>41193</v>
      </c>
      <c r="C211" s="19">
        <v>8.1377737226277382</v>
      </c>
      <c r="D211" s="3"/>
      <c r="E211" s="3" t="str">
        <f>_xlfn.XLOOKUP(PE_1[[#This Row],[STN]],SE_1[STN],SE_1[IdeaEligibility],"w/o disability",0)</f>
        <v>w/o disability</v>
      </c>
      <c r="F211" t="str">
        <f>_xlfn.XLOOKUP(PE_1[[#This Row],[STN]],SE_1[STN],SE_1[Ethnicity],"",0)</f>
        <v/>
      </c>
    </row>
    <row r="212" spans="1:6" ht="13.9">
      <c r="A212" s="3" t="s">
        <v>273</v>
      </c>
      <c r="B212" s="10">
        <v>42953</v>
      </c>
      <c r="C212" s="19">
        <v>3.3210130047912387</v>
      </c>
      <c r="D212" s="3"/>
      <c r="E212" s="3" t="str">
        <f>_xlfn.XLOOKUP(PE_1[[#This Row],[STN]],SE_1[STN],SE_1[IdeaEligibility],"w/o disability",0)</f>
        <v>w/o disability</v>
      </c>
      <c r="F212" t="str">
        <f>_xlfn.XLOOKUP(PE_1[[#This Row],[STN]],SE_1[STN],SE_1[Ethnicity],"",0)</f>
        <v/>
      </c>
    </row>
    <row r="213" spans="1:6" ht="13.9">
      <c r="A213" s="3">
        <v>3709598</v>
      </c>
      <c r="B213" s="10">
        <v>42154</v>
      </c>
      <c r="C213" s="19">
        <v>5.507299270072993</v>
      </c>
      <c r="D213" s="3"/>
      <c r="E213" s="3" t="str">
        <f>_xlfn.XLOOKUP(PE_1[[#This Row],[STN]],SE_1[STN],SE_1[IdeaEligibility],"w/o disability",0)</f>
        <v>w/o disability</v>
      </c>
      <c r="F213" t="str">
        <f>_xlfn.XLOOKUP(PE_1[[#This Row],[STN]],SE_1[STN],SE_1[Ethnicity],"",0)</f>
        <v/>
      </c>
    </row>
    <row r="214" spans="1:6" ht="13.9">
      <c r="A214" s="3">
        <v>3709605</v>
      </c>
      <c r="B214" s="10">
        <v>41982</v>
      </c>
      <c r="C214" s="19">
        <v>5.9788815017598749</v>
      </c>
      <c r="D214" s="3"/>
      <c r="E214" s="3" t="str">
        <f>_xlfn.XLOOKUP(PE_1[[#This Row],[STN]],SE_1[STN],SE_1[IdeaEligibility],"w/o disability",0)</f>
        <v>w/o disability</v>
      </c>
      <c r="F214" t="str">
        <f>_xlfn.XLOOKUP(PE_1[[#This Row],[STN]],SE_1[STN],SE_1[Ethnicity],"",0)</f>
        <v/>
      </c>
    </row>
    <row r="215" spans="1:6" ht="13.9">
      <c r="A215" s="3">
        <v>3709614</v>
      </c>
      <c r="B215" s="10">
        <v>42544</v>
      </c>
      <c r="C215" s="19">
        <v>4.4389709906951289</v>
      </c>
      <c r="D215" s="3"/>
      <c r="E215" s="3" t="str">
        <f>_xlfn.XLOOKUP(PE_1[[#This Row],[STN]],SE_1[STN],SE_1[IdeaEligibility],"w/o disability",0)</f>
        <v>w/o disability</v>
      </c>
      <c r="F215" t="str">
        <f>_xlfn.XLOOKUP(PE_1[[#This Row],[STN]],SE_1[STN],SE_1[Ethnicity],"",0)</f>
        <v/>
      </c>
    </row>
    <row r="216" spans="1:6" ht="13.9">
      <c r="A216" s="3" t="s">
        <v>274</v>
      </c>
      <c r="B216" s="10">
        <v>41740</v>
      </c>
      <c r="C216" s="19">
        <v>6.6413766132186156</v>
      </c>
      <c r="D216" s="3"/>
      <c r="E216" s="3" t="str">
        <f>_xlfn.XLOOKUP(PE_1[[#This Row],[STN]],SE_1[STN],SE_1[IdeaEligibility],"w/o disability",0)</f>
        <v>w/o disability</v>
      </c>
      <c r="F216" t="str">
        <f>_xlfn.XLOOKUP(PE_1[[#This Row],[STN]],SE_1[STN],SE_1[Ethnicity],"",0)</f>
        <v/>
      </c>
    </row>
    <row r="217" spans="1:6" ht="13.9">
      <c r="A217" s="3" t="s">
        <v>275</v>
      </c>
      <c r="B217" s="10">
        <v>41599</v>
      </c>
      <c r="C217" s="19">
        <v>7.0280629705681044</v>
      </c>
      <c r="D217" s="3"/>
      <c r="E217" s="3" t="str">
        <f>_xlfn.XLOOKUP(PE_1[[#This Row],[STN]],SE_1[STN],SE_1[IdeaEligibility],"w/o disability",0)</f>
        <v>w/o disability</v>
      </c>
      <c r="F217" t="str">
        <f>_xlfn.XLOOKUP(PE_1[[#This Row],[STN]],SE_1[STN],SE_1[Ethnicity],"",0)</f>
        <v/>
      </c>
    </row>
    <row r="218" spans="1:6" ht="13.9">
      <c r="A218" s="3" t="s">
        <v>276</v>
      </c>
      <c r="B218" s="10">
        <v>41634</v>
      </c>
      <c r="C218" s="19">
        <v>6.9322381930184802</v>
      </c>
      <c r="D218" s="3"/>
      <c r="E218" s="3" t="str">
        <f>_xlfn.XLOOKUP(PE_1[[#This Row],[STN]],SE_1[STN],SE_1[IdeaEligibility],"w/o disability",0)</f>
        <v>w/o disability</v>
      </c>
      <c r="F218" t="str">
        <f>_xlfn.XLOOKUP(PE_1[[#This Row],[STN]],SE_1[STN],SE_1[Ethnicity],"",0)</f>
        <v/>
      </c>
    </row>
    <row r="219" spans="1:6" ht="13.9">
      <c r="A219" s="3" t="s">
        <v>277</v>
      </c>
      <c r="B219" s="10">
        <v>41547</v>
      </c>
      <c r="C219" s="19">
        <v>7.1704312114989737</v>
      </c>
      <c r="D219" s="3"/>
      <c r="E219" s="3" t="str">
        <f>_xlfn.XLOOKUP(PE_1[[#This Row],[STN]],SE_1[STN],SE_1[IdeaEligibility],"w/o disability",0)</f>
        <v>w/o disability</v>
      </c>
      <c r="F219" t="str">
        <f>_xlfn.XLOOKUP(PE_1[[#This Row],[STN]],SE_1[STN],SE_1[Ethnicity],"",0)</f>
        <v/>
      </c>
    </row>
    <row r="220" spans="1:6" ht="13.9">
      <c r="A220" s="3" t="s">
        <v>278</v>
      </c>
      <c r="B220" s="10">
        <v>41499</v>
      </c>
      <c r="C220" s="19">
        <v>7.3018480492813138</v>
      </c>
      <c r="D220" s="3"/>
      <c r="E220" s="3" t="str">
        <f>_xlfn.XLOOKUP(PE_1[[#This Row],[STN]],SE_1[STN],SE_1[IdeaEligibility],"w/o disability",0)</f>
        <v>w/o disability</v>
      </c>
      <c r="F220" t="str">
        <f>_xlfn.XLOOKUP(PE_1[[#This Row],[STN]],SE_1[STN],SE_1[Ethnicity],"",0)</f>
        <v/>
      </c>
    </row>
    <row r="221" spans="1:6" ht="13.9">
      <c r="A221" s="3" t="s">
        <v>279</v>
      </c>
      <c r="B221" s="10">
        <v>41513</v>
      </c>
      <c r="C221" s="19">
        <v>7.2635181382614649</v>
      </c>
      <c r="D221" s="3"/>
      <c r="E221" s="3" t="str">
        <f>_xlfn.XLOOKUP(PE_1[[#This Row],[STN]],SE_1[STN],SE_1[IdeaEligibility],"w/o disability",0)</f>
        <v>w/o disability</v>
      </c>
      <c r="F221" t="str">
        <f>_xlfn.XLOOKUP(PE_1[[#This Row],[STN]],SE_1[STN],SE_1[Ethnicity],"",0)</f>
        <v/>
      </c>
    </row>
    <row r="222" spans="1:6" ht="13.9">
      <c r="A222" s="3" t="s">
        <v>280</v>
      </c>
      <c r="B222" s="10">
        <v>41331</v>
      </c>
      <c r="C222" s="19">
        <v>7.7618069815195074</v>
      </c>
      <c r="D222" s="3"/>
      <c r="E222" s="3" t="str">
        <f>_xlfn.XLOOKUP(PE_1[[#This Row],[STN]],SE_1[STN],SE_1[IdeaEligibility],"w/o disability",0)</f>
        <v>w/o disability</v>
      </c>
      <c r="F222" t="str">
        <f>_xlfn.XLOOKUP(PE_1[[#This Row],[STN]],SE_1[STN],SE_1[Ethnicity],"",0)</f>
        <v/>
      </c>
    </row>
    <row r="223" spans="1:6" ht="13.9">
      <c r="A223" s="3" t="s">
        <v>281</v>
      </c>
      <c r="B223" s="10">
        <v>41688</v>
      </c>
      <c r="C223" s="19">
        <v>6.7837309346890891</v>
      </c>
      <c r="D223" s="3"/>
      <c r="E223" s="3" t="str">
        <f>_xlfn.XLOOKUP(PE_1[[#This Row],[STN]],SE_1[STN],SE_1[IdeaEligibility],"w/o disability",0)</f>
        <v>w/o disability</v>
      </c>
      <c r="F223" t="str">
        <f>_xlfn.XLOOKUP(PE_1[[#This Row],[STN]],SE_1[STN],SE_1[Ethnicity],"",0)</f>
        <v/>
      </c>
    </row>
    <row r="224" spans="1:6" ht="13.9">
      <c r="A224" s="3" t="s">
        <v>282</v>
      </c>
      <c r="B224" s="10">
        <v>41737</v>
      </c>
      <c r="C224" s="19">
        <v>6.6495893625342202</v>
      </c>
      <c r="D224" s="3"/>
      <c r="E224" s="3" t="str">
        <f>_xlfn.XLOOKUP(PE_1[[#This Row],[STN]],SE_1[STN],SE_1[IdeaEligibility],"w/o disability",0)</f>
        <v>w/o disability</v>
      </c>
      <c r="F224" t="str">
        <f>_xlfn.XLOOKUP(PE_1[[#This Row],[STN]],SE_1[STN],SE_1[Ethnicity],"",0)</f>
        <v/>
      </c>
    </row>
    <row r="225" spans="1:6" ht="13.9">
      <c r="A225" s="3" t="s">
        <v>283</v>
      </c>
      <c r="B225" s="10">
        <v>41816</v>
      </c>
      <c r="C225" s="19">
        <v>6.4333202972233083</v>
      </c>
      <c r="D225" s="3"/>
      <c r="E225" s="3" t="str">
        <f>_xlfn.XLOOKUP(PE_1[[#This Row],[STN]],SE_1[STN],SE_1[IdeaEligibility],"w/o disability",0)</f>
        <v>w/o disability</v>
      </c>
      <c r="F225" t="str">
        <f>_xlfn.XLOOKUP(PE_1[[#This Row],[STN]],SE_1[STN],SE_1[Ethnicity],"",0)</f>
        <v/>
      </c>
    </row>
    <row r="226" spans="1:6" ht="13.9">
      <c r="A226" s="3" t="s">
        <v>284</v>
      </c>
      <c r="B226" s="10">
        <v>41660</v>
      </c>
      <c r="C226" s="19">
        <v>6.8603832616347287</v>
      </c>
      <c r="D226" s="3"/>
      <c r="E226" s="3" t="str">
        <f>_xlfn.XLOOKUP(PE_1[[#This Row],[STN]],SE_1[STN],SE_1[IdeaEligibility],"w/o disability",0)</f>
        <v>w/o disability</v>
      </c>
      <c r="F226" t="str">
        <f>_xlfn.XLOOKUP(PE_1[[#This Row],[STN]],SE_1[STN],SE_1[Ethnicity],"",0)</f>
        <v/>
      </c>
    </row>
    <row r="227" spans="1:6" ht="13.9">
      <c r="A227" s="3" t="s">
        <v>285</v>
      </c>
      <c r="B227" s="10">
        <v>41609</v>
      </c>
      <c r="C227" s="19">
        <v>7.0006844626967828</v>
      </c>
      <c r="D227" s="3"/>
      <c r="E227" s="3" t="str">
        <f>_xlfn.XLOOKUP(PE_1[[#This Row],[STN]],SE_1[STN],SE_1[IdeaEligibility],"w/o disability",0)</f>
        <v>w/o disability</v>
      </c>
      <c r="F227" t="str">
        <f>_xlfn.XLOOKUP(PE_1[[#This Row],[STN]],SE_1[STN],SE_1[Ethnicity],"",0)</f>
        <v/>
      </c>
    </row>
    <row r="228" spans="1:6" ht="13.9">
      <c r="A228" s="3" t="s">
        <v>286</v>
      </c>
      <c r="B228" s="10">
        <v>41724</v>
      </c>
      <c r="C228" s="19">
        <v>6.6851779429018379</v>
      </c>
      <c r="D228" s="3"/>
      <c r="E228" s="3" t="str">
        <f>_xlfn.XLOOKUP(PE_1[[#This Row],[STN]],SE_1[STN],SE_1[IdeaEligibility],"w/o disability",0)</f>
        <v>w/o disability</v>
      </c>
      <c r="F228" t="str">
        <f>_xlfn.XLOOKUP(PE_1[[#This Row],[STN]],SE_1[STN],SE_1[Ethnicity],"",0)</f>
        <v/>
      </c>
    </row>
    <row r="229" spans="1:6" ht="13.9">
      <c r="A229" s="3" t="s">
        <v>287</v>
      </c>
      <c r="B229" s="10">
        <v>41503</v>
      </c>
      <c r="C229" s="19">
        <v>7.2908966461327855</v>
      </c>
      <c r="D229" s="3"/>
      <c r="E229" s="3" t="str">
        <f>_xlfn.XLOOKUP(PE_1[[#This Row],[STN]],SE_1[STN],SE_1[IdeaEligibility],"w/o disability",0)</f>
        <v>w/o disability</v>
      </c>
      <c r="F229" t="str">
        <f>_xlfn.XLOOKUP(PE_1[[#This Row],[STN]],SE_1[STN],SE_1[Ethnicity],"",0)</f>
        <v/>
      </c>
    </row>
    <row r="230" spans="1:6" ht="13.9">
      <c r="A230" s="3" t="s">
        <v>288</v>
      </c>
      <c r="B230" s="10">
        <v>41331</v>
      </c>
      <c r="C230" s="19">
        <v>7.7618069815195074</v>
      </c>
      <c r="D230" s="3"/>
      <c r="E230" s="3" t="str">
        <f>_xlfn.XLOOKUP(PE_1[[#This Row],[STN]],SE_1[STN],SE_1[IdeaEligibility],"w/o disability",0)</f>
        <v>w/o disability</v>
      </c>
      <c r="F230" t="str">
        <f>_xlfn.XLOOKUP(PE_1[[#This Row],[STN]],SE_1[STN],SE_1[Ethnicity],"",0)</f>
        <v/>
      </c>
    </row>
    <row r="231" spans="1:6" ht="13.9">
      <c r="A231" s="3" t="s">
        <v>289</v>
      </c>
      <c r="B231" s="10">
        <v>41489</v>
      </c>
      <c r="C231" s="19">
        <v>7.3292265571526354</v>
      </c>
      <c r="D231" s="3"/>
      <c r="E231" s="3" t="str">
        <f>_xlfn.XLOOKUP(PE_1[[#This Row],[STN]],SE_1[STN],SE_1[IdeaEligibility],"w/o disability",0)</f>
        <v>w/o disability</v>
      </c>
      <c r="F231" t="str">
        <f>_xlfn.XLOOKUP(PE_1[[#This Row],[STN]],SE_1[STN],SE_1[Ethnicity],"",0)</f>
        <v/>
      </c>
    </row>
    <row r="232" spans="1:6" ht="13.9">
      <c r="A232" s="3" t="s">
        <v>290</v>
      </c>
      <c r="B232" s="10">
        <v>41408</v>
      </c>
      <c r="C232" s="19">
        <v>7.5509924709103355</v>
      </c>
      <c r="D232" s="3"/>
      <c r="E232" s="3" t="str">
        <f>_xlfn.XLOOKUP(PE_1[[#This Row],[STN]],SE_1[STN],SE_1[IdeaEligibility],"w/o disability",0)</f>
        <v>w/o disability</v>
      </c>
      <c r="F232" t="str">
        <f>_xlfn.XLOOKUP(PE_1[[#This Row],[STN]],SE_1[STN],SE_1[Ethnicity],"",0)</f>
        <v/>
      </c>
    </row>
    <row r="233" spans="1:6" ht="13.9">
      <c r="A233" s="3" t="s">
        <v>291</v>
      </c>
      <c r="B233" s="10">
        <v>41555</v>
      </c>
      <c r="C233" s="19">
        <v>7.1485284052019162</v>
      </c>
      <c r="D233" s="3"/>
      <c r="E233" s="3" t="str">
        <f>_xlfn.XLOOKUP(PE_1[[#This Row],[STN]],SE_1[STN],SE_1[IdeaEligibility],"w/o disability",0)</f>
        <v>w/o disability</v>
      </c>
      <c r="F233" t="str">
        <f>_xlfn.XLOOKUP(PE_1[[#This Row],[STN]],SE_1[STN],SE_1[Ethnicity],"",0)</f>
        <v/>
      </c>
    </row>
    <row r="234" spans="1:6" ht="13.9">
      <c r="A234" s="3" t="s">
        <v>292</v>
      </c>
      <c r="B234" s="10">
        <v>41768</v>
      </c>
      <c r="C234" s="19">
        <v>6.564724286272976</v>
      </c>
      <c r="D234" s="3"/>
      <c r="E234" s="3" t="str">
        <f>_xlfn.XLOOKUP(PE_1[[#This Row],[STN]],SE_1[STN],SE_1[IdeaEligibility],"w/o disability",0)</f>
        <v>w/o disability</v>
      </c>
      <c r="F234" t="str">
        <f>_xlfn.XLOOKUP(PE_1[[#This Row],[STN]],SE_1[STN],SE_1[Ethnicity],"",0)</f>
        <v/>
      </c>
    </row>
    <row r="235" spans="1:6" ht="13.9">
      <c r="A235" s="3" t="s">
        <v>293</v>
      </c>
      <c r="B235" s="10">
        <v>42854</v>
      </c>
      <c r="C235" s="19">
        <v>3.592060232717317</v>
      </c>
      <c r="D235" s="3"/>
      <c r="E235" s="3" t="str">
        <f>_xlfn.XLOOKUP(PE_1[[#This Row],[STN]],SE_1[STN],SE_1[IdeaEligibility],"w/o disability",0)</f>
        <v>w/o disability</v>
      </c>
      <c r="F235" t="str">
        <f>_xlfn.XLOOKUP(PE_1[[#This Row],[STN]],SE_1[STN],SE_1[Ethnicity],"",0)</f>
        <v/>
      </c>
    </row>
    <row r="236" spans="1:6" ht="13.9">
      <c r="A236" s="3" t="s">
        <v>294</v>
      </c>
      <c r="B236" s="10">
        <v>41984</v>
      </c>
      <c r="C236" s="19">
        <v>5.9734063355494724</v>
      </c>
      <c r="D236" s="3"/>
      <c r="E236" s="3" t="str">
        <f>_xlfn.XLOOKUP(PE_1[[#This Row],[STN]],SE_1[STN],SE_1[IdeaEligibility],"w/o disability",0)</f>
        <v>w/o disability</v>
      </c>
      <c r="F236" t="str">
        <f>_xlfn.XLOOKUP(PE_1[[#This Row],[STN]],SE_1[STN],SE_1[Ethnicity],"",0)</f>
        <v/>
      </c>
    </row>
    <row r="237" spans="1:6" ht="13.9">
      <c r="A237" s="3">
        <v>3719131</v>
      </c>
      <c r="B237" s="10">
        <v>42339</v>
      </c>
      <c r="C237" s="19">
        <v>5.0009124087591239</v>
      </c>
      <c r="D237" s="3"/>
      <c r="E237" s="3" t="str">
        <f>_xlfn.XLOOKUP(PE_1[[#This Row],[STN]],SE_1[STN],SE_1[IdeaEligibility],"w/o disability",0)</f>
        <v>w/o disability</v>
      </c>
      <c r="F237" t="str">
        <f>_xlfn.XLOOKUP(PE_1[[#This Row],[STN]],SE_1[STN],SE_1[Ethnicity],"",0)</f>
        <v/>
      </c>
    </row>
    <row r="238" spans="1:6" ht="13.9">
      <c r="A238" s="3">
        <v>3719132</v>
      </c>
      <c r="B238" s="10">
        <v>42225</v>
      </c>
      <c r="C238" s="19">
        <v>5.312956204379562</v>
      </c>
      <c r="D238" s="3"/>
      <c r="E238" s="3" t="str">
        <f>_xlfn.XLOOKUP(PE_1[[#This Row],[STN]],SE_1[STN],SE_1[IdeaEligibility],"w/o disability",0)</f>
        <v>w/o disability</v>
      </c>
      <c r="F238" t="str">
        <f>_xlfn.XLOOKUP(PE_1[[#This Row],[STN]],SE_1[STN],SE_1[Ethnicity],"",0)</f>
        <v/>
      </c>
    </row>
    <row r="239" spans="1:6" ht="13.9">
      <c r="A239" s="3">
        <v>3719140</v>
      </c>
      <c r="B239" s="10">
        <v>42429</v>
      </c>
      <c r="C239" s="19">
        <v>4.7536945812807883</v>
      </c>
      <c r="D239" s="3"/>
      <c r="E239" s="3" t="str">
        <f>_xlfn.XLOOKUP(PE_1[[#This Row],[STN]],SE_1[STN],SE_1[IdeaEligibility],"w/o disability",0)</f>
        <v>w/o disability</v>
      </c>
      <c r="F239" t="str">
        <f>_xlfn.XLOOKUP(PE_1[[#This Row],[STN]],SE_1[STN],SE_1[Ethnicity],"",0)</f>
        <v/>
      </c>
    </row>
    <row r="240" spans="1:6" ht="13.9">
      <c r="A240" s="3">
        <v>3719147</v>
      </c>
      <c r="B240" s="10">
        <v>42776</v>
      </c>
      <c r="C240" s="19">
        <v>3.805612594113621</v>
      </c>
      <c r="D240" s="3"/>
      <c r="E240" s="3" t="str">
        <f>_xlfn.XLOOKUP(PE_1[[#This Row],[STN]],SE_1[STN],SE_1[IdeaEligibility],"w/o disability",0)</f>
        <v>w/o disability</v>
      </c>
      <c r="F240" t="str">
        <f>_xlfn.XLOOKUP(PE_1[[#This Row],[STN]],SE_1[STN],SE_1[Ethnicity],"",0)</f>
        <v/>
      </c>
    </row>
    <row r="241" spans="1:6" ht="13.9">
      <c r="A241" s="3" t="s">
        <v>295</v>
      </c>
      <c r="B241" s="10">
        <v>41759</v>
      </c>
      <c r="C241" s="19">
        <v>6.5893625342197888</v>
      </c>
      <c r="D241" s="3"/>
      <c r="E241" s="3" t="str">
        <f>_xlfn.XLOOKUP(PE_1[[#This Row],[STN]],SE_1[STN],SE_1[IdeaEligibility],"w/o disability",0)</f>
        <v>w/o disability</v>
      </c>
      <c r="F241" t="str">
        <f>_xlfn.XLOOKUP(PE_1[[#This Row],[STN]],SE_1[STN],SE_1[Ethnicity],"",0)</f>
        <v/>
      </c>
    </row>
    <row r="242" spans="1:6" ht="13.9">
      <c r="A242" s="3" t="s">
        <v>296</v>
      </c>
      <c r="B242" s="10">
        <v>41715</v>
      </c>
      <c r="C242" s="19">
        <v>6.7098161908486507</v>
      </c>
      <c r="D242" s="3"/>
      <c r="E242" s="3" t="str">
        <f>_xlfn.XLOOKUP(PE_1[[#This Row],[STN]],SE_1[STN],SE_1[IdeaEligibility],"w/o disability",0)</f>
        <v>w/o disability</v>
      </c>
      <c r="F242" t="str">
        <f>_xlfn.XLOOKUP(PE_1[[#This Row],[STN]],SE_1[STN],SE_1[Ethnicity],"",0)</f>
        <v/>
      </c>
    </row>
    <row r="243" spans="1:6" ht="13.9">
      <c r="A243" s="3" t="s">
        <v>297</v>
      </c>
      <c r="B243" s="10">
        <v>41723</v>
      </c>
      <c r="C243" s="19">
        <v>6.68791552600704</v>
      </c>
      <c r="D243" s="3"/>
      <c r="E243" s="3" t="str">
        <f>_xlfn.XLOOKUP(PE_1[[#This Row],[STN]],SE_1[STN],SE_1[IdeaEligibility],"w/o disability",0)</f>
        <v>w/o disability</v>
      </c>
      <c r="F243" t="str">
        <f>_xlfn.XLOOKUP(PE_1[[#This Row],[STN]],SE_1[STN],SE_1[Ethnicity],"",0)</f>
        <v/>
      </c>
    </row>
    <row r="244" spans="1:6" ht="13.9">
      <c r="A244" s="3" t="s">
        <v>298</v>
      </c>
      <c r="B244" s="10">
        <v>41834</v>
      </c>
      <c r="C244" s="19">
        <v>6.3840438013296836</v>
      </c>
      <c r="D244" s="3"/>
      <c r="E244" s="3" t="str">
        <f>_xlfn.XLOOKUP(PE_1[[#This Row],[STN]],SE_1[STN],SE_1[IdeaEligibility],"w/o disability",0)</f>
        <v>w/o disability</v>
      </c>
      <c r="F244" t="str">
        <f>_xlfn.XLOOKUP(PE_1[[#This Row],[STN]],SE_1[STN],SE_1[Ethnicity],"",0)</f>
        <v/>
      </c>
    </row>
    <row r="245" spans="1:6" ht="13.9">
      <c r="A245" s="3" t="s">
        <v>299</v>
      </c>
      <c r="B245" s="10">
        <v>41914</v>
      </c>
      <c r="C245" s="19">
        <v>6.1650371529135706</v>
      </c>
      <c r="D245" s="3"/>
      <c r="E245" s="3" t="str">
        <f>_xlfn.XLOOKUP(PE_1[[#This Row],[STN]],SE_1[STN],SE_1[IdeaEligibility],"w/o disability",0)</f>
        <v>w/o disability</v>
      </c>
      <c r="F245" t="str">
        <f>_xlfn.XLOOKUP(PE_1[[#This Row],[STN]],SE_1[STN],SE_1[Ethnicity],"",0)</f>
        <v/>
      </c>
    </row>
    <row r="246" spans="1:6" ht="13.9">
      <c r="A246" s="3" t="s">
        <v>300</v>
      </c>
      <c r="B246" s="10">
        <v>41892</v>
      </c>
      <c r="C246" s="19">
        <v>6.225263981228002</v>
      </c>
      <c r="D246" s="3"/>
      <c r="E246" s="3" t="str">
        <f>_xlfn.XLOOKUP(PE_1[[#This Row],[STN]],SE_1[STN],SE_1[IdeaEligibility],"w/o disability",0)</f>
        <v>w/o disability</v>
      </c>
      <c r="F246" t="str">
        <f>_xlfn.XLOOKUP(PE_1[[#This Row],[STN]],SE_1[STN],SE_1[Ethnicity],"",0)</f>
        <v/>
      </c>
    </row>
    <row r="247" spans="1:6" ht="13.9">
      <c r="A247" s="3" t="s">
        <v>301</v>
      </c>
      <c r="B247" s="10">
        <v>41648</v>
      </c>
      <c r="C247" s="19">
        <v>6.8932342588971451</v>
      </c>
      <c r="D247" s="3"/>
      <c r="E247" s="3" t="str">
        <f>_xlfn.XLOOKUP(PE_1[[#This Row],[STN]],SE_1[STN],SE_1[IdeaEligibility],"w/o disability",0)</f>
        <v>w/o disability</v>
      </c>
      <c r="F247" t="str">
        <f>_xlfn.XLOOKUP(PE_1[[#This Row],[STN]],SE_1[STN],SE_1[Ethnicity],"",0)</f>
        <v/>
      </c>
    </row>
    <row r="248" spans="1:6" ht="13.9">
      <c r="A248" s="3" t="s">
        <v>302</v>
      </c>
      <c r="B248" s="10">
        <v>41916</v>
      </c>
      <c r="C248" s="19">
        <v>6.1595619867031681</v>
      </c>
      <c r="D248" s="3"/>
      <c r="E248" s="3" t="str">
        <f>_xlfn.XLOOKUP(PE_1[[#This Row],[STN]],SE_1[STN],SE_1[IdeaEligibility],"w/o disability",0)</f>
        <v>w/o disability</v>
      </c>
      <c r="F248" t="str">
        <f>_xlfn.XLOOKUP(PE_1[[#This Row],[STN]],SE_1[STN],SE_1[Ethnicity],"",0)</f>
        <v/>
      </c>
    </row>
    <row r="249" spans="1:6" ht="13.9">
      <c r="A249" s="3" t="s">
        <v>303</v>
      </c>
      <c r="B249" s="10">
        <v>41999</v>
      </c>
      <c r="C249" s="19">
        <v>5.9323425889714514</v>
      </c>
      <c r="D249" s="3"/>
      <c r="E249" s="3" t="str">
        <f>_xlfn.XLOOKUP(PE_1[[#This Row],[STN]],SE_1[STN],SE_1[IdeaEligibility],"w/o disability",0)</f>
        <v>w/o disability</v>
      </c>
      <c r="F249" t="str">
        <f>_xlfn.XLOOKUP(PE_1[[#This Row],[STN]],SE_1[STN],SE_1[Ethnicity],"",0)</f>
        <v/>
      </c>
    </row>
    <row r="250" spans="1:6" ht="13.9">
      <c r="A250" s="3" t="s">
        <v>304</v>
      </c>
      <c r="B250" s="10">
        <v>41756</v>
      </c>
      <c r="C250" s="19">
        <v>6.5975752835353934</v>
      </c>
      <c r="D250" s="3"/>
      <c r="E250" s="3" t="str">
        <f>_xlfn.XLOOKUP(PE_1[[#This Row],[STN]],SE_1[STN],SE_1[IdeaEligibility],"w/o disability",0)</f>
        <v>w/o disability</v>
      </c>
      <c r="F250" t="str">
        <f>_xlfn.XLOOKUP(PE_1[[#This Row],[STN]],SE_1[STN],SE_1[Ethnicity],"",0)</f>
        <v/>
      </c>
    </row>
    <row r="251" spans="1:6" ht="13.9">
      <c r="A251" s="3" t="s">
        <v>305</v>
      </c>
      <c r="B251" s="10">
        <v>42004</v>
      </c>
      <c r="C251" s="19">
        <v>5.9186546734454444</v>
      </c>
      <c r="D251" s="3"/>
      <c r="E251" s="3" t="str">
        <f>_xlfn.XLOOKUP(PE_1[[#This Row],[STN]],SE_1[STN],SE_1[IdeaEligibility],"w/o disability",0)</f>
        <v>w/o disability</v>
      </c>
      <c r="F251" t="str">
        <f>_xlfn.XLOOKUP(PE_1[[#This Row],[STN]],SE_1[STN],SE_1[Ethnicity],"",0)</f>
        <v/>
      </c>
    </row>
    <row r="252" spans="1:6" ht="13.9">
      <c r="A252" s="3" t="s">
        <v>306</v>
      </c>
      <c r="B252" s="10">
        <v>41932</v>
      </c>
      <c r="C252" s="19">
        <v>6.115760657019945</v>
      </c>
      <c r="D252" s="3"/>
      <c r="E252" s="3" t="str">
        <f>_xlfn.XLOOKUP(PE_1[[#This Row],[STN]],SE_1[STN],SE_1[IdeaEligibility],"w/o disability",0)</f>
        <v>w/o disability</v>
      </c>
      <c r="F252" t="str">
        <f>_xlfn.XLOOKUP(PE_1[[#This Row],[STN]],SE_1[STN],SE_1[Ethnicity],"",0)</f>
        <v/>
      </c>
    </row>
    <row r="253" spans="1:6" ht="13.9">
      <c r="A253" s="3" t="s">
        <v>307</v>
      </c>
      <c r="B253" s="10">
        <v>41929</v>
      </c>
      <c r="C253" s="19">
        <v>6.1239734063355495</v>
      </c>
      <c r="D253" s="3"/>
      <c r="E253" s="3" t="str">
        <f>_xlfn.XLOOKUP(PE_1[[#This Row],[STN]],SE_1[STN],SE_1[IdeaEligibility],"w/o disability",0)</f>
        <v>w/o disability</v>
      </c>
      <c r="F253" t="str">
        <f>_xlfn.XLOOKUP(PE_1[[#This Row],[STN]],SE_1[STN],SE_1[Ethnicity],"",0)</f>
        <v/>
      </c>
    </row>
    <row r="254" spans="1:6" ht="13.9">
      <c r="A254" s="3" t="s">
        <v>308</v>
      </c>
      <c r="B254" s="10">
        <v>42072</v>
      </c>
      <c r="C254" s="19">
        <v>5.7317518248175183</v>
      </c>
      <c r="D254" s="3"/>
      <c r="E254" s="3" t="str">
        <f>_xlfn.XLOOKUP(PE_1[[#This Row],[STN]],SE_1[STN],SE_1[IdeaEligibility],"w/o disability",0)</f>
        <v>w/o disability</v>
      </c>
      <c r="F254" t="str">
        <f>_xlfn.XLOOKUP(PE_1[[#This Row],[STN]],SE_1[STN],SE_1[Ethnicity],"",0)</f>
        <v/>
      </c>
    </row>
    <row r="255" spans="1:6" ht="13.9">
      <c r="A255" s="3" t="s">
        <v>309</v>
      </c>
      <c r="B255" s="10">
        <v>42004</v>
      </c>
      <c r="C255" s="19">
        <v>5.9186546734454444</v>
      </c>
      <c r="D255" s="3"/>
      <c r="E255" s="3" t="str">
        <f>_xlfn.XLOOKUP(PE_1[[#This Row],[STN]],SE_1[STN],SE_1[IdeaEligibility],"w/o disability",0)</f>
        <v>w/o disability</v>
      </c>
      <c r="F255" t="str">
        <f>_xlfn.XLOOKUP(PE_1[[#This Row],[STN]],SE_1[STN],SE_1[Ethnicity],"",0)</f>
        <v/>
      </c>
    </row>
    <row r="256" spans="1:6" ht="13.9">
      <c r="A256" s="3" t="s">
        <v>310</v>
      </c>
      <c r="B256" s="10">
        <v>42215</v>
      </c>
      <c r="C256" s="19">
        <v>5.3403284671532854</v>
      </c>
      <c r="D256" s="3"/>
      <c r="E256" s="3" t="str">
        <f>_xlfn.XLOOKUP(PE_1[[#This Row],[STN]],SE_1[STN],SE_1[IdeaEligibility],"w/o disability",0)</f>
        <v>w/o disability</v>
      </c>
      <c r="F256" t="str">
        <f>_xlfn.XLOOKUP(PE_1[[#This Row],[STN]],SE_1[STN],SE_1[Ethnicity],"",0)</f>
        <v/>
      </c>
    </row>
    <row r="257" spans="1:6" ht="13.9">
      <c r="A257" s="3" t="s">
        <v>311</v>
      </c>
      <c r="B257" s="10">
        <v>41754</v>
      </c>
      <c r="C257" s="19">
        <v>6.6030504497457958</v>
      </c>
      <c r="D257" s="3"/>
      <c r="E257" s="3" t="str">
        <f>_xlfn.XLOOKUP(PE_1[[#This Row],[STN]],SE_1[STN],SE_1[IdeaEligibility],"w/o disability",0)</f>
        <v>w/o disability</v>
      </c>
      <c r="F257" t="str">
        <f>_xlfn.XLOOKUP(PE_1[[#This Row],[STN]],SE_1[STN],SE_1[Ethnicity],"",0)</f>
        <v/>
      </c>
    </row>
    <row r="258" spans="1:6" ht="13.9">
      <c r="A258" s="3" t="s">
        <v>312</v>
      </c>
      <c r="B258" s="10">
        <v>41997</v>
      </c>
      <c r="C258" s="19">
        <v>5.9378177551818538</v>
      </c>
      <c r="D258" s="3"/>
      <c r="E258" s="3" t="str">
        <f>_xlfn.XLOOKUP(PE_1[[#This Row],[STN]],SE_1[STN],SE_1[IdeaEligibility],"w/o disability",0)</f>
        <v>w/o disability</v>
      </c>
      <c r="F258" t="str">
        <f>_xlfn.XLOOKUP(PE_1[[#This Row],[STN]],SE_1[STN],SE_1[Ethnicity],"",0)</f>
        <v/>
      </c>
    </row>
    <row r="259" spans="1:6" ht="13.9">
      <c r="A259" s="3" t="s">
        <v>313</v>
      </c>
      <c r="B259" s="10">
        <v>42000</v>
      </c>
      <c r="C259" s="19">
        <v>5.9296050058662493</v>
      </c>
      <c r="D259" s="3"/>
      <c r="E259" s="3" t="str">
        <f>_xlfn.XLOOKUP(PE_1[[#This Row],[STN]],SE_1[STN],SE_1[IdeaEligibility],"w/o disability",0)</f>
        <v>w/o disability</v>
      </c>
      <c r="F259" t="str">
        <f>_xlfn.XLOOKUP(PE_1[[#This Row],[STN]],SE_1[STN],SE_1[Ethnicity],"",0)</f>
        <v/>
      </c>
    </row>
    <row r="260" spans="1:6" ht="13.9">
      <c r="A260" s="3">
        <v>3719175</v>
      </c>
      <c r="B260" s="10">
        <v>41935</v>
      </c>
      <c r="C260" s="19">
        <v>6.1075479077043413</v>
      </c>
      <c r="D260" s="3"/>
      <c r="E260" s="3" t="str">
        <f>_xlfn.XLOOKUP(PE_1[[#This Row],[STN]],SE_1[STN],SE_1[IdeaEligibility],"w/o disability",0)</f>
        <v>w/o disability</v>
      </c>
      <c r="F260" t="str">
        <f>_xlfn.XLOOKUP(PE_1[[#This Row],[STN]],SE_1[STN],SE_1[Ethnicity],"",0)</f>
        <v/>
      </c>
    </row>
    <row r="261" spans="1:6" ht="13.9">
      <c r="A261" s="3" t="s">
        <v>314</v>
      </c>
      <c r="B261" s="10">
        <v>42237</v>
      </c>
      <c r="C261" s="19">
        <v>5.2801094890510951</v>
      </c>
      <c r="D261" s="3"/>
      <c r="E261" s="3" t="str">
        <f>_xlfn.XLOOKUP(PE_1[[#This Row],[STN]],SE_1[STN],SE_1[IdeaEligibility],"w/o disability",0)</f>
        <v>w/o disability</v>
      </c>
      <c r="F261" t="str">
        <f>_xlfn.XLOOKUP(PE_1[[#This Row],[STN]],SE_1[STN],SE_1[Ethnicity],"",0)</f>
        <v/>
      </c>
    </row>
    <row r="262" spans="1:6" ht="13.9">
      <c r="A262" s="3">
        <v>3719244</v>
      </c>
      <c r="B262" s="10">
        <v>42424</v>
      </c>
      <c r="C262" s="19">
        <v>4.7673782156540776</v>
      </c>
      <c r="D262" s="3"/>
      <c r="E262" s="3" t="str">
        <f>_xlfn.XLOOKUP(PE_1[[#This Row],[STN]],SE_1[STN],SE_1[IdeaEligibility],"w/o disability",0)</f>
        <v>w/o disability</v>
      </c>
      <c r="F262" t="str">
        <f>_xlfn.XLOOKUP(PE_1[[#This Row],[STN]],SE_1[STN],SE_1[Ethnicity],"",0)</f>
        <v/>
      </c>
    </row>
    <row r="263" spans="1:6" ht="13.9">
      <c r="A263" s="3">
        <v>2019067</v>
      </c>
      <c r="B263" s="10">
        <v>41933</v>
      </c>
      <c r="C263" s="19">
        <v>6.1130230739147438</v>
      </c>
      <c r="D263" s="3"/>
      <c r="E263" s="3" t="str">
        <f>_xlfn.XLOOKUP(PE_1[[#This Row],[STN]],SE_1[STN],SE_1[IdeaEligibility],"w/o disability",0)</f>
        <v>w/o disability</v>
      </c>
      <c r="F263" t="str">
        <f>_xlfn.XLOOKUP(PE_1[[#This Row],[STN]],SE_1[STN],SE_1[Ethnicity],"",0)</f>
        <v/>
      </c>
    </row>
    <row r="264" spans="1:6" ht="13.9">
      <c r="A264" s="3" t="s">
        <v>315</v>
      </c>
      <c r="B264" s="10">
        <v>42728</v>
      </c>
      <c r="C264" s="19">
        <v>3.9354132457580735</v>
      </c>
      <c r="D264" s="3"/>
      <c r="E264" s="3" t="str">
        <f>_xlfn.XLOOKUP(PE_1[[#This Row],[STN]],SE_1[STN],SE_1[IdeaEligibility],"w/o disability",0)</f>
        <v>w/o disability</v>
      </c>
      <c r="F264" t="str">
        <f>_xlfn.XLOOKUP(PE_1[[#This Row],[STN]],SE_1[STN],SE_1[Ethnicity],"",0)</f>
        <v/>
      </c>
    </row>
    <row r="265" spans="1:6" ht="13.9">
      <c r="A265" s="3" t="s">
        <v>316</v>
      </c>
      <c r="B265" s="10">
        <v>42923</v>
      </c>
      <c r="C265" s="19">
        <v>3.4031485284052021</v>
      </c>
      <c r="D265" s="3"/>
      <c r="E265" s="3" t="str">
        <f>_xlfn.XLOOKUP(PE_1[[#This Row],[STN]],SE_1[STN],SE_1[IdeaEligibility],"w/o disability",0)</f>
        <v>w/o disability</v>
      </c>
      <c r="F265" t="str">
        <f>_xlfn.XLOOKUP(PE_1[[#This Row],[STN]],SE_1[STN],SE_1[Ethnicity],"",0)</f>
        <v/>
      </c>
    </row>
    <row r="266" spans="1:6" ht="13.9">
      <c r="A266" s="3" t="s">
        <v>317</v>
      </c>
      <c r="B266" s="10">
        <v>42647</v>
      </c>
      <c r="C266" s="19">
        <v>4.157088122605364</v>
      </c>
      <c r="D266" s="3"/>
      <c r="E266" s="3" t="str">
        <f>_xlfn.XLOOKUP(PE_1[[#This Row],[STN]],SE_1[STN],SE_1[IdeaEligibility],"w/o disability",0)</f>
        <v>w/o disability</v>
      </c>
      <c r="F266" t="str">
        <f>_xlfn.XLOOKUP(PE_1[[#This Row],[STN]],SE_1[STN],SE_1[Ethnicity],"",0)</f>
        <v/>
      </c>
    </row>
    <row r="267" spans="1:6" ht="13.9">
      <c r="A267" s="3" t="s">
        <v>318</v>
      </c>
      <c r="B267" s="10">
        <v>42697</v>
      </c>
      <c r="C267" s="19">
        <v>4.0202517788724688</v>
      </c>
      <c r="D267" s="3"/>
      <c r="E267" s="3" t="str">
        <f>_xlfn.XLOOKUP(PE_1[[#This Row],[STN]],SE_1[STN],SE_1[IdeaEligibility],"w/o disability",0)</f>
        <v>w/o disability</v>
      </c>
      <c r="F267" t="str">
        <f>_xlfn.XLOOKUP(PE_1[[#This Row],[STN]],SE_1[STN],SE_1[Ethnicity],"",0)</f>
        <v/>
      </c>
    </row>
    <row r="268" spans="1:6" ht="13.9">
      <c r="A268" s="3" t="s">
        <v>319</v>
      </c>
      <c r="B268" s="10">
        <v>42890</v>
      </c>
      <c r="C268" s="19">
        <v>3.4934976043805612</v>
      </c>
      <c r="D268" s="3"/>
      <c r="E268" s="3" t="str">
        <f>_xlfn.XLOOKUP(PE_1[[#This Row],[STN]],SE_1[STN],SE_1[IdeaEligibility],"w/o disability",0)</f>
        <v>w/o disability</v>
      </c>
      <c r="F268" t="str">
        <f>_xlfn.XLOOKUP(PE_1[[#This Row],[STN]],SE_1[STN],SE_1[Ethnicity],"",0)</f>
        <v/>
      </c>
    </row>
    <row r="269" spans="1:6" ht="13.9">
      <c r="A269" s="3" t="s">
        <v>320</v>
      </c>
      <c r="B269" s="10">
        <v>42824</v>
      </c>
      <c r="C269" s="19">
        <v>3.6741957563312799</v>
      </c>
      <c r="D269" s="3"/>
      <c r="E269" s="3" t="str">
        <f>_xlfn.XLOOKUP(PE_1[[#This Row],[STN]],SE_1[STN],SE_1[IdeaEligibility],"w/o disability",0)</f>
        <v>w/o disability</v>
      </c>
      <c r="F269" t="str">
        <f>_xlfn.XLOOKUP(PE_1[[#This Row],[STN]],SE_1[STN],SE_1[Ethnicity],"",0)</f>
        <v/>
      </c>
    </row>
    <row r="270" spans="1:6" ht="13.9">
      <c r="A270" s="3" t="s">
        <v>321</v>
      </c>
      <c r="B270" s="10">
        <v>41204</v>
      </c>
      <c r="C270" s="19">
        <v>8.1076642335766422</v>
      </c>
      <c r="D270" s="3"/>
      <c r="E270" s="3" t="str">
        <f>_xlfn.XLOOKUP(PE_1[[#This Row],[STN]],SE_1[STN],SE_1[IdeaEligibility],"w/o disability",0)</f>
        <v>w/o disability</v>
      </c>
      <c r="F270" t="str">
        <f>_xlfn.XLOOKUP(PE_1[[#This Row],[STN]],SE_1[STN],SE_1[Ethnicity],"",0)</f>
        <v/>
      </c>
    </row>
    <row r="271" spans="1:6" ht="13.9">
      <c r="A271" s="3" t="s">
        <v>322</v>
      </c>
      <c r="B271" s="10">
        <v>41268</v>
      </c>
      <c r="C271" s="19">
        <v>7.9324817518248176</v>
      </c>
      <c r="D271" s="3"/>
      <c r="E271" s="3" t="str">
        <f>_xlfn.XLOOKUP(PE_1[[#This Row],[STN]],SE_1[STN],SE_1[IdeaEligibility],"w/o disability",0)</f>
        <v>w/o disability</v>
      </c>
      <c r="F271" t="str">
        <f>_xlfn.XLOOKUP(PE_1[[#This Row],[STN]],SE_1[STN],SE_1[Ethnicity],"",0)</f>
        <v/>
      </c>
    </row>
    <row r="272" spans="1:6" ht="13.9">
      <c r="A272" s="3" t="s">
        <v>323</v>
      </c>
      <c r="B272" s="10">
        <v>41291</v>
      </c>
      <c r="C272" s="19">
        <v>7.871321013004791</v>
      </c>
      <c r="D272" s="3"/>
      <c r="E272" s="3" t="str">
        <f>_xlfn.XLOOKUP(PE_1[[#This Row],[STN]],SE_1[STN],SE_1[IdeaEligibility],"w/o disability",0)</f>
        <v>w/o disability</v>
      </c>
      <c r="F272" t="str">
        <f>_xlfn.XLOOKUP(PE_1[[#This Row],[STN]],SE_1[STN],SE_1[Ethnicity],"",0)</f>
        <v/>
      </c>
    </row>
    <row r="273" spans="1:6" ht="13.9">
      <c r="A273" s="3" t="s">
        <v>324</v>
      </c>
      <c r="B273" s="10">
        <v>40974</v>
      </c>
      <c r="C273" s="19">
        <v>8.7372262773722635</v>
      </c>
      <c r="D273" s="3"/>
      <c r="E273" s="3" t="str">
        <f>_xlfn.XLOOKUP(PE_1[[#This Row],[STN]],SE_1[STN],SE_1[IdeaEligibility],"w/o disability",0)</f>
        <v>w/o disability</v>
      </c>
      <c r="F273" t="str">
        <f>_xlfn.XLOOKUP(PE_1[[#This Row],[STN]],SE_1[STN],SE_1[Ethnicity],"",0)</f>
        <v/>
      </c>
    </row>
    <row r="274" spans="1:6" ht="13.9">
      <c r="A274" s="3" t="s">
        <v>325</v>
      </c>
      <c r="B274" s="10">
        <v>40934</v>
      </c>
      <c r="C274" s="19">
        <v>8.8467153284671536</v>
      </c>
      <c r="D274" s="3"/>
      <c r="E274" s="3" t="str">
        <f>_xlfn.XLOOKUP(PE_1[[#This Row],[STN]],SE_1[STN],SE_1[IdeaEligibility],"w/o disability",0)</f>
        <v>w/o disability</v>
      </c>
      <c r="F274" t="str">
        <f>_xlfn.XLOOKUP(PE_1[[#This Row],[STN]],SE_1[STN],SE_1[Ethnicity],"",0)</f>
        <v/>
      </c>
    </row>
    <row r="275" spans="1:6" ht="13.9">
      <c r="A275" s="3">
        <v>31817076</v>
      </c>
      <c r="B275" s="10">
        <v>41971</v>
      </c>
      <c r="C275" s="19">
        <v>6.0089949159170901</v>
      </c>
      <c r="D275" s="3"/>
      <c r="E275" s="3" t="str">
        <f>_xlfn.XLOOKUP(PE_1[[#This Row],[STN]],SE_1[STN],SE_1[IdeaEligibility],"w/o disability",0)</f>
        <v>w/o disability</v>
      </c>
      <c r="F275" t="str">
        <f>_xlfn.XLOOKUP(PE_1[[#This Row],[STN]],SE_1[STN],SE_1[Ethnicity],"",0)</f>
        <v/>
      </c>
    </row>
    <row r="276" spans="1:6" ht="13.9">
      <c r="A276" s="3">
        <v>4110233</v>
      </c>
      <c r="B276" s="10">
        <v>41769</v>
      </c>
      <c r="C276" s="19">
        <v>6.5619867031677748</v>
      </c>
      <c r="D276" s="3"/>
      <c r="E276" s="3" t="str">
        <f>_xlfn.XLOOKUP(PE_1[[#This Row],[STN]],SE_1[STN],SE_1[IdeaEligibility],"w/o disability",0)</f>
        <v>w/o disability</v>
      </c>
      <c r="F276" t="str">
        <f>_xlfn.XLOOKUP(PE_1[[#This Row],[STN]],SE_1[STN],SE_1[Ethnicity],"",0)</f>
        <v/>
      </c>
    </row>
    <row r="277" spans="1:6" ht="13.9">
      <c r="A277" s="3" t="s">
        <v>326</v>
      </c>
      <c r="B277" s="10">
        <v>41250</v>
      </c>
      <c r="C277" s="19">
        <v>7.9817518248175183</v>
      </c>
      <c r="D277" s="3"/>
      <c r="E277" s="3" t="str">
        <f>_xlfn.XLOOKUP(PE_1[[#This Row],[STN]],SE_1[STN],SE_1[IdeaEligibility],"w/o disability",0)</f>
        <v>w/o disability</v>
      </c>
      <c r="F277" t="str">
        <f>_xlfn.XLOOKUP(PE_1[[#This Row],[STN]],SE_1[STN],SE_1[Ethnicity],"",0)</f>
        <v/>
      </c>
    </row>
    <row r="278" spans="1:6" ht="13.9">
      <c r="A278" s="3" t="s">
        <v>327</v>
      </c>
      <c r="B278" s="10">
        <v>41206</v>
      </c>
      <c r="C278" s="19">
        <v>8.1021897810218988</v>
      </c>
      <c r="D278" s="3"/>
      <c r="E278" s="3" t="str">
        <f>_xlfn.XLOOKUP(PE_1[[#This Row],[STN]],SE_1[STN],SE_1[IdeaEligibility],"w/o disability",0)</f>
        <v>w/o disability</v>
      </c>
      <c r="F278" t="str">
        <f>_xlfn.XLOOKUP(PE_1[[#This Row],[STN]],SE_1[STN],SE_1[Ethnicity],"",0)</f>
        <v/>
      </c>
    </row>
    <row r="279" spans="1:6" ht="13.9">
      <c r="A279" s="3" t="s">
        <v>328</v>
      </c>
      <c r="B279" s="10">
        <v>41857</v>
      </c>
      <c r="C279" s="19">
        <v>6.321079389910051</v>
      </c>
      <c r="D279" s="3"/>
      <c r="E279" s="3" t="str">
        <f>_xlfn.XLOOKUP(PE_1[[#This Row],[STN]],SE_1[STN],SE_1[IdeaEligibility],"w/o disability",0)</f>
        <v>w/o disability</v>
      </c>
      <c r="F279" t="str">
        <f>_xlfn.XLOOKUP(PE_1[[#This Row],[STN]],SE_1[STN],SE_1[Ethnicity],"",0)</f>
        <v/>
      </c>
    </row>
    <row r="280" spans="1:6" ht="13.9">
      <c r="A280" s="3" t="s">
        <v>329</v>
      </c>
      <c r="B280" s="10">
        <v>41849</v>
      </c>
      <c r="C280" s="19">
        <v>6.3429800547516626</v>
      </c>
      <c r="D280" s="3"/>
      <c r="E280" s="3" t="str">
        <f>_xlfn.XLOOKUP(PE_1[[#This Row],[STN]],SE_1[STN],SE_1[IdeaEligibility],"w/o disability",0)</f>
        <v>w/o disability</v>
      </c>
      <c r="F280" t="str">
        <f>_xlfn.XLOOKUP(PE_1[[#This Row],[STN]],SE_1[STN],SE_1[Ethnicity],"",0)</f>
        <v/>
      </c>
    </row>
    <row r="281" spans="1:6" ht="13.9">
      <c r="A281" s="3" t="s">
        <v>330</v>
      </c>
      <c r="B281" s="10">
        <v>41495</v>
      </c>
      <c r="C281" s="19">
        <v>7.312799452429843</v>
      </c>
      <c r="D281" s="3"/>
      <c r="E281" s="3" t="str">
        <f>_xlfn.XLOOKUP(PE_1[[#This Row],[STN]],SE_1[STN],SE_1[IdeaEligibility],"w/o disability",0)</f>
        <v>w/o disability</v>
      </c>
      <c r="F281" t="str">
        <f>_xlfn.XLOOKUP(PE_1[[#This Row],[STN]],SE_1[STN],SE_1[Ethnicity],"",0)</f>
        <v/>
      </c>
    </row>
    <row r="282" spans="1:6" ht="13.9">
      <c r="A282" s="3">
        <v>4110082</v>
      </c>
      <c r="B282" s="10">
        <v>40912</v>
      </c>
      <c r="C282" s="19">
        <v>8.9069343065693438</v>
      </c>
      <c r="D282" s="3"/>
      <c r="E282" s="3" t="str">
        <f>_xlfn.XLOOKUP(PE_1[[#This Row],[STN]],SE_1[STN],SE_1[IdeaEligibility],"w/o disability",0)</f>
        <v>w/o disability</v>
      </c>
      <c r="F282" t="str">
        <f>_xlfn.XLOOKUP(PE_1[[#This Row],[STN]],SE_1[STN],SE_1[Ethnicity],"",0)</f>
        <v/>
      </c>
    </row>
    <row r="283" spans="1:6" ht="13.9">
      <c r="A283" s="3" t="s">
        <v>331</v>
      </c>
      <c r="B283" s="10">
        <v>42536</v>
      </c>
      <c r="C283" s="19">
        <v>4.4608648056923919</v>
      </c>
      <c r="D283" s="3"/>
      <c r="E283" s="3" t="str">
        <f>_xlfn.XLOOKUP(PE_1[[#This Row],[STN]],SE_1[STN],SE_1[IdeaEligibility],"w/o disability",0)</f>
        <v>w/o disability</v>
      </c>
      <c r="F283" t="str">
        <f>_xlfn.XLOOKUP(PE_1[[#This Row],[STN]],SE_1[STN],SE_1[Ethnicity],"",0)</f>
        <v/>
      </c>
    </row>
    <row r="284" spans="1:6" ht="13.9">
      <c r="A284" s="3" t="s">
        <v>332</v>
      </c>
      <c r="B284" s="10">
        <v>42315</v>
      </c>
      <c r="C284" s="19">
        <v>5.0666058394160585</v>
      </c>
      <c r="D284" s="3"/>
      <c r="E284" s="3" t="str">
        <f>_xlfn.XLOOKUP(PE_1[[#This Row],[STN]],SE_1[STN],SE_1[IdeaEligibility],"w/o disability",0)</f>
        <v>w/o disability</v>
      </c>
      <c r="F284" t="str">
        <f>_xlfn.XLOOKUP(PE_1[[#This Row],[STN]],SE_1[STN],SE_1[Ethnicity],"",0)</f>
        <v/>
      </c>
    </row>
    <row r="285" spans="1:6" ht="13.9">
      <c r="A285" s="3" t="s">
        <v>333</v>
      </c>
      <c r="B285" s="10">
        <v>42426</v>
      </c>
      <c r="C285" s="19">
        <v>4.7619047619047619</v>
      </c>
      <c r="D285" s="3"/>
      <c r="E285" s="3" t="str">
        <f>_xlfn.XLOOKUP(PE_1[[#This Row],[STN]],SE_1[STN],SE_1[IdeaEligibility],"w/o disability",0)</f>
        <v>w/o disability</v>
      </c>
      <c r="F285" t="str">
        <f>_xlfn.XLOOKUP(PE_1[[#This Row],[STN]],SE_1[STN],SE_1[Ethnicity],"",0)</f>
        <v/>
      </c>
    </row>
    <row r="286" spans="1:6" ht="13.9">
      <c r="A286" s="3">
        <v>4110086</v>
      </c>
      <c r="B286" s="10">
        <v>41756</v>
      </c>
      <c r="C286" s="19">
        <v>6.5975752835353934</v>
      </c>
      <c r="D286" s="3"/>
      <c r="E286" s="3" t="str">
        <f>_xlfn.XLOOKUP(PE_1[[#This Row],[STN]],SE_1[STN],SE_1[IdeaEligibility],"w/o disability",0)</f>
        <v>w/o disability</v>
      </c>
      <c r="F286" t="str">
        <f>_xlfn.XLOOKUP(PE_1[[#This Row],[STN]],SE_1[STN],SE_1[Ethnicity],"",0)</f>
        <v/>
      </c>
    </row>
    <row r="287" spans="1:6" ht="13.9">
      <c r="A287" s="3" t="s">
        <v>334</v>
      </c>
      <c r="B287" s="10">
        <v>42528</v>
      </c>
      <c r="C287" s="19">
        <v>4.4827586206896557</v>
      </c>
      <c r="D287" s="3"/>
      <c r="E287" s="3" t="str">
        <f>_xlfn.XLOOKUP(PE_1[[#This Row],[STN]],SE_1[STN],SE_1[IdeaEligibility],"w/o disability",0)</f>
        <v>w/o disability</v>
      </c>
      <c r="F287" t="str">
        <f>_xlfn.XLOOKUP(PE_1[[#This Row],[STN]],SE_1[STN],SE_1[Ethnicity],"",0)</f>
        <v/>
      </c>
    </row>
    <row r="288" spans="1:6" ht="13.9">
      <c r="A288" s="3" t="s">
        <v>335</v>
      </c>
      <c r="B288" s="10">
        <v>42450</v>
      </c>
      <c r="C288" s="19">
        <v>4.6962233169129721</v>
      </c>
      <c r="D288" s="3"/>
      <c r="E288" s="3" t="str">
        <f>_xlfn.XLOOKUP(PE_1[[#This Row],[STN]],SE_1[STN],SE_1[IdeaEligibility],"w/o disability",0)</f>
        <v>w/o disability</v>
      </c>
      <c r="F288" t="str">
        <f>_xlfn.XLOOKUP(PE_1[[#This Row],[STN]],SE_1[STN],SE_1[Ethnicity],"",0)</f>
        <v/>
      </c>
    </row>
    <row r="289" spans="1:6" ht="13.9">
      <c r="A289" s="3" t="s">
        <v>336</v>
      </c>
      <c r="B289" s="10">
        <v>41118</v>
      </c>
      <c r="C289" s="19">
        <v>8.343065693430658</v>
      </c>
      <c r="D289" s="3"/>
      <c r="E289" s="3" t="str">
        <f>_xlfn.XLOOKUP(PE_1[[#This Row],[STN]],SE_1[STN],SE_1[IdeaEligibility],"w/o disability",0)</f>
        <v>w/o disability</v>
      </c>
      <c r="F289" t="str">
        <f>_xlfn.XLOOKUP(PE_1[[#This Row],[STN]],SE_1[STN],SE_1[Ethnicity],"",0)</f>
        <v/>
      </c>
    </row>
    <row r="290" spans="1:6" ht="13.9">
      <c r="A290" s="3" t="s">
        <v>337</v>
      </c>
      <c r="B290" s="10">
        <v>40514</v>
      </c>
      <c r="C290" s="19">
        <v>9.9980089596814334</v>
      </c>
      <c r="D290" s="3"/>
      <c r="E290" s="3" t="str">
        <f>_xlfn.XLOOKUP(PE_1[[#This Row],[STN]],SE_1[STN],SE_1[IdeaEligibility],"w/o disability",0)</f>
        <v>w/o disability</v>
      </c>
      <c r="F290" t="str">
        <f>_xlfn.XLOOKUP(PE_1[[#This Row],[STN]],SE_1[STN],SE_1[Ethnicity],"",0)</f>
        <v/>
      </c>
    </row>
    <row r="291" spans="1:6" ht="13.9">
      <c r="A291" s="3" t="s">
        <v>338</v>
      </c>
      <c r="B291" s="10">
        <v>40609</v>
      </c>
      <c r="C291" s="19">
        <v>9.737202299479879</v>
      </c>
      <c r="D291" s="3"/>
      <c r="E291" s="3" t="str">
        <f>_xlfn.XLOOKUP(PE_1[[#This Row],[STN]],SE_1[STN],SE_1[IdeaEligibility],"w/o disability",0)</f>
        <v>w/o disability</v>
      </c>
      <c r="F291" t="str">
        <f>_xlfn.XLOOKUP(PE_1[[#This Row],[STN]],SE_1[STN],SE_1[Ethnicity],"",0)</f>
        <v/>
      </c>
    </row>
    <row r="292" spans="1:6" ht="13.9">
      <c r="A292" s="3" t="s">
        <v>339</v>
      </c>
      <c r="B292" s="10">
        <v>40721</v>
      </c>
      <c r="C292" s="19">
        <v>9.4306049822064058</v>
      </c>
      <c r="D292" s="3"/>
      <c r="E292" s="3" t="str">
        <f>_xlfn.XLOOKUP(PE_1[[#This Row],[STN]],SE_1[STN],SE_1[IdeaEligibility],"w/o disability",0)</f>
        <v>w/o disability</v>
      </c>
      <c r="F292" t="str">
        <f>_xlfn.XLOOKUP(PE_1[[#This Row],[STN]],SE_1[STN],SE_1[Ethnicity],"",0)</f>
        <v/>
      </c>
    </row>
    <row r="293" spans="1:6" ht="13.9">
      <c r="A293" s="3" t="s">
        <v>340</v>
      </c>
      <c r="B293" s="10">
        <v>40747</v>
      </c>
      <c r="C293" s="19">
        <v>9.3594306049822062</v>
      </c>
      <c r="D293" s="3"/>
      <c r="E293" s="3" t="str">
        <f>_xlfn.XLOOKUP(PE_1[[#This Row],[STN]],SE_1[STN],SE_1[IdeaEligibility],"w/o disability",0)</f>
        <v>w/o disability</v>
      </c>
      <c r="F293" t="str">
        <f>_xlfn.XLOOKUP(PE_1[[#This Row],[STN]],SE_1[STN],SE_1[Ethnicity],"",0)</f>
        <v/>
      </c>
    </row>
    <row r="294" spans="1:6" ht="13.9">
      <c r="A294" s="3" t="s">
        <v>341</v>
      </c>
      <c r="B294" s="10">
        <v>40447</v>
      </c>
      <c r="C294" s="19">
        <v>10.181433549029368</v>
      </c>
      <c r="D294" s="3"/>
      <c r="E294" s="3" t="str">
        <f>_xlfn.XLOOKUP(PE_1[[#This Row],[STN]],SE_1[STN],SE_1[IdeaEligibility],"w/o disability",0)</f>
        <v>w/o disability</v>
      </c>
      <c r="F294" t="str">
        <f>_xlfn.XLOOKUP(PE_1[[#This Row],[STN]],SE_1[STN],SE_1[Ethnicity],"",0)</f>
        <v/>
      </c>
    </row>
    <row r="295" spans="1:6" ht="13.9">
      <c r="A295" s="3" t="s">
        <v>342</v>
      </c>
      <c r="B295" s="10">
        <v>40236</v>
      </c>
      <c r="C295" s="19">
        <v>10.75908412145346</v>
      </c>
      <c r="D295" s="3"/>
      <c r="E295" s="3" t="str">
        <f>_xlfn.XLOOKUP(PE_1[[#This Row],[STN]],SE_1[STN],SE_1[IdeaEligibility],"w/o disability",0)</f>
        <v>w/o disability</v>
      </c>
      <c r="F295" t="str">
        <f>_xlfn.XLOOKUP(PE_1[[#This Row],[STN]],SE_1[STN],SE_1[Ethnicity],"",0)</f>
        <v/>
      </c>
    </row>
    <row r="296" spans="1:6" ht="13.9">
      <c r="A296" s="3" t="s">
        <v>343</v>
      </c>
      <c r="B296" s="10">
        <v>40387</v>
      </c>
      <c r="C296" s="19">
        <v>10.345694375311101</v>
      </c>
      <c r="D296" s="3"/>
      <c r="E296" s="3" t="str">
        <f>_xlfn.XLOOKUP(PE_1[[#This Row],[STN]],SE_1[STN],SE_1[IdeaEligibility],"w/o disability",0)</f>
        <v>w/o disability</v>
      </c>
      <c r="F296" t="str">
        <f>_xlfn.XLOOKUP(PE_1[[#This Row],[STN]],SE_1[STN],SE_1[Ethnicity],"",0)</f>
        <v/>
      </c>
    </row>
    <row r="297" spans="1:6" ht="13.9">
      <c r="A297" s="3" t="s">
        <v>344</v>
      </c>
      <c r="B297" s="10">
        <v>40271</v>
      </c>
      <c r="C297" s="19">
        <v>10.663265306122449</v>
      </c>
      <c r="D297" s="3"/>
      <c r="E297" s="3" t="str">
        <f>_xlfn.XLOOKUP(PE_1[[#This Row],[STN]],SE_1[STN],SE_1[IdeaEligibility],"w/o disability",0)</f>
        <v>w/o disability</v>
      </c>
      <c r="F297" t="str">
        <f>_xlfn.XLOOKUP(PE_1[[#This Row],[STN]],SE_1[STN],SE_1[Ethnicity],"",0)</f>
        <v/>
      </c>
    </row>
    <row r="298" spans="1:6" ht="13.9">
      <c r="A298" s="3" t="s">
        <v>345</v>
      </c>
      <c r="B298" s="10">
        <v>40053</v>
      </c>
      <c r="C298" s="19">
        <v>11.260780287474333</v>
      </c>
      <c r="D298" s="3"/>
      <c r="E298" s="3" t="str">
        <f>_xlfn.XLOOKUP(PE_1[[#This Row],[STN]],SE_1[STN],SE_1[IdeaEligibility],"w/o disability",0)</f>
        <v>w/o disability</v>
      </c>
      <c r="F298" t="str">
        <f>_xlfn.XLOOKUP(PE_1[[#This Row],[STN]],SE_1[STN],SE_1[Ethnicity],"",0)</f>
        <v/>
      </c>
    </row>
    <row r="299" spans="1:6" ht="13.9">
      <c r="A299" s="3" t="s">
        <v>346</v>
      </c>
      <c r="B299" s="10">
        <v>39913</v>
      </c>
      <c r="C299" s="19">
        <v>11.644079397672828</v>
      </c>
      <c r="D299" s="3"/>
      <c r="E299" s="3" t="str">
        <f>_xlfn.XLOOKUP(PE_1[[#This Row],[STN]],SE_1[STN],SE_1[IdeaEligibility],"w/o disability",0)</f>
        <v>w/o disability</v>
      </c>
      <c r="F299" t="str">
        <f>_xlfn.XLOOKUP(PE_1[[#This Row],[STN]],SE_1[STN],SE_1[Ethnicity],"",0)</f>
        <v/>
      </c>
    </row>
    <row r="300" spans="1:6" ht="13.9">
      <c r="A300" s="3" t="s">
        <v>347</v>
      </c>
      <c r="B300" s="10">
        <v>39594</v>
      </c>
      <c r="C300" s="19">
        <v>12.515476942514214</v>
      </c>
      <c r="D300" s="3"/>
      <c r="E300" s="3" t="str">
        <f>_xlfn.XLOOKUP(PE_1[[#This Row],[STN]],SE_1[STN],SE_1[IdeaEligibility],"w/o disability",0)</f>
        <v>w/o disability</v>
      </c>
      <c r="F300" t="str">
        <f>_xlfn.XLOOKUP(PE_1[[#This Row],[STN]],SE_1[STN],SE_1[Ethnicity],"",0)</f>
        <v/>
      </c>
    </row>
    <row r="301" spans="1:6" ht="13.9">
      <c r="A301" s="5">
        <v>909814754</v>
      </c>
      <c r="B301" s="10">
        <v>40365</v>
      </c>
      <c r="C301" s="19">
        <v>10.405923344947736</v>
      </c>
      <c r="D301" s="3"/>
      <c r="E301" s="3" t="str">
        <f>_xlfn.XLOOKUP(PE_1[[#This Row],[STN]],SE_1[STN],SE_1[IdeaEligibility],"w/o disability",0)</f>
        <v>w/o disability</v>
      </c>
      <c r="F301" t="str">
        <f>_xlfn.XLOOKUP(PE_1[[#This Row],[STN]],SE_1[STN],SE_1[Ethnicity],"",0)</f>
        <v/>
      </c>
    </row>
    <row r="302" spans="1:6" ht="13.9">
      <c r="A302" s="3">
        <v>4109681</v>
      </c>
      <c r="B302" s="10">
        <v>40538</v>
      </c>
      <c r="C302" s="19">
        <v>9.9323046291687405</v>
      </c>
      <c r="D302" s="3"/>
      <c r="E302" s="3" t="str">
        <f>_xlfn.XLOOKUP(PE_1[[#This Row],[STN]],SE_1[STN],SE_1[IdeaEligibility],"w/o disability",0)</f>
        <v>w/o disability</v>
      </c>
      <c r="F302" t="str">
        <f>_xlfn.XLOOKUP(PE_1[[#This Row],[STN]],SE_1[STN],SE_1[Ethnicity],"",0)</f>
        <v/>
      </c>
    </row>
    <row r="303" spans="1:6" ht="13.9">
      <c r="A303" s="5">
        <v>909814753</v>
      </c>
      <c r="B303" s="10">
        <v>40365</v>
      </c>
      <c r="C303" s="19">
        <v>10.405923344947736</v>
      </c>
      <c r="D303" s="3"/>
      <c r="E303" s="3" t="str">
        <f>_xlfn.XLOOKUP(PE_1[[#This Row],[STN]],SE_1[STN],SE_1[IdeaEligibility],"w/o disability",0)</f>
        <v>w/o disability</v>
      </c>
      <c r="F303" t="str">
        <f>_xlfn.XLOOKUP(PE_1[[#This Row],[STN]],SE_1[STN],SE_1[Ethnicity],"",0)</f>
        <v/>
      </c>
    </row>
    <row r="304" spans="1:6" ht="13.9">
      <c r="A304" s="3" t="s">
        <v>348</v>
      </c>
      <c r="B304" s="10">
        <v>39583</v>
      </c>
      <c r="C304" s="19">
        <v>12.545588544956832</v>
      </c>
      <c r="D304" s="3"/>
      <c r="E304" s="3" t="str">
        <f>_xlfn.XLOOKUP(PE_1[[#This Row],[STN]],SE_1[STN],SE_1[IdeaEligibility],"w/o disability",0)</f>
        <v>w/o disability</v>
      </c>
      <c r="F304" t="str">
        <f>_xlfn.XLOOKUP(PE_1[[#This Row],[STN]],SE_1[STN],SE_1[Ethnicity],"",0)</f>
        <v/>
      </c>
    </row>
    <row r="305" spans="1:6" ht="13.9">
      <c r="A305" s="3">
        <v>4109687</v>
      </c>
      <c r="B305" s="10">
        <v>40572</v>
      </c>
      <c r="C305" s="19">
        <v>9.8384889132220081</v>
      </c>
      <c r="D305" s="3"/>
      <c r="E305" s="3" t="str">
        <f>_xlfn.XLOOKUP(PE_1[[#This Row],[STN]],SE_1[STN],SE_1[IdeaEligibility],"w/o disability",0)</f>
        <v>w/o disability</v>
      </c>
      <c r="F305" t="str">
        <f>_xlfn.XLOOKUP(PE_1[[#This Row],[STN]],SE_1[STN],SE_1[Ethnicity],"",0)</f>
        <v/>
      </c>
    </row>
    <row r="306" spans="1:6" ht="13.9">
      <c r="A306" s="3">
        <v>4109408</v>
      </c>
      <c r="B306" s="10">
        <v>40003</v>
      </c>
      <c r="C306" s="19">
        <v>11.397672826830938</v>
      </c>
      <c r="D306" s="3"/>
      <c r="E306" s="3" t="str">
        <f>_xlfn.XLOOKUP(PE_1[[#This Row],[STN]],SE_1[STN],SE_1[IdeaEligibility],"w/o disability",0)</f>
        <v>w/o disability</v>
      </c>
      <c r="F306" t="str">
        <f>_xlfn.XLOOKUP(PE_1[[#This Row],[STN]],SE_1[STN],SE_1[Ethnicity],"",0)</f>
        <v/>
      </c>
    </row>
    <row r="307" spans="1:6" ht="13.9">
      <c r="A307" s="3" t="s">
        <v>349</v>
      </c>
      <c r="B307" s="10">
        <v>41642</v>
      </c>
      <c r="C307" s="19">
        <v>6.9096597575283534</v>
      </c>
      <c r="D307" s="3"/>
      <c r="E307" s="3" t="str">
        <f>_xlfn.XLOOKUP(PE_1[[#This Row],[STN]],SE_1[STN],SE_1[IdeaEligibility],"w/o disability",0)</f>
        <v>w/o disability</v>
      </c>
      <c r="F307" t="str">
        <f>_xlfn.XLOOKUP(PE_1[[#This Row],[STN]],SE_1[STN],SE_1[Ethnicity],"",0)</f>
        <v/>
      </c>
    </row>
    <row r="308" spans="1:6" ht="13.9">
      <c r="A308" s="3" t="s">
        <v>350</v>
      </c>
      <c r="B308" s="10">
        <v>41450</v>
      </c>
      <c r="C308" s="19">
        <v>7.4360027378507869</v>
      </c>
      <c r="D308" s="3"/>
      <c r="E308" s="3" t="str">
        <f>_xlfn.XLOOKUP(PE_1[[#This Row],[STN]],SE_1[STN],SE_1[IdeaEligibility],"w/o disability",0)</f>
        <v>w/o disability</v>
      </c>
      <c r="F308" t="str">
        <f>_xlfn.XLOOKUP(PE_1[[#This Row],[STN]],SE_1[STN],SE_1[Ethnicity],"",0)</f>
        <v/>
      </c>
    </row>
    <row r="309" spans="1:6" ht="13.9">
      <c r="A309" s="3" t="s">
        <v>351</v>
      </c>
      <c r="B309" s="10">
        <v>41515</v>
      </c>
      <c r="C309" s="19">
        <v>7.2580424366872007</v>
      </c>
      <c r="D309" s="3"/>
      <c r="E309" s="3" t="str">
        <f>_xlfn.XLOOKUP(PE_1[[#This Row],[STN]],SE_1[STN],SE_1[IdeaEligibility],"w/o disability",0)</f>
        <v>w/o disability</v>
      </c>
      <c r="F309" t="str">
        <f>_xlfn.XLOOKUP(PE_1[[#This Row],[STN]],SE_1[STN],SE_1[Ethnicity],"",0)</f>
        <v/>
      </c>
    </row>
    <row r="310" spans="1:6" ht="13.9">
      <c r="A310" s="3" t="s">
        <v>352</v>
      </c>
      <c r="B310" s="10">
        <v>42130</v>
      </c>
      <c r="C310" s="19">
        <v>5.5729927007299276</v>
      </c>
      <c r="D310" s="3"/>
      <c r="E310" s="3" t="str">
        <f>_xlfn.XLOOKUP(PE_1[[#This Row],[STN]],SE_1[STN],SE_1[IdeaEligibility],"w/o disability",0)</f>
        <v>w/o disability</v>
      </c>
      <c r="F310" t="str">
        <f>_xlfn.XLOOKUP(PE_1[[#This Row],[STN]],SE_1[STN],SE_1[Ethnicity],"",0)</f>
        <v/>
      </c>
    </row>
    <row r="311" spans="1:6" ht="13.9">
      <c r="A311" s="3" t="s">
        <v>353</v>
      </c>
      <c r="B311" s="10">
        <v>42009</v>
      </c>
      <c r="C311" s="19">
        <v>5.9041970802919712</v>
      </c>
      <c r="D311" s="3"/>
      <c r="E311" s="3" t="str">
        <f>_xlfn.XLOOKUP(PE_1[[#This Row],[STN]],SE_1[STN],SE_1[IdeaEligibility],"w/o disability",0)</f>
        <v>w/o disability</v>
      </c>
      <c r="F311" t="str">
        <f>_xlfn.XLOOKUP(PE_1[[#This Row],[STN]],SE_1[STN],SE_1[Ethnicity],"",0)</f>
        <v/>
      </c>
    </row>
    <row r="312" spans="1:6" ht="13.9">
      <c r="A312" s="3" t="s">
        <v>354</v>
      </c>
      <c r="B312" s="10">
        <v>41745</v>
      </c>
      <c r="C312" s="19">
        <v>6.6276886976926086</v>
      </c>
      <c r="D312" s="3"/>
      <c r="E312" s="3" t="str">
        <f>_xlfn.XLOOKUP(PE_1[[#This Row],[STN]],SE_1[STN],SE_1[IdeaEligibility],"w/o disability",0)</f>
        <v>w/o disability</v>
      </c>
      <c r="F312" t="str">
        <f>_xlfn.XLOOKUP(PE_1[[#This Row],[STN]],SE_1[STN],SE_1[Ethnicity],"",0)</f>
        <v/>
      </c>
    </row>
    <row r="313" spans="1:6" ht="13.9">
      <c r="A313" s="3" t="s">
        <v>355</v>
      </c>
      <c r="B313" s="10">
        <v>42159</v>
      </c>
      <c r="C313" s="19">
        <v>5.4936131386861318</v>
      </c>
      <c r="D313" s="3"/>
      <c r="E313" s="3" t="str">
        <f>_xlfn.XLOOKUP(PE_1[[#This Row],[STN]],SE_1[STN],SE_1[IdeaEligibility],"w/o disability",0)</f>
        <v>w/o disability</v>
      </c>
      <c r="F313" t="str">
        <f>_xlfn.XLOOKUP(PE_1[[#This Row],[STN]],SE_1[STN],SE_1[Ethnicity],"",0)</f>
        <v/>
      </c>
    </row>
    <row r="314" spans="1:6" ht="13.9">
      <c r="A314" s="3" t="s">
        <v>356</v>
      </c>
      <c r="B314" s="10">
        <v>41987</v>
      </c>
      <c r="C314" s="19">
        <v>5.9651935862338679</v>
      </c>
      <c r="D314" s="3"/>
      <c r="E314" s="3" t="str">
        <f>_xlfn.XLOOKUP(PE_1[[#This Row],[STN]],SE_1[STN],SE_1[IdeaEligibility],"w/o disability",0)</f>
        <v>w/o disability</v>
      </c>
      <c r="F314" t="str">
        <f>_xlfn.XLOOKUP(PE_1[[#This Row],[STN]],SE_1[STN],SE_1[Ethnicity],"",0)</f>
        <v/>
      </c>
    </row>
    <row r="315" spans="1:6" ht="13.9">
      <c r="A315" s="3" t="s">
        <v>357</v>
      </c>
      <c r="B315" s="10">
        <v>42186</v>
      </c>
      <c r="C315" s="19">
        <v>5.4197080291970803</v>
      </c>
      <c r="D315" s="3"/>
      <c r="E315" s="3" t="str">
        <f>_xlfn.XLOOKUP(PE_1[[#This Row],[STN]],SE_1[STN],SE_1[IdeaEligibility],"w/o disability",0)</f>
        <v>w/o disability</v>
      </c>
      <c r="F315" t="str">
        <f>_xlfn.XLOOKUP(PE_1[[#This Row],[STN]],SE_1[STN],SE_1[Ethnicity],"",0)</f>
        <v/>
      </c>
    </row>
    <row r="316" spans="1:6" ht="13.9">
      <c r="A316" s="3" t="s">
        <v>358</v>
      </c>
      <c r="B316" s="10">
        <v>42016</v>
      </c>
      <c r="C316" s="19">
        <v>5.8850364963503656</v>
      </c>
      <c r="D316" s="3"/>
      <c r="E316" s="3" t="str">
        <f>_xlfn.XLOOKUP(PE_1[[#This Row],[STN]],SE_1[STN],SE_1[IdeaEligibility],"w/o disability",0)</f>
        <v>w/o disability</v>
      </c>
      <c r="F316" t="str">
        <f>_xlfn.XLOOKUP(PE_1[[#This Row],[STN]],SE_1[STN],SE_1[Ethnicity],"",0)</f>
        <v/>
      </c>
    </row>
    <row r="317" spans="1:6" ht="13.9">
      <c r="A317" s="3" t="s">
        <v>359</v>
      </c>
      <c r="B317" s="10">
        <v>42041</v>
      </c>
      <c r="C317" s="19">
        <v>5.8166058394160585</v>
      </c>
      <c r="D317" s="3"/>
      <c r="E317" s="3" t="str">
        <f>_xlfn.XLOOKUP(PE_1[[#This Row],[STN]],SE_1[STN],SE_1[IdeaEligibility],"w/o disability",0)</f>
        <v>w/o disability</v>
      </c>
      <c r="F317" t="str">
        <f>_xlfn.XLOOKUP(PE_1[[#This Row],[STN]],SE_1[STN],SE_1[Ethnicity],"",0)</f>
        <v/>
      </c>
    </row>
    <row r="318" spans="1:6" ht="13.9">
      <c r="A318" s="3" t="s">
        <v>360</v>
      </c>
      <c r="B318" s="10">
        <v>39241</v>
      </c>
      <c r="C318" s="19">
        <v>13.482596793116935</v>
      </c>
      <c r="D318" s="3"/>
      <c r="E318" s="3" t="str">
        <f>_xlfn.XLOOKUP(PE_1[[#This Row],[STN]],SE_1[STN],SE_1[IdeaEligibility],"w/o disability",0)</f>
        <v>w/o disability</v>
      </c>
      <c r="F318" t="str">
        <f>_xlfn.XLOOKUP(PE_1[[#This Row],[STN]],SE_1[STN],SE_1[Ethnicity],"",0)</f>
        <v/>
      </c>
    </row>
    <row r="319" spans="1:6" ht="13.9">
      <c r="A319" s="3" t="s">
        <v>361</v>
      </c>
      <c r="B319" s="10">
        <v>38895</v>
      </c>
      <c r="C319" s="19">
        <v>14.430553020624203</v>
      </c>
      <c r="D319" s="3"/>
      <c r="E319" s="3" t="str">
        <f>_xlfn.XLOOKUP(PE_1[[#This Row],[STN]],SE_1[STN],SE_1[IdeaEligibility],"w/o disability",0)</f>
        <v>w/o disability</v>
      </c>
      <c r="F319" t="str">
        <f>_xlfn.XLOOKUP(PE_1[[#This Row],[STN]],SE_1[STN],SE_1[Ethnicity],"",0)</f>
        <v/>
      </c>
    </row>
    <row r="320" spans="1:6" ht="13.9">
      <c r="A320" s="3" t="s">
        <v>362</v>
      </c>
      <c r="B320" s="10">
        <v>39080</v>
      </c>
      <c r="C320" s="19">
        <v>13.924073736083228</v>
      </c>
      <c r="D320" s="3"/>
      <c r="E320" s="3" t="str">
        <f>_xlfn.XLOOKUP(PE_1[[#This Row],[STN]],SE_1[STN],SE_1[IdeaEligibility],"w/o disability",0)</f>
        <v>w/o disability</v>
      </c>
      <c r="F320" t="str">
        <f>_xlfn.XLOOKUP(PE_1[[#This Row],[STN]],SE_1[STN],SE_1[Ethnicity],"",0)</f>
        <v/>
      </c>
    </row>
    <row r="321" spans="1:6" ht="13.9">
      <c r="A321" s="3" t="s">
        <v>363</v>
      </c>
      <c r="B321" s="10">
        <v>39137</v>
      </c>
      <c r="C321" s="19">
        <v>13.76730543605788</v>
      </c>
      <c r="D321" s="3"/>
      <c r="E321" s="3" t="str">
        <f>_xlfn.XLOOKUP(PE_1[[#This Row],[STN]],SE_1[STN],SE_1[IdeaEligibility],"w/o disability",0)</f>
        <v>w/o disability</v>
      </c>
      <c r="F321" t="str">
        <f>_xlfn.XLOOKUP(PE_1[[#This Row],[STN]],SE_1[STN],SE_1[Ethnicity],"",0)</f>
        <v/>
      </c>
    </row>
    <row r="322" spans="1:6" ht="13.9">
      <c r="A322" s="3" t="s">
        <v>364</v>
      </c>
      <c r="B322" s="10">
        <v>39185</v>
      </c>
      <c r="C322" s="19">
        <v>13.635901447008212</v>
      </c>
      <c r="D322" s="3"/>
      <c r="E322" s="3" t="str">
        <f>_xlfn.XLOOKUP(PE_1[[#This Row],[STN]],SE_1[STN],SE_1[IdeaEligibility],"w/o disability",0)</f>
        <v>w/o disability</v>
      </c>
      <c r="F322" t="str">
        <f>_xlfn.XLOOKUP(PE_1[[#This Row],[STN]],SE_1[STN],SE_1[Ethnicity],"",0)</f>
        <v/>
      </c>
    </row>
    <row r="323" spans="1:6" ht="13.9">
      <c r="A323" s="3" t="s">
        <v>365</v>
      </c>
      <c r="B323" s="10">
        <v>38930</v>
      </c>
      <c r="C323" s="19">
        <v>14.334732615440775</v>
      </c>
      <c r="D323" s="3"/>
      <c r="E323" s="3" t="str">
        <f>_xlfn.XLOOKUP(PE_1[[#This Row],[STN]],SE_1[STN],SE_1[IdeaEligibility],"w/o disability",0)</f>
        <v>w/o disability</v>
      </c>
      <c r="F323" t="str">
        <f>_xlfn.XLOOKUP(PE_1[[#This Row],[STN]],SE_1[STN],SE_1[Ethnicity],"",0)</f>
        <v/>
      </c>
    </row>
    <row r="324" spans="1:6" ht="13.9">
      <c r="A324" s="3" t="s">
        <v>366</v>
      </c>
      <c r="B324" s="10">
        <v>38756</v>
      </c>
      <c r="C324" s="19">
        <v>14.811096915495529</v>
      </c>
      <c r="D324" s="3"/>
      <c r="E324" s="3" t="str">
        <f>_xlfn.XLOOKUP(PE_1[[#This Row],[STN]],SE_1[STN],SE_1[IdeaEligibility],"w/o disability",0)</f>
        <v>w/o disability</v>
      </c>
      <c r="F324" t="str">
        <f>_xlfn.XLOOKUP(PE_1[[#This Row],[STN]],SE_1[STN],SE_1[Ethnicity],"",0)</f>
        <v/>
      </c>
    </row>
    <row r="325" spans="1:6" ht="13.9">
      <c r="A325" s="5">
        <v>755715852</v>
      </c>
      <c r="B325" s="10">
        <v>39688</v>
      </c>
      <c r="C325" s="19">
        <v>12.25815961255001</v>
      </c>
      <c r="D325" s="3"/>
      <c r="E325" s="3" t="str">
        <f>_xlfn.XLOOKUP(PE_1[[#This Row],[STN]],SE_1[STN],SE_1[IdeaEligibility],"w/o disability",0)</f>
        <v>w/o disability</v>
      </c>
      <c r="F325" t="str">
        <f>_xlfn.XLOOKUP(PE_1[[#This Row],[STN]],SE_1[STN],SE_1[Ethnicity],"",0)</f>
        <v/>
      </c>
    </row>
    <row r="326" spans="1:6" ht="13.9">
      <c r="A326" s="5">
        <v>747314752</v>
      </c>
      <c r="B326" s="10">
        <v>39845</v>
      </c>
      <c r="C326" s="19">
        <v>11.83025325119781</v>
      </c>
      <c r="D326" s="3"/>
      <c r="E326" s="3" t="str">
        <f>_xlfn.XLOOKUP(PE_1[[#This Row],[STN]],SE_1[STN],SE_1[IdeaEligibility],"w/o disability",0)</f>
        <v>w/o disability</v>
      </c>
      <c r="F326" t="str">
        <f>_xlfn.XLOOKUP(PE_1[[#This Row],[STN]],SE_1[STN],SE_1[Ethnicity],"",0)</f>
        <v/>
      </c>
    </row>
    <row r="327" spans="1:6" ht="13.9">
      <c r="A327" s="3" t="s">
        <v>367</v>
      </c>
      <c r="B327" s="10">
        <v>38931</v>
      </c>
      <c r="C327" s="19">
        <v>14.331994889578391</v>
      </c>
      <c r="D327" s="3"/>
      <c r="E327" s="3" t="str">
        <f>_xlfn.XLOOKUP(PE_1[[#This Row],[STN]],SE_1[STN],SE_1[IdeaEligibility],"w/o disability",0)</f>
        <v>w/o disability</v>
      </c>
      <c r="F327" t="str">
        <f>_xlfn.XLOOKUP(PE_1[[#This Row],[STN]],SE_1[STN],SE_1[Ethnicity],"",0)</f>
        <v/>
      </c>
    </row>
    <row r="328" spans="1:6" ht="13.9">
      <c r="A328" s="5">
        <v>257214016</v>
      </c>
      <c r="B328" s="10">
        <v>39291</v>
      </c>
      <c r="C328" s="19">
        <v>13.345717637856863</v>
      </c>
      <c r="D328" s="3"/>
      <c r="E328" s="3" t="str">
        <f>_xlfn.XLOOKUP(PE_1[[#This Row],[STN]],SE_1[STN],SE_1[IdeaEligibility],"w/o disability",0)</f>
        <v>w/o disability</v>
      </c>
      <c r="F328" t="str">
        <f>_xlfn.XLOOKUP(PE_1[[#This Row],[STN]],SE_1[STN],SE_1[Ethnicity],"",0)</f>
        <v/>
      </c>
    </row>
    <row r="329" spans="1:6" ht="13.9">
      <c r="A329" s="5">
        <v>984514089</v>
      </c>
      <c r="B329" s="10">
        <v>39656</v>
      </c>
      <c r="C329" s="19">
        <v>12.345757001473993</v>
      </c>
      <c r="D329" s="3"/>
      <c r="E329" s="3" t="str">
        <f>_xlfn.XLOOKUP(PE_1[[#This Row],[STN]],SE_1[STN],SE_1[IdeaEligibility],"w/o disability",0)</f>
        <v>w/o disability</v>
      </c>
      <c r="F329" t="str">
        <f>_xlfn.XLOOKUP(PE_1[[#This Row],[STN]],SE_1[STN],SE_1[Ethnicity],"",0)</f>
        <v/>
      </c>
    </row>
    <row r="330" spans="1:6" ht="13.9">
      <c r="A330" s="5">
        <v>755715532</v>
      </c>
      <c r="B330" s="10">
        <v>38313</v>
      </c>
      <c r="C330" s="19">
        <v>16.022705314009659</v>
      </c>
      <c r="D330" s="3"/>
      <c r="E330" s="3" t="str">
        <f>_xlfn.XLOOKUP(PE_1[[#This Row],[STN]],SE_1[STN],SE_1[IdeaEligibility],"w/o disability",0)</f>
        <v>w/o disability</v>
      </c>
      <c r="F330" t="str">
        <f>_xlfn.XLOOKUP(PE_1[[#This Row],[STN]],SE_1[STN],SE_1[Ethnicity],"",0)</f>
        <v/>
      </c>
    </row>
    <row r="331" spans="1:6" ht="13.9">
      <c r="A331" s="5">
        <v>755715526</v>
      </c>
      <c r="B331" s="10">
        <v>38696</v>
      </c>
      <c r="C331" s="19">
        <v>14.976043805612594</v>
      </c>
      <c r="D331" s="3"/>
      <c r="E331" s="3" t="str">
        <f>_xlfn.XLOOKUP(PE_1[[#This Row],[STN]],SE_1[STN],SE_1[IdeaEligibility],"w/o disability",0)</f>
        <v>w/o disability</v>
      </c>
      <c r="F331" t="str">
        <f>_xlfn.XLOOKUP(PE_1[[#This Row],[STN]],SE_1[STN],SE_1[Ethnicity],"",0)</f>
        <v/>
      </c>
    </row>
    <row r="332" spans="1:6" ht="13.9">
      <c r="A332" s="5">
        <v>755715504</v>
      </c>
      <c r="B332" s="10">
        <v>39335</v>
      </c>
      <c r="C332" s="19">
        <v>13.225263981228002</v>
      </c>
      <c r="D332" s="3"/>
      <c r="E332" s="3" t="str">
        <f>_xlfn.XLOOKUP(PE_1[[#This Row],[STN]],SE_1[STN],SE_1[IdeaEligibility],"w/o disability",0)</f>
        <v>w/o disability</v>
      </c>
      <c r="F332" t="str">
        <f>_xlfn.XLOOKUP(PE_1[[#This Row],[STN]],SE_1[STN],SE_1[Ethnicity],"",0)</f>
        <v/>
      </c>
    </row>
    <row r="333" spans="1:6" ht="13.9">
      <c r="A333" s="5">
        <v>756113049</v>
      </c>
      <c r="B333" s="10">
        <v>39244</v>
      </c>
      <c r="C333" s="19">
        <v>13.474384043801329</v>
      </c>
      <c r="D333" s="3"/>
      <c r="E333" s="3" t="str">
        <f>_xlfn.XLOOKUP(PE_1[[#This Row],[STN]],SE_1[STN],SE_1[IdeaEligibility],"w/o disability",0)</f>
        <v>w/o disability</v>
      </c>
      <c r="F333" t="str">
        <f>_xlfn.XLOOKUP(PE_1[[#This Row],[STN]],SE_1[STN],SE_1[Ethnicity],"",0)</f>
        <v/>
      </c>
    </row>
    <row r="334" spans="1:6" ht="13.9">
      <c r="A334" s="5">
        <v>736510274</v>
      </c>
      <c r="B334" s="10">
        <v>39311</v>
      </c>
      <c r="C334" s="19">
        <v>13.290965975752835</v>
      </c>
      <c r="D334" s="3"/>
      <c r="E334" s="3" t="str">
        <f>_xlfn.XLOOKUP(PE_1[[#This Row],[STN]],SE_1[STN],SE_1[IdeaEligibility],"w/o disability",0)</f>
        <v>w/o disability</v>
      </c>
      <c r="F334" t="str">
        <f>_xlfn.XLOOKUP(PE_1[[#This Row],[STN]],SE_1[STN],SE_1[Ethnicity],"",0)</f>
        <v/>
      </c>
    </row>
    <row r="335" spans="1:6" ht="13.9">
      <c r="A335" s="5">
        <v>755513173</v>
      </c>
      <c r="B335" s="10">
        <v>39562</v>
      </c>
      <c r="C335" s="19">
        <v>12.603074331438197</v>
      </c>
      <c r="D335" s="3"/>
      <c r="E335" s="3" t="str">
        <f>_xlfn.XLOOKUP(PE_1[[#This Row],[STN]],SE_1[STN],SE_1[IdeaEligibility],"w/o disability",0)</f>
        <v>w/o disability</v>
      </c>
      <c r="F335" t="str">
        <f>_xlfn.XLOOKUP(PE_1[[#This Row],[STN]],SE_1[STN],SE_1[Ethnicity],"",0)</f>
        <v/>
      </c>
    </row>
    <row r="336" spans="1:6" ht="13.9">
      <c r="A336" s="5">
        <v>748513006</v>
      </c>
      <c r="B336" s="10">
        <v>39181</v>
      </c>
      <c r="C336" s="19">
        <v>13.646851779429019</v>
      </c>
      <c r="D336" s="3"/>
      <c r="E336" s="3" t="str">
        <f>_xlfn.XLOOKUP(PE_1[[#This Row],[STN]],SE_1[STN],SE_1[IdeaEligibility],"w/o disability",0)</f>
        <v>w/o disability</v>
      </c>
      <c r="F336" t="str">
        <f>_xlfn.XLOOKUP(PE_1[[#This Row],[STN]],SE_1[STN],SE_1[Ethnicity],"",0)</f>
        <v/>
      </c>
    </row>
    <row r="337" spans="1:6" ht="13.9">
      <c r="A337" s="5">
        <v>754512022</v>
      </c>
      <c r="B337" s="10">
        <v>38858</v>
      </c>
      <c r="C337" s="19">
        <v>14.531848877532397</v>
      </c>
      <c r="D337" s="3"/>
      <c r="E337" s="3" t="str">
        <f>_xlfn.XLOOKUP(PE_1[[#This Row],[STN]],SE_1[STN],SE_1[IdeaEligibility],"w/o disability",0)</f>
        <v>w/o disability</v>
      </c>
      <c r="F337" t="str">
        <f>_xlfn.XLOOKUP(PE_1[[#This Row],[STN]],SE_1[STN],SE_1[Ethnicity],"",0)</f>
        <v/>
      </c>
    </row>
    <row r="338" spans="1:6" ht="13.9">
      <c r="A338" s="5">
        <v>755713181</v>
      </c>
      <c r="B338" s="10">
        <v>39469</v>
      </c>
      <c r="C338" s="19">
        <v>12.857654242998526</v>
      </c>
      <c r="D338" s="3"/>
      <c r="E338" s="3" t="str">
        <f>_xlfn.XLOOKUP(PE_1[[#This Row],[STN]],SE_1[STN],SE_1[IdeaEligibility],"w/o disability",0)</f>
        <v>w/o disability</v>
      </c>
      <c r="F338" t="str">
        <f>_xlfn.XLOOKUP(PE_1[[#This Row],[STN]],SE_1[STN],SE_1[Ethnicity],"",0)</f>
        <v/>
      </c>
    </row>
    <row r="339" spans="1:6" ht="13.9">
      <c r="A339" s="5">
        <v>754612011</v>
      </c>
      <c r="B339" s="10">
        <v>38802</v>
      </c>
      <c r="C339" s="19">
        <v>14.685161525825881</v>
      </c>
      <c r="D339" s="3"/>
      <c r="E339" s="3" t="str">
        <f>_xlfn.XLOOKUP(PE_1[[#This Row],[STN]],SE_1[STN],SE_1[IdeaEligibility],"w/o disability",0)</f>
        <v>w/o disability</v>
      </c>
      <c r="F339" t="str">
        <f>_xlfn.XLOOKUP(PE_1[[#This Row],[STN]],SE_1[STN],SE_1[Ethnicity],"",0)</f>
        <v/>
      </c>
    </row>
    <row r="340" spans="1:6" ht="13.9">
      <c r="A340" s="5">
        <v>762111028</v>
      </c>
      <c r="B340" s="10">
        <v>38827</v>
      </c>
      <c r="C340" s="19">
        <v>14.61671837926629</v>
      </c>
      <c r="D340" s="3"/>
      <c r="E340" s="3" t="str">
        <f>_xlfn.XLOOKUP(PE_1[[#This Row],[STN]],SE_1[STN],SE_1[IdeaEligibility],"w/o disability",0)</f>
        <v>w/o disability</v>
      </c>
      <c r="F340" t="str">
        <f>_xlfn.XLOOKUP(PE_1[[#This Row],[STN]],SE_1[STN],SE_1[Ethnicity],"",0)</f>
        <v/>
      </c>
    </row>
    <row r="341" spans="1:6" ht="13.9">
      <c r="A341" s="5">
        <v>721512048</v>
      </c>
      <c r="B341" s="10">
        <v>38972</v>
      </c>
      <c r="C341" s="19">
        <v>14.219748129220662</v>
      </c>
      <c r="D341" s="3"/>
      <c r="E341" s="3" t="str">
        <f>_xlfn.XLOOKUP(PE_1[[#This Row],[STN]],SE_1[STN],SE_1[IdeaEligibility],"w/o disability",0)</f>
        <v>w/o disability</v>
      </c>
      <c r="F341" t="str">
        <f>_xlfn.XLOOKUP(PE_1[[#This Row],[STN]],SE_1[STN],SE_1[Ethnicity],"",0)</f>
        <v/>
      </c>
    </row>
    <row r="342" spans="1:6" ht="13.9">
      <c r="A342" s="5">
        <v>757708154</v>
      </c>
      <c r="B342" s="10">
        <v>38393</v>
      </c>
      <c r="C342" s="19">
        <v>15.805612594113621</v>
      </c>
      <c r="D342" s="3"/>
      <c r="E342" s="3" t="str">
        <f>_xlfn.XLOOKUP(PE_1[[#This Row],[STN]],SE_1[STN],SE_1[IdeaEligibility],"w/o disability",0)</f>
        <v>w/o disability</v>
      </c>
      <c r="F342" t="str">
        <f>_xlfn.XLOOKUP(PE_1[[#This Row],[STN]],SE_1[STN],SE_1[Ethnicity],"",0)</f>
        <v/>
      </c>
    </row>
    <row r="343" spans="1:6" ht="13.9">
      <c r="A343" s="5">
        <v>760510137</v>
      </c>
      <c r="B343" s="10">
        <v>38884</v>
      </c>
      <c r="C343" s="19">
        <v>14.460668005110422</v>
      </c>
      <c r="D343" s="3"/>
      <c r="E343" s="3" t="str">
        <f>_xlfn.XLOOKUP(PE_1[[#This Row],[STN]],SE_1[STN],SE_1[IdeaEligibility],"w/o disability",0)</f>
        <v>w/o disability</v>
      </c>
      <c r="F343" t="str">
        <f>_xlfn.XLOOKUP(PE_1[[#This Row],[STN]],SE_1[STN],SE_1[Ethnicity],"",0)</f>
        <v/>
      </c>
    </row>
    <row r="344" spans="1:6" ht="13.9">
      <c r="A344" s="5">
        <v>760509087</v>
      </c>
      <c r="B344" s="10">
        <v>38784</v>
      </c>
      <c r="C344" s="19">
        <v>14.734440591348786</v>
      </c>
      <c r="D344" s="3"/>
      <c r="E344" s="3" t="str">
        <f>_xlfn.XLOOKUP(PE_1[[#This Row],[STN]],SE_1[STN],SE_1[IdeaEligibility],"w/o disability",0)</f>
        <v>w/o disability</v>
      </c>
      <c r="F344" t="str">
        <f>_xlfn.XLOOKUP(PE_1[[#This Row],[STN]],SE_1[STN],SE_1[Ethnicity],"",0)</f>
        <v/>
      </c>
    </row>
    <row r="345" spans="1:6" ht="13.9">
      <c r="A345" s="5">
        <v>760510118</v>
      </c>
      <c r="B345" s="10">
        <v>38267</v>
      </c>
      <c r="C345" s="19">
        <v>16.148631239935586</v>
      </c>
      <c r="D345" s="3"/>
      <c r="E345" s="3" t="str">
        <f>_xlfn.XLOOKUP(PE_1[[#This Row],[STN]],SE_1[STN],SE_1[IdeaEligibility],"w/o disability",0)</f>
        <v>w/o disability</v>
      </c>
      <c r="F345" t="str">
        <f>_xlfn.XLOOKUP(PE_1[[#This Row],[STN]],SE_1[STN],SE_1[Ethnicity],"",0)</f>
        <v/>
      </c>
    </row>
    <row r="346" spans="1:6" ht="13.9">
      <c r="A346" s="5">
        <v>757709078</v>
      </c>
      <c r="B346" s="10">
        <v>38746</v>
      </c>
      <c r="C346" s="19">
        <v>14.838474174119366</v>
      </c>
      <c r="D346" s="3"/>
      <c r="E346" s="3" t="str">
        <f>_xlfn.XLOOKUP(PE_1[[#This Row],[STN]],SE_1[STN],SE_1[IdeaEligibility],"w/o disability",0)</f>
        <v>w/o disability</v>
      </c>
      <c r="F346" t="str">
        <f>_xlfn.XLOOKUP(PE_1[[#This Row],[STN]],SE_1[STN],SE_1[Ethnicity],"",0)</f>
        <v/>
      </c>
    </row>
    <row r="347" spans="1:6" ht="13.9">
      <c r="A347" s="5">
        <v>757709104</v>
      </c>
      <c r="B347" s="10">
        <v>38620</v>
      </c>
      <c r="C347" s="19">
        <v>15.184120465434633</v>
      </c>
      <c r="D347" s="3"/>
      <c r="E347" s="3" t="str">
        <f>_xlfn.XLOOKUP(PE_1[[#This Row],[STN]],SE_1[STN],SE_1[IdeaEligibility],"w/o disability",0)</f>
        <v>w/o disability</v>
      </c>
      <c r="F347" t="str">
        <f>_xlfn.XLOOKUP(PE_1[[#This Row],[STN]],SE_1[STN],SE_1[Ethnicity],"",0)</f>
        <v/>
      </c>
    </row>
    <row r="348" spans="1:6" ht="13.9">
      <c r="A348" s="5">
        <v>757709066</v>
      </c>
      <c r="B348" s="10">
        <v>38679</v>
      </c>
      <c r="C348" s="19">
        <v>15.02258726899384</v>
      </c>
      <c r="D348" s="3"/>
      <c r="E348" s="3" t="str">
        <f>_xlfn.XLOOKUP(PE_1[[#This Row],[STN]],SE_1[STN],SE_1[IdeaEligibility],"w/o disability",0)</f>
        <v>w/o disability</v>
      </c>
      <c r="F348" t="str">
        <f>_xlfn.XLOOKUP(PE_1[[#This Row],[STN]],SE_1[STN],SE_1[Ethnicity],"",0)</f>
        <v/>
      </c>
    </row>
    <row r="349" spans="1:6" ht="13.9">
      <c r="A349" s="5">
        <v>760510315</v>
      </c>
      <c r="B349" s="10">
        <v>39400</v>
      </c>
      <c r="C349" s="19">
        <v>13.04732107938991</v>
      </c>
      <c r="D349" s="3"/>
      <c r="E349" s="3" t="str">
        <f>_xlfn.XLOOKUP(PE_1[[#This Row],[STN]],SE_1[STN],SE_1[IdeaEligibility],"w/o disability",0)</f>
        <v>w/o disability</v>
      </c>
      <c r="F349" t="str">
        <f>_xlfn.XLOOKUP(PE_1[[#This Row],[STN]],SE_1[STN],SE_1[Ethnicity],"",0)</f>
        <v/>
      </c>
    </row>
    <row r="350" spans="1:6" ht="13.9">
      <c r="A350" s="5">
        <v>757710086</v>
      </c>
      <c r="B350" s="10">
        <v>39196</v>
      </c>
      <c r="C350" s="19">
        <v>13.605788032850997</v>
      </c>
      <c r="D350" s="3"/>
      <c r="E350" s="3" t="str">
        <f>_xlfn.XLOOKUP(PE_1[[#This Row],[STN]],SE_1[STN],SE_1[IdeaEligibility],"w/o disability",0)</f>
        <v>w/o disability</v>
      </c>
      <c r="F350" t="str">
        <f>_xlfn.XLOOKUP(PE_1[[#This Row],[STN]],SE_1[STN],SE_1[Ethnicity],"",0)</f>
        <v/>
      </c>
    </row>
    <row r="351" spans="1:6" ht="13.9">
      <c r="A351" s="5">
        <v>755511005</v>
      </c>
      <c r="B351" s="10">
        <v>38479</v>
      </c>
      <c r="C351" s="19">
        <v>15.570157426420261</v>
      </c>
      <c r="D351" s="3"/>
      <c r="E351" s="3" t="str">
        <f>_xlfn.XLOOKUP(PE_1[[#This Row],[STN]],SE_1[STN],SE_1[IdeaEligibility],"w/o disability",0)</f>
        <v>w/o disability</v>
      </c>
      <c r="F351" t="str">
        <f>_xlfn.XLOOKUP(PE_1[[#This Row],[STN]],SE_1[STN],SE_1[Ethnicity],"",0)</f>
        <v/>
      </c>
    </row>
    <row r="352" spans="1:6" ht="13.9">
      <c r="A352" s="5">
        <v>760511067</v>
      </c>
      <c r="B352" s="10">
        <v>39383</v>
      </c>
      <c r="C352" s="19">
        <v>13.093859992178334</v>
      </c>
      <c r="D352" s="3"/>
      <c r="E352" s="3" t="str">
        <f>_xlfn.XLOOKUP(PE_1[[#This Row],[STN]],SE_1[STN],SE_1[IdeaEligibility],"w/o disability",0)</f>
        <v>w/o disability</v>
      </c>
      <c r="F352" t="str">
        <f>_xlfn.XLOOKUP(PE_1[[#This Row],[STN]],SE_1[STN],SE_1[Ethnicity],"",0)</f>
        <v/>
      </c>
    </row>
    <row r="353" spans="1:6" ht="13.9">
      <c r="A353" s="5">
        <v>750111141</v>
      </c>
      <c r="B353" s="10">
        <v>39015</v>
      </c>
      <c r="C353" s="19">
        <v>14.102025917138164</v>
      </c>
      <c r="D353" s="3"/>
      <c r="E353" s="3" t="str">
        <f>_xlfn.XLOOKUP(PE_1[[#This Row],[STN]],SE_1[STN],SE_1[IdeaEligibility],"w/o disability",0)</f>
        <v>w/o disability</v>
      </c>
      <c r="F353" t="str">
        <f>_xlfn.XLOOKUP(PE_1[[#This Row],[STN]],SE_1[STN],SE_1[Ethnicity],"",0)</f>
        <v/>
      </c>
    </row>
    <row r="354" spans="1:6" ht="13.9">
      <c r="A354" s="5">
        <v>737220012</v>
      </c>
      <c r="B354" s="10">
        <v>39144</v>
      </c>
      <c r="C354" s="19">
        <v>13.748142354321471</v>
      </c>
      <c r="D354" s="3"/>
      <c r="E354" s="3" t="str">
        <f>_xlfn.XLOOKUP(PE_1[[#This Row],[STN]],SE_1[STN],SE_1[IdeaEligibility],"w/o disability",0)</f>
        <v>w/o disability</v>
      </c>
      <c r="F354" t="str">
        <f>_xlfn.XLOOKUP(PE_1[[#This Row],[STN]],SE_1[STN],SE_1[Ethnicity],"",0)</f>
        <v/>
      </c>
    </row>
    <row r="355" spans="1:6" ht="13.9">
      <c r="A355" s="5">
        <v>735320030</v>
      </c>
      <c r="B355" s="10">
        <v>38413</v>
      </c>
      <c r="C355" s="19">
        <v>15.750855578370979</v>
      </c>
      <c r="D355" s="3"/>
      <c r="E355" s="3" t="str">
        <f>_xlfn.XLOOKUP(PE_1[[#This Row],[STN]],SE_1[STN],SE_1[IdeaEligibility],"w/o disability",0)</f>
        <v>w/o disability</v>
      </c>
      <c r="F355" t="str">
        <f>_xlfn.XLOOKUP(PE_1[[#This Row],[STN]],SE_1[STN],SE_1[Ethnicity],"",0)</f>
        <v/>
      </c>
    </row>
    <row r="356" spans="1:6" ht="13.9">
      <c r="A356" s="5">
        <v>737220010</v>
      </c>
      <c r="B356" s="10">
        <v>39452</v>
      </c>
      <c r="C356" s="19">
        <v>12.904190355864392</v>
      </c>
      <c r="D356" s="3"/>
      <c r="E356" s="3" t="str">
        <f>_xlfn.XLOOKUP(PE_1[[#This Row],[STN]],SE_1[STN],SE_1[IdeaEligibility],"w/o disability",0)</f>
        <v>w/o disability</v>
      </c>
      <c r="F356" t="str">
        <f>_xlfn.XLOOKUP(PE_1[[#This Row],[STN]],SE_1[STN],SE_1[Ethnicity],"",0)</f>
        <v/>
      </c>
    </row>
    <row r="357" spans="1:6" ht="13.9">
      <c r="A357" s="5">
        <v>224112014</v>
      </c>
      <c r="B357" s="10">
        <v>39741</v>
      </c>
      <c r="C357" s="19">
        <v>12.113076437144661</v>
      </c>
      <c r="D357" s="3"/>
      <c r="E357" s="3" t="str">
        <f>_xlfn.XLOOKUP(PE_1[[#This Row],[STN]],SE_1[STN],SE_1[IdeaEligibility],"w/o disability",0)</f>
        <v>w/o disability</v>
      </c>
      <c r="F357" t="str">
        <f>_xlfn.XLOOKUP(PE_1[[#This Row],[STN]],SE_1[STN],SE_1[Ethnicity],"",0)</f>
        <v/>
      </c>
    </row>
    <row r="358" spans="1:6" ht="13.9">
      <c r="A358" s="3">
        <v>4109536</v>
      </c>
      <c r="B358" s="10">
        <v>40241</v>
      </c>
      <c r="C358" s="19">
        <v>10.745395719263316</v>
      </c>
      <c r="D358" s="3"/>
      <c r="E358" s="3" t="str">
        <f>_xlfn.XLOOKUP(PE_1[[#This Row],[STN]],SE_1[STN],SE_1[IdeaEligibility],"w/o disability",0)</f>
        <v>w/o disability</v>
      </c>
      <c r="F358" t="str">
        <f>_xlfn.XLOOKUP(PE_1[[#This Row],[STN]],SE_1[STN],SE_1[Ethnicity],"",0)</f>
        <v/>
      </c>
    </row>
    <row r="359" spans="1:6" ht="13.9">
      <c r="A359" s="3">
        <v>4109525</v>
      </c>
      <c r="B359" s="10">
        <v>40001</v>
      </c>
      <c r="C359" s="19">
        <v>11.403148528405202</v>
      </c>
      <c r="D359" s="3"/>
      <c r="E359" s="3" t="str">
        <f>_xlfn.XLOOKUP(PE_1[[#This Row],[STN]],SE_1[STN],SE_1[IdeaEligibility],"w/o disability",0)</f>
        <v>w/o disability</v>
      </c>
      <c r="F359" t="str">
        <f>_xlfn.XLOOKUP(PE_1[[#This Row],[STN]],SE_1[STN],SE_1[Ethnicity],"",0)</f>
        <v/>
      </c>
    </row>
    <row r="360" spans="1:6" ht="13.9">
      <c r="A360" s="3">
        <v>4109791</v>
      </c>
      <c r="B360" s="10">
        <v>39773</v>
      </c>
      <c r="C360" s="19">
        <v>12.025479048220678</v>
      </c>
      <c r="D360" s="3"/>
      <c r="E360" s="3" t="str">
        <f>_xlfn.XLOOKUP(PE_1[[#This Row],[STN]],SE_1[STN],SE_1[IdeaEligibility],"w/o disability",0)</f>
        <v>w/o disability</v>
      </c>
      <c r="F360" t="str">
        <f>_xlfn.XLOOKUP(PE_1[[#This Row],[STN]],SE_1[STN],SE_1[Ethnicity],"",0)</f>
        <v/>
      </c>
    </row>
    <row r="361" spans="1:6" ht="13.9">
      <c r="A361" s="3">
        <v>9214015</v>
      </c>
      <c r="B361" s="10">
        <v>39874</v>
      </c>
      <c r="C361" s="19">
        <v>11.750855578370979</v>
      </c>
      <c r="D361" s="3"/>
      <c r="E361" s="3" t="str">
        <f>_xlfn.XLOOKUP(PE_1[[#This Row],[STN]],SE_1[STN],SE_1[IdeaEligibility],"w/o disability",0)</f>
        <v>w/o disability</v>
      </c>
      <c r="F361" t="str">
        <f>_xlfn.XLOOKUP(PE_1[[#This Row],[STN]],SE_1[STN],SE_1[Ethnicity],"",0)</f>
        <v/>
      </c>
    </row>
    <row r="362" spans="1:6" ht="13.9">
      <c r="A362" s="3">
        <v>4109686</v>
      </c>
      <c r="B362" s="10">
        <v>40570</v>
      </c>
      <c r="C362" s="19">
        <v>9.8439638653161783</v>
      </c>
      <c r="D362" s="3"/>
      <c r="E362" s="3" t="str">
        <f>_xlfn.XLOOKUP(PE_1[[#This Row],[STN]],SE_1[STN],SE_1[IdeaEligibility],"w/o disability",0)</f>
        <v>w/o disability</v>
      </c>
      <c r="F362" t="str">
        <f>_xlfn.XLOOKUP(PE_1[[#This Row],[STN]],SE_1[STN],SE_1[Ethnicity],"",0)</f>
        <v/>
      </c>
    </row>
    <row r="363" spans="1:6" ht="13.9">
      <c r="A363" s="3" t="s">
        <v>368</v>
      </c>
      <c r="B363" s="10">
        <v>39881</v>
      </c>
      <c r="C363" s="19">
        <v>11.731690622861054</v>
      </c>
      <c r="D363" s="3"/>
      <c r="E363" s="3" t="str">
        <f>_xlfn.XLOOKUP(PE_1[[#This Row],[STN]],SE_1[STN],SE_1[IdeaEligibility],"w/o disability",0)</f>
        <v>w/o disability</v>
      </c>
      <c r="F363" t="str">
        <f>_xlfn.XLOOKUP(PE_1[[#This Row],[STN]],SE_1[STN],SE_1[Ethnicity],"",0)</f>
        <v/>
      </c>
    </row>
    <row r="364" spans="1:6" ht="13.9">
      <c r="A364" s="3" t="s">
        <v>369</v>
      </c>
      <c r="B364" s="10">
        <v>39792</v>
      </c>
      <c r="C364" s="19">
        <v>11.973468098547063</v>
      </c>
      <c r="D364" s="3"/>
      <c r="E364" s="3" t="str">
        <f>_xlfn.XLOOKUP(PE_1[[#This Row],[STN]],SE_1[STN],SE_1[IdeaEligibility],"w/o disability",0)</f>
        <v>w/o disability</v>
      </c>
      <c r="F364" t="str">
        <f>_xlfn.XLOOKUP(PE_1[[#This Row],[STN]],SE_1[STN],SE_1[Ethnicity],"",0)</f>
        <v/>
      </c>
    </row>
    <row r="365" spans="1:6" ht="13.9">
      <c r="A365" s="3" t="s">
        <v>370</v>
      </c>
      <c r="B365" s="10">
        <v>39762</v>
      </c>
      <c r="C365" s="19">
        <v>12.055590650663298</v>
      </c>
      <c r="D365" s="3"/>
      <c r="E365" s="3" t="str">
        <f>_xlfn.XLOOKUP(PE_1[[#This Row],[STN]],SE_1[STN],SE_1[IdeaEligibility],"w/o disability",0)</f>
        <v>w/o disability</v>
      </c>
      <c r="F365" t="str">
        <f>_xlfn.XLOOKUP(PE_1[[#This Row],[STN]],SE_1[STN],SE_1[Ethnicity],"",0)</f>
        <v/>
      </c>
    </row>
    <row r="366" spans="1:6" ht="13.9">
      <c r="A366" s="3" t="s">
        <v>371</v>
      </c>
      <c r="B366" s="10">
        <v>39681</v>
      </c>
      <c r="C366" s="19">
        <v>12.277321541377132</v>
      </c>
      <c r="D366" s="3"/>
      <c r="E366" s="3" t="str">
        <f>_xlfn.XLOOKUP(PE_1[[#This Row],[STN]],SE_1[STN],SE_1[IdeaEligibility],"w/o disability",0)</f>
        <v>w/o disability</v>
      </c>
      <c r="F366" t="str">
        <f>_xlfn.XLOOKUP(PE_1[[#This Row],[STN]],SE_1[STN],SE_1[Ethnicity],"",0)</f>
        <v/>
      </c>
    </row>
    <row r="367" spans="1:6" ht="13.9">
      <c r="A367" s="3" t="s">
        <v>372</v>
      </c>
      <c r="B367" s="10">
        <v>39616</v>
      </c>
      <c r="C367" s="19">
        <v>12.455253737628974</v>
      </c>
      <c r="D367" s="3"/>
      <c r="E367" s="3" t="str">
        <f>_xlfn.XLOOKUP(PE_1[[#This Row],[STN]],SE_1[STN],SE_1[IdeaEligibility],"w/o disability",0)</f>
        <v>w/o disability</v>
      </c>
      <c r="F367" t="str">
        <f>_xlfn.XLOOKUP(PE_1[[#This Row],[STN]],SE_1[STN],SE_1[Ethnicity],"",0)</f>
        <v/>
      </c>
    </row>
    <row r="368" spans="1:6" ht="13.9">
      <c r="A368" s="3" t="s">
        <v>373</v>
      </c>
      <c r="B368" s="10">
        <v>39737</v>
      </c>
      <c r="C368" s="19">
        <v>12.124026110760159</v>
      </c>
      <c r="D368" s="3"/>
      <c r="E368" s="3" t="str">
        <f>_xlfn.XLOOKUP(PE_1[[#This Row],[STN]],SE_1[STN],SE_1[IdeaEligibility],"w/o disability",0)</f>
        <v>w/o disability</v>
      </c>
      <c r="F368" t="str">
        <f>_xlfn.XLOOKUP(PE_1[[#This Row],[STN]],SE_1[STN],SE_1[Ethnicity],"",0)</f>
        <v/>
      </c>
    </row>
    <row r="369" spans="1:6" ht="13.9">
      <c r="A369" s="3" t="s">
        <v>374</v>
      </c>
      <c r="B369" s="10">
        <v>39757</v>
      </c>
      <c r="C369" s="19">
        <v>12.069277742682669</v>
      </c>
      <c r="D369" s="3"/>
      <c r="E369" s="3" t="str">
        <f>_xlfn.XLOOKUP(PE_1[[#This Row],[STN]],SE_1[STN],SE_1[IdeaEligibility],"w/o disability",0)</f>
        <v>w/o disability</v>
      </c>
      <c r="F369" t="str">
        <f>_xlfn.XLOOKUP(PE_1[[#This Row],[STN]],SE_1[STN],SE_1[Ethnicity],"",0)</f>
        <v/>
      </c>
    </row>
    <row r="370" spans="1:6" ht="13.9">
      <c r="A370" s="5">
        <v>909815043</v>
      </c>
      <c r="B370" s="10">
        <v>39786</v>
      </c>
      <c r="C370" s="19">
        <v>11.98989260897031</v>
      </c>
      <c r="D370" s="3"/>
      <c r="E370" s="3" t="str">
        <f>_xlfn.XLOOKUP(PE_1[[#This Row],[STN]],SE_1[STN],SE_1[IdeaEligibility],"w/o disability",0)</f>
        <v>w/o disability</v>
      </c>
      <c r="F370" t="str">
        <f>_xlfn.XLOOKUP(PE_1[[#This Row],[STN]],SE_1[STN],SE_1[Ethnicity],"",0)</f>
        <v/>
      </c>
    </row>
    <row r="371" spans="1:6" ht="13.9">
      <c r="A371" s="3" t="s">
        <v>375</v>
      </c>
      <c r="B371" s="10">
        <v>40056</v>
      </c>
      <c r="C371" s="19">
        <v>11.252566735112936</v>
      </c>
      <c r="D371" s="3"/>
      <c r="E371" s="3" t="str">
        <f>_xlfn.XLOOKUP(PE_1[[#This Row],[STN]],SE_1[STN],SE_1[IdeaEligibility],"w/o disability",0)</f>
        <v>w/o disability</v>
      </c>
      <c r="F371" t="str">
        <f>_xlfn.XLOOKUP(PE_1[[#This Row],[STN]],SE_1[STN],SE_1[Ethnicity],"",0)</f>
        <v/>
      </c>
    </row>
    <row r="372" spans="1:6" ht="13.9">
      <c r="A372" s="3" t="s">
        <v>376</v>
      </c>
      <c r="B372" s="10">
        <v>40192</v>
      </c>
      <c r="C372" s="19">
        <v>10.879542060726731</v>
      </c>
      <c r="D372" s="3"/>
      <c r="E372" s="3" t="str">
        <f>_xlfn.XLOOKUP(PE_1[[#This Row],[STN]],SE_1[STN],SE_1[IdeaEligibility],"w/o disability",0)</f>
        <v>w/o disability</v>
      </c>
      <c r="F372" t="str">
        <f>_xlfn.XLOOKUP(PE_1[[#This Row],[STN]],SE_1[STN],SE_1[Ethnicity],"",0)</f>
        <v/>
      </c>
    </row>
    <row r="373" spans="1:6" ht="13.9">
      <c r="A373" s="3" t="s">
        <v>377</v>
      </c>
      <c r="B373" s="10">
        <v>40120</v>
      </c>
      <c r="C373" s="19">
        <v>11.077344284736482</v>
      </c>
      <c r="D373" s="3"/>
      <c r="E373" s="3" t="str">
        <f>_xlfn.XLOOKUP(PE_1[[#This Row],[STN]],SE_1[STN],SE_1[IdeaEligibility],"w/o disability",0)</f>
        <v>w/o disability</v>
      </c>
      <c r="F373" t="str">
        <f>_xlfn.XLOOKUP(PE_1[[#This Row],[STN]],SE_1[STN],SE_1[Ethnicity],"",0)</f>
        <v/>
      </c>
    </row>
    <row r="374" spans="1:6" ht="13.9">
      <c r="A374" s="3" t="s">
        <v>378</v>
      </c>
      <c r="B374" s="10">
        <v>40051</v>
      </c>
      <c r="C374" s="19">
        <v>11.266255989048597</v>
      </c>
      <c r="D374" s="3"/>
      <c r="E374" s="3" t="str">
        <f>_xlfn.XLOOKUP(PE_1[[#This Row],[STN]],SE_1[STN],SE_1[IdeaEligibility],"w/o disability",0)</f>
        <v>w/o disability</v>
      </c>
      <c r="F374" t="str">
        <f>_xlfn.XLOOKUP(PE_1[[#This Row],[STN]],SE_1[STN],SE_1[Ethnicity],"",0)</f>
        <v/>
      </c>
    </row>
    <row r="375" spans="1:6" ht="13.9">
      <c r="A375" s="3" t="s">
        <v>379</v>
      </c>
      <c r="B375" s="10">
        <v>40029</v>
      </c>
      <c r="C375" s="19">
        <v>11.326488706365502</v>
      </c>
      <c r="D375" s="3"/>
      <c r="E375" s="3" t="str">
        <f>_xlfn.XLOOKUP(PE_1[[#This Row],[STN]],SE_1[STN],SE_1[IdeaEligibility],"w/o disability",0)</f>
        <v>w/o disability</v>
      </c>
      <c r="F375" t="str">
        <f>_xlfn.XLOOKUP(PE_1[[#This Row],[STN]],SE_1[STN],SE_1[Ethnicity],"",0)</f>
        <v/>
      </c>
    </row>
    <row r="376" spans="1:6" ht="13.9">
      <c r="A376" s="3" t="s">
        <v>380</v>
      </c>
      <c r="B376" s="10">
        <v>40046</v>
      </c>
      <c r="C376" s="19">
        <v>11.279945242984258</v>
      </c>
      <c r="D376" s="3"/>
      <c r="E376" s="3" t="str">
        <f>_xlfn.XLOOKUP(PE_1[[#This Row],[STN]],SE_1[STN],SE_1[IdeaEligibility],"w/o disability",0)</f>
        <v>w/o disability</v>
      </c>
      <c r="F376" t="str">
        <f>_xlfn.XLOOKUP(PE_1[[#This Row],[STN]],SE_1[STN],SE_1[Ethnicity],"",0)</f>
        <v/>
      </c>
    </row>
    <row r="377" spans="1:6" ht="13.9">
      <c r="A377" s="3" t="s">
        <v>381</v>
      </c>
      <c r="B377" s="10">
        <v>40249</v>
      </c>
      <c r="C377" s="19">
        <v>10.723494275759085</v>
      </c>
      <c r="D377" s="3"/>
      <c r="E377" s="3" t="str">
        <f>_xlfn.XLOOKUP(PE_1[[#This Row],[STN]],SE_1[STN],SE_1[IdeaEligibility],"w/o disability",0)</f>
        <v>w/o disability</v>
      </c>
      <c r="F377" t="str">
        <f>_xlfn.XLOOKUP(PE_1[[#This Row],[STN]],SE_1[STN],SE_1[Ethnicity],"",0)</f>
        <v/>
      </c>
    </row>
    <row r="378" spans="1:6" ht="13.9">
      <c r="A378" s="3" t="s">
        <v>382</v>
      </c>
      <c r="B378" s="10">
        <v>39959</v>
      </c>
      <c r="C378" s="19">
        <v>11.518138261464751</v>
      </c>
      <c r="D378" s="3"/>
      <c r="E378" s="3" t="str">
        <f>_xlfn.XLOOKUP(PE_1[[#This Row],[STN]],SE_1[STN],SE_1[IdeaEligibility],"w/o disability",0)</f>
        <v>w/o disability</v>
      </c>
      <c r="F378" t="str">
        <f>_xlfn.XLOOKUP(PE_1[[#This Row],[STN]],SE_1[STN],SE_1[Ethnicity],"",0)</f>
        <v/>
      </c>
    </row>
    <row r="379" spans="1:6" ht="13.9">
      <c r="A379" s="3" t="s">
        <v>383</v>
      </c>
      <c r="B379" s="10">
        <v>40119</v>
      </c>
      <c r="C379" s="19">
        <v>11.080082135523615</v>
      </c>
      <c r="D379" s="3"/>
      <c r="E379" s="3" t="str">
        <f>_xlfn.XLOOKUP(PE_1[[#This Row],[STN]],SE_1[STN],SE_1[IdeaEligibility],"w/o disability",0)</f>
        <v>w/o disability</v>
      </c>
      <c r="F379" t="str">
        <f>_xlfn.XLOOKUP(PE_1[[#This Row],[STN]],SE_1[STN],SE_1[Ethnicity],"",0)</f>
        <v/>
      </c>
    </row>
    <row r="380" spans="1:6" ht="13.9">
      <c r="A380" s="3" t="s">
        <v>384</v>
      </c>
      <c r="B380" s="10">
        <v>40081</v>
      </c>
      <c r="C380" s="19">
        <v>11.184120465434633</v>
      </c>
      <c r="D380" s="3"/>
      <c r="E380" s="3" t="str">
        <f>_xlfn.XLOOKUP(PE_1[[#This Row],[STN]],SE_1[STN],SE_1[IdeaEligibility],"w/o disability",0)</f>
        <v>w/o disability</v>
      </c>
      <c r="F380" t="str">
        <f>_xlfn.XLOOKUP(PE_1[[#This Row],[STN]],SE_1[STN],SE_1[Ethnicity],"",0)</f>
        <v/>
      </c>
    </row>
    <row r="381" spans="1:6" ht="13.9">
      <c r="A381" s="3" t="s">
        <v>385</v>
      </c>
      <c r="B381" s="10">
        <v>40098</v>
      </c>
      <c r="C381" s="19">
        <v>11.137577002053389</v>
      </c>
      <c r="D381" s="3"/>
      <c r="E381" s="3" t="str">
        <f>_xlfn.XLOOKUP(PE_1[[#This Row],[STN]],SE_1[STN],SE_1[IdeaEligibility],"w/o disability",0)</f>
        <v>w/o disability</v>
      </c>
      <c r="F381" t="str">
        <f>_xlfn.XLOOKUP(PE_1[[#This Row],[STN]],SE_1[STN],SE_1[Ethnicity],"",0)</f>
        <v/>
      </c>
    </row>
    <row r="382" spans="1:6" ht="13.9">
      <c r="A382" s="3" t="s">
        <v>386</v>
      </c>
      <c r="B382" s="10">
        <v>40009</v>
      </c>
      <c r="C382" s="19">
        <v>11.381245722108146</v>
      </c>
      <c r="D382" s="3"/>
      <c r="E382" s="3" t="str">
        <f>_xlfn.XLOOKUP(PE_1[[#This Row],[STN]],SE_1[STN],SE_1[IdeaEligibility],"w/o disability",0)</f>
        <v>w/o disability</v>
      </c>
      <c r="F382" t="str">
        <f>_xlfn.XLOOKUP(PE_1[[#This Row],[STN]],SE_1[STN],SE_1[Ethnicity],"",0)</f>
        <v/>
      </c>
    </row>
    <row r="383" spans="1:6" ht="13.9">
      <c r="A383" s="3" t="s">
        <v>387</v>
      </c>
      <c r="B383" s="10">
        <v>40246</v>
      </c>
      <c r="C383" s="19">
        <v>10.731707317073171</v>
      </c>
      <c r="D383" s="3"/>
      <c r="E383" s="3" t="str">
        <f>_xlfn.XLOOKUP(PE_1[[#This Row],[STN]],SE_1[STN],SE_1[IdeaEligibility],"w/o disability",0)</f>
        <v>w/o disability</v>
      </c>
      <c r="F383" t="str">
        <f>_xlfn.XLOOKUP(PE_1[[#This Row],[STN]],SE_1[STN],SE_1[Ethnicity],"",0)</f>
        <v/>
      </c>
    </row>
    <row r="384" spans="1:6" ht="13.9">
      <c r="A384" s="3" t="s">
        <v>388</v>
      </c>
      <c r="B384" s="10">
        <v>40177</v>
      </c>
      <c r="C384" s="19">
        <v>10.921286789869953</v>
      </c>
      <c r="D384" s="3"/>
      <c r="E384" s="3" t="str">
        <f>_xlfn.XLOOKUP(PE_1[[#This Row],[STN]],SE_1[STN],SE_1[IdeaEligibility],"w/o disability",0)</f>
        <v>w/o disability</v>
      </c>
      <c r="F384" t="str">
        <f>_xlfn.XLOOKUP(PE_1[[#This Row],[STN]],SE_1[STN],SE_1[Ethnicity],"",0)</f>
        <v/>
      </c>
    </row>
    <row r="385" spans="1:6" ht="13.9">
      <c r="A385" s="3" t="s">
        <v>389</v>
      </c>
      <c r="B385" s="10">
        <v>40904</v>
      </c>
      <c r="C385" s="19">
        <v>8.929646865589925</v>
      </c>
      <c r="D385" s="3"/>
      <c r="E385" s="3" t="str">
        <f>_xlfn.XLOOKUP(PE_1[[#This Row],[STN]],SE_1[STN],SE_1[IdeaEligibility],"w/o disability",0)</f>
        <v>w/o disability</v>
      </c>
      <c r="F385" t="str">
        <f>_xlfn.XLOOKUP(PE_1[[#This Row],[STN]],SE_1[STN],SE_1[Ethnicity],"",0)</f>
        <v/>
      </c>
    </row>
    <row r="386" spans="1:6" ht="13.9">
      <c r="A386" s="3" t="s">
        <v>390</v>
      </c>
      <c r="B386" s="10">
        <v>40756</v>
      </c>
      <c r="C386" s="19">
        <v>9.334793320558445</v>
      </c>
      <c r="D386" s="3"/>
      <c r="E386" s="3" t="str">
        <f>_xlfn.XLOOKUP(PE_1[[#This Row],[STN]],SE_1[STN],SE_1[IdeaEligibility],"w/o disability",0)</f>
        <v>w/o disability</v>
      </c>
      <c r="F386" t="str">
        <f>_xlfn.XLOOKUP(PE_1[[#This Row],[STN]],SE_1[STN],SE_1[Ethnicity],"",0)</f>
        <v/>
      </c>
    </row>
    <row r="387" spans="1:6" ht="13.9">
      <c r="A387" s="3" t="s">
        <v>391</v>
      </c>
      <c r="B387" s="10">
        <v>41015</v>
      </c>
      <c r="C387" s="19">
        <v>8.625</v>
      </c>
      <c r="D387" s="3"/>
      <c r="E387" s="3" t="str">
        <f>_xlfn.XLOOKUP(PE_1[[#This Row],[STN]],SE_1[STN],SE_1[IdeaEligibility],"w/o disability",0)</f>
        <v>w/o disability</v>
      </c>
      <c r="F387" t="str">
        <f>_xlfn.XLOOKUP(PE_1[[#This Row],[STN]],SE_1[STN],SE_1[Ethnicity],"",0)</f>
        <v/>
      </c>
    </row>
    <row r="388" spans="1:6" ht="13.9">
      <c r="A388" s="3" t="s">
        <v>392</v>
      </c>
      <c r="B388" s="10">
        <v>40408</v>
      </c>
      <c r="C388" s="19">
        <v>10.288203086112494</v>
      </c>
      <c r="D388" s="3"/>
      <c r="E388" s="3" t="str">
        <f>_xlfn.XLOOKUP(PE_1[[#This Row],[STN]],SE_1[STN],SE_1[IdeaEligibility],"w/o disability",0)</f>
        <v>w/o disability</v>
      </c>
      <c r="F388" t="str">
        <f>_xlfn.XLOOKUP(PE_1[[#This Row],[STN]],SE_1[STN],SE_1[Ethnicity],"",0)</f>
        <v/>
      </c>
    </row>
    <row r="389" spans="1:6" ht="13.9">
      <c r="A389" s="3" t="s">
        <v>393</v>
      </c>
      <c r="B389" s="10">
        <v>40298</v>
      </c>
      <c r="C389" s="19">
        <v>10.58934793429567</v>
      </c>
      <c r="D389" s="3"/>
      <c r="E389" s="3" t="str">
        <f>_xlfn.XLOOKUP(PE_1[[#This Row],[STN]],SE_1[STN],SE_1[IdeaEligibility],"w/o disability",0)</f>
        <v>w/o disability</v>
      </c>
      <c r="F389" t="str">
        <f>_xlfn.XLOOKUP(PE_1[[#This Row],[STN]],SE_1[STN],SE_1[Ethnicity],"",0)</f>
        <v/>
      </c>
    </row>
    <row r="390" spans="1:6" ht="13.9">
      <c r="A390" s="3" t="s">
        <v>394</v>
      </c>
      <c r="B390" s="10">
        <v>40702</v>
      </c>
      <c r="C390" s="19">
        <v>9.4826170271010124</v>
      </c>
      <c r="D390" s="3"/>
      <c r="E390" s="3" t="str">
        <f>_xlfn.XLOOKUP(PE_1[[#This Row],[STN]],SE_1[STN],SE_1[IdeaEligibility],"w/o disability",0)</f>
        <v>w/o disability</v>
      </c>
      <c r="F390" t="str">
        <f>_xlfn.XLOOKUP(PE_1[[#This Row],[STN]],SE_1[STN],SE_1[Ethnicity],"",0)</f>
        <v/>
      </c>
    </row>
    <row r="391" spans="1:6" ht="13.9">
      <c r="A391" s="3" t="s">
        <v>395</v>
      </c>
      <c r="B391" s="10">
        <v>40480</v>
      </c>
      <c r="C391" s="19">
        <v>10.091090094574415</v>
      </c>
      <c r="D391" s="3"/>
      <c r="E391" s="3" t="str">
        <f>_xlfn.XLOOKUP(PE_1[[#This Row],[STN]],SE_1[STN],SE_1[IdeaEligibility],"w/o disability",0)</f>
        <v>w/o disability</v>
      </c>
      <c r="F391" t="str">
        <f>_xlfn.XLOOKUP(PE_1[[#This Row],[STN]],SE_1[STN],SE_1[Ethnicity],"",0)</f>
        <v/>
      </c>
    </row>
    <row r="392" spans="1:6" ht="13.9">
      <c r="A392" s="3" t="s">
        <v>396</v>
      </c>
      <c r="B392" s="10">
        <v>41012</v>
      </c>
      <c r="C392" s="19">
        <v>8.6332116788321169</v>
      </c>
      <c r="D392" s="3"/>
      <c r="E392" s="3" t="str">
        <f>_xlfn.XLOOKUP(PE_1[[#This Row],[STN]],SE_1[STN],SE_1[IdeaEligibility],"w/o disability",0)</f>
        <v>w/o disability</v>
      </c>
      <c r="F392" t="str">
        <f>_xlfn.XLOOKUP(PE_1[[#This Row],[STN]],SE_1[STN],SE_1[Ethnicity],"",0)</f>
        <v/>
      </c>
    </row>
    <row r="393" spans="1:6" ht="13.9">
      <c r="A393" s="3" t="s">
        <v>397</v>
      </c>
      <c r="B393" s="10">
        <v>40732</v>
      </c>
      <c r="C393" s="19">
        <v>9.4004927456884744</v>
      </c>
      <c r="D393" s="3"/>
      <c r="E393" s="3" t="str">
        <f>_xlfn.XLOOKUP(PE_1[[#This Row],[STN]],SE_1[STN],SE_1[IdeaEligibility],"w/o disability",0)</f>
        <v>w/o disability</v>
      </c>
      <c r="F393" t="str">
        <f>_xlfn.XLOOKUP(PE_1[[#This Row],[STN]],SE_1[STN],SE_1[Ethnicity],"",0)</f>
        <v/>
      </c>
    </row>
    <row r="394" spans="1:6" ht="13.9">
      <c r="A394" s="3" t="s">
        <v>398</v>
      </c>
      <c r="B394" s="10">
        <v>40740</v>
      </c>
      <c r="C394" s="19">
        <v>9.3785929373117991</v>
      </c>
      <c r="D394" s="3"/>
      <c r="E394" s="3" t="str">
        <f>_xlfn.XLOOKUP(PE_1[[#This Row],[STN]],SE_1[STN],SE_1[IdeaEligibility],"w/o disability",0)</f>
        <v>w/o disability</v>
      </c>
      <c r="F394" t="str">
        <f>_xlfn.XLOOKUP(PE_1[[#This Row],[STN]],SE_1[STN],SE_1[Ethnicity],"",0)</f>
        <v/>
      </c>
    </row>
    <row r="395" spans="1:6" ht="13.9">
      <c r="A395" s="3" t="s">
        <v>399</v>
      </c>
      <c r="B395" s="10">
        <v>40387</v>
      </c>
      <c r="C395" s="19">
        <v>10.345694375311101</v>
      </c>
      <c r="D395" s="3"/>
      <c r="E395" s="3" t="str">
        <f>_xlfn.XLOOKUP(PE_1[[#This Row],[STN]],SE_1[STN],SE_1[IdeaEligibility],"w/o disability",0)</f>
        <v>w/o disability</v>
      </c>
      <c r="F395" t="str">
        <f>_xlfn.XLOOKUP(PE_1[[#This Row],[STN]],SE_1[STN],SE_1[Ethnicity],"",0)</f>
        <v/>
      </c>
    </row>
    <row r="396" spans="1:6" ht="13.9">
      <c r="A396" s="3" t="s">
        <v>400</v>
      </c>
      <c r="B396" s="10">
        <v>40442</v>
      </c>
      <c r="C396" s="19">
        <v>10.195121951219512</v>
      </c>
      <c r="D396" s="3"/>
      <c r="E396" s="3" t="str">
        <f>_xlfn.XLOOKUP(PE_1[[#This Row],[STN]],SE_1[STN],SE_1[IdeaEligibility],"w/o disability",0)</f>
        <v>w/o disability</v>
      </c>
      <c r="F396" t="str">
        <f>_xlfn.XLOOKUP(PE_1[[#This Row],[STN]],SE_1[STN],SE_1[Ethnicity],"",0)</f>
        <v/>
      </c>
    </row>
    <row r="397" spans="1:6" ht="13.9">
      <c r="A397" s="3" t="s">
        <v>401</v>
      </c>
      <c r="B397" s="10">
        <v>40518</v>
      </c>
      <c r="C397" s="19">
        <v>9.9870582379293182</v>
      </c>
      <c r="D397" s="3"/>
      <c r="E397" s="3" t="str">
        <f>_xlfn.XLOOKUP(PE_1[[#This Row],[STN]],SE_1[STN],SE_1[IdeaEligibility],"w/o disability",0)</f>
        <v>w/o disability</v>
      </c>
      <c r="F397" t="str">
        <f>_xlfn.XLOOKUP(PE_1[[#This Row],[STN]],SE_1[STN],SE_1[Ethnicity],"",0)</f>
        <v/>
      </c>
    </row>
    <row r="398" spans="1:6" ht="13.9">
      <c r="A398" s="3" t="s">
        <v>402</v>
      </c>
      <c r="B398" s="10">
        <v>40374</v>
      </c>
      <c r="C398" s="19">
        <v>10.381284221005476</v>
      </c>
      <c r="D398" s="3"/>
      <c r="E398" s="3" t="str">
        <f>_xlfn.XLOOKUP(PE_1[[#This Row],[STN]],SE_1[STN],SE_1[IdeaEligibility],"w/o disability",0)</f>
        <v>w/o disability</v>
      </c>
      <c r="F398" t="str">
        <f>_xlfn.XLOOKUP(PE_1[[#This Row],[STN]],SE_1[STN],SE_1[Ethnicity],"",0)</f>
        <v/>
      </c>
    </row>
    <row r="399" spans="1:6" ht="13.9">
      <c r="A399" s="3" t="s">
        <v>403</v>
      </c>
      <c r="B399" s="10">
        <v>40920</v>
      </c>
      <c r="C399" s="19">
        <v>8.8850364963503647</v>
      </c>
      <c r="D399" s="3"/>
      <c r="E399" s="3" t="str">
        <f>_xlfn.XLOOKUP(PE_1[[#This Row],[STN]],SE_1[STN],SE_1[IdeaEligibility],"w/o disability",0)</f>
        <v>w/o disability</v>
      </c>
      <c r="F399" t="str">
        <f>_xlfn.XLOOKUP(PE_1[[#This Row],[STN]],SE_1[STN],SE_1[Ethnicity],"",0)</f>
        <v/>
      </c>
    </row>
    <row r="400" spans="1:6" ht="13.9">
      <c r="A400" s="3" t="s">
        <v>404</v>
      </c>
      <c r="B400" s="10">
        <v>40885</v>
      </c>
      <c r="C400" s="19">
        <v>8.9816589104845335</v>
      </c>
      <c r="D400" s="3"/>
      <c r="E400" s="3" t="str">
        <f>_xlfn.XLOOKUP(PE_1[[#This Row],[STN]],SE_1[STN],SE_1[IdeaEligibility],"w/o disability",0)</f>
        <v>w/o disability</v>
      </c>
      <c r="F400" t="str">
        <f>_xlfn.XLOOKUP(PE_1[[#This Row],[STN]],SE_1[STN],SE_1[Ethnicity],"",0)</f>
        <v/>
      </c>
    </row>
    <row r="401" spans="1:6" ht="13.9">
      <c r="A401" s="3" t="s">
        <v>405</v>
      </c>
      <c r="B401" s="10">
        <v>41082</v>
      </c>
      <c r="C401" s="19">
        <v>8.4416058394160594</v>
      </c>
      <c r="D401" s="3"/>
      <c r="E401" s="3" t="str">
        <f>_xlfn.XLOOKUP(PE_1[[#This Row],[STN]],SE_1[STN],SE_1[IdeaEligibility],"w/o disability",0)</f>
        <v>w/o disability</v>
      </c>
      <c r="F401" t="str">
        <f>_xlfn.XLOOKUP(PE_1[[#This Row],[STN]],SE_1[STN],SE_1[Ethnicity],"",0)</f>
        <v/>
      </c>
    </row>
    <row r="402" spans="1:6" ht="13.9">
      <c r="A402" s="3" t="s">
        <v>406</v>
      </c>
      <c r="B402" s="10">
        <v>40977</v>
      </c>
      <c r="C402" s="19">
        <v>8.7290145985401466</v>
      </c>
      <c r="D402" s="3"/>
      <c r="E402" s="3" t="str">
        <f>_xlfn.XLOOKUP(PE_1[[#This Row],[STN]],SE_1[STN],SE_1[IdeaEligibility],"w/o disability",0)</f>
        <v>w/o disability</v>
      </c>
      <c r="F402" t="str">
        <f>_xlfn.XLOOKUP(PE_1[[#This Row],[STN]],SE_1[STN],SE_1[Ethnicity],"",0)</f>
        <v/>
      </c>
    </row>
    <row r="403" spans="1:6" ht="13.9">
      <c r="A403" s="3" t="s">
        <v>407</v>
      </c>
      <c r="B403" s="10">
        <v>40448</v>
      </c>
      <c r="C403" s="19">
        <v>10.178695868591339</v>
      </c>
      <c r="D403" s="3"/>
      <c r="E403" s="3" t="str">
        <f>_xlfn.XLOOKUP(PE_1[[#This Row],[STN]],SE_1[STN],SE_1[IdeaEligibility],"w/o disability",0)</f>
        <v>w/o disability</v>
      </c>
      <c r="F403" t="str">
        <f>_xlfn.XLOOKUP(PE_1[[#This Row],[STN]],SE_1[STN],SE_1[Ethnicity],"",0)</f>
        <v/>
      </c>
    </row>
    <row r="404" spans="1:6" ht="13.9">
      <c r="A404" s="3" t="s">
        <v>408</v>
      </c>
      <c r="B404" s="10">
        <v>40459</v>
      </c>
      <c r="C404" s="19">
        <v>10.148581383773022</v>
      </c>
      <c r="D404" s="3"/>
      <c r="E404" s="3" t="str">
        <f>_xlfn.XLOOKUP(PE_1[[#This Row],[STN]],SE_1[STN],SE_1[IdeaEligibility],"w/o disability",0)</f>
        <v>w/o disability</v>
      </c>
      <c r="F404" t="str">
        <f>_xlfn.XLOOKUP(PE_1[[#This Row],[STN]],SE_1[STN],SE_1[Ethnicity],"",0)</f>
        <v/>
      </c>
    </row>
    <row r="405" spans="1:6" ht="13.9">
      <c r="A405" s="3" t="s">
        <v>409</v>
      </c>
      <c r="B405" s="10">
        <v>40532</v>
      </c>
      <c r="C405" s="19">
        <v>9.9487307117969142</v>
      </c>
      <c r="D405" s="3"/>
      <c r="E405" s="3" t="str">
        <f>_xlfn.XLOOKUP(PE_1[[#This Row],[STN]],SE_1[STN],SE_1[IdeaEligibility],"w/o disability",0)</f>
        <v>w/o disability</v>
      </c>
      <c r="F405" t="str">
        <f>_xlfn.XLOOKUP(PE_1[[#This Row],[STN]],SE_1[STN],SE_1[Ethnicity],"",0)</f>
        <v/>
      </c>
    </row>
    <row r="406" spans="1:6" ht="13.9">
      <c r="A406" s="3" t="s">
        <v>410</v>
      </c>
      <c r="B406" s="10">
        <v>40287</v>
      </c>
      <c r="C406" s="19">
        <v>10.619462419113988</v>
      </c>
      <c r="D406" s="3"/>
      <c r="E406" s="3" t="str">
        <f>_xlfn.XLOOKUP(PE_1[[#This Row],[STN]],SE_1[STN],SE_1[IdeaEligibility],"w/o disability",0)</f>
        <v>w/o disability</v>
      </c>
      <c r="F406" t="str">
        <f>_xlfn.XLOOKUP(PE_1[[#This Row],[STN]],SE_1[STN],SE_1[Ethnicity],"",0)</f>
        <v/>
      </c>
    </row>
    <row r="407" spans="1:6" ht="13.9">
      <c r="A407" s="3" t="s">
        <v>411</v>
      </c>
      <c r="B407" s="10">
        <v>40599</v>
      </c>
      <c r="C407" s="19">
        <v>9.7645770599507244</v>
      </c>
      <c r="D407" s="3"/>
      <c r="E407" s="3" t="str">
        <f>_xlfn.XLOOKUP(PE_1[[#This Row],[STN]],SE_1[STN],SE_1[IdeaEligibility],"w/o disability",0)</f>
        <v>w/o disability</v>
      </c>
      <c r="F407" t="str">
        <f>_xlfn.XLOOKUP(PE_1[[#This Row],[STN]],SE_1[STN],SE_1[Ethnicity],"",0)</f>
        <v/>
      </c>
    </row>
    <row r="408" spans="1:6" ht="13.9">
      <c r="A408" s="3" t="s">
        <v>412</v>
      </c>
      <c r="B408" s="10">
        <v>41052</v>
      </c>
      <c r="C408" s="19">
        <v>8.5237226277372269</v>
      </c>
      <c r="D408" s="3"/>
      <c r="E408" s="3" t="str">
        <f>_xlfn.XLOOKUP(PE_1[[#This Row],[STN]],SE_1[STN],SE_1[IdeaEligibility],"w/o disability",0)</f>
        <v>w/o disability</v>
      </c>
      <c r="F408" t="str">
        <f>_xlfn.XLOOKUP(PE_1[[#This Row],[STN]],SE_1[STN],SE_1[Ethnicity],"",0)</f>
        <v/>
      </c>
    </row>
    <row r="409" spans="1:6" ht="13.9">
      <c r="A409" s="3" t="s">
        <v>413</v>
      </c>
      <c r="B409" s="10">
        <v>40485</v>
      </c>
      <c r="C409" s="19">
        <v>10.077401692384271</v>
      </c>
      <c r="D409" s="3"/>
      <c r="E409" s="3" t="str">
        <f>_xlfn.XLOOKUP(PE_1[[#This Row],[STN]],SE_1[STN],SE_1[IdeaEligibility],"w/o disability",0)</f>
        <v>w/o disability</v>
      </c>
      <c r="F409" t="str">
        <f>_xlfn.XLOOKUP(PE_1[[#This Row],[STN]],SE_1[STN],SE_1[Ethnicity],"",0)</f>
        <v/>
      </c>
    </row>
    <row r="410" spans="1:6" ht="13.9">
      <c r="A410" s="3">
        <v>31817319</v>
      </c>
      <c r="B410" s="10">
        <v>42294</v>
      </c>
      <c r="C410" s="19">
        <v>5.1240875912408761</v>
      </c>
      <c r="D410" s="3"/>
      <c r="E410" s="3" t="str">
        <f>_xlfn.XLOOKUP(PE_1[[#This Row],[STN]],SE_1[STN],SE_1[IdeaEligibility],"w/o disability",0)</f>
        <v>w/o disability</v>
      </c>
      <c r="F410" t="str">
        <f>_xlfn.XLOOKUP(PE_1[[#This Row],[STN]],SE_1[STN],SE_1[Ethnicity],"",0)</f>
        <v/>
      </c>
    </row>
    <row r="411" spans="1:6" ht="13.9">
      <c r="A411" s="5">
        <v>132918070</v>
      </c>
      <c r="B411" s="10">
        <v>40839</v>
      </c>
      <c r="C411" s="19">
        <v>9.1075828086504238</v>
      </c>
      <c r="D411" s="3"/>
      <c r="E411" s="3" t="str">
        <f>_xlfn.XLOOKUP(PE_1[[#This Row],[STN]],SE_1[STN],SE_1[IdeaEligibility],"w/o disability",0)</f>
        <v>w/o disability</v>
      </c>
      <c r="F411" t="str">
        <f>_xlfn.XLOOKUP(PE_1[[#This Row],[STN]],SE_1[STN],SE_1[Ethnicity],"",0)</f>
        <v/>
      </c>
    </row>
    <row r="412" spans="1:6" ht="13.9">
      <c r="A412" s="3" t="s">
        <v>414</v>
      </c>
      <c r="B412" s="10">
        <v>42523</v>
      </c>
      <c r="C412" s="19">
        <v>4.496442255062945</v>
      </c>
      <c r="D412" s="3"/>
      <c r="E412" s="3" t="str">
        <f>_xlfn.XLOOKUP(PE_1[[#This Row],[STN]],SE_1[STN],SE_1[IdeaEligibility],"w/o disability",0)</f>
        <v>w/o disability</v>
      </c>
      <c r="F412" t="str">
        <f>_xlfn.XLOOKUP(PE_1[[#This Row],[STN]],SE_1[STN],SE_1[Ethnicity],"",0)</f>
        <v/>
      </c>
    </row>
    <row r="413" spans="1:6" ht="13.9">
      <c r="A413" s="3" t="s">
        <v>415</v>
      </c>
      <c r="B413" s="10">
        <v>43147</v>
      </c>
      <c r="C413" s="19">
        <v>2.789233576642336</v>
      </c>
      <c r="D413" s="3"/>
      <c r="E413" s="3" t="str">
        <f>_xlfn.XLOOKUP(PE_1[[#This Row],[STN]],SE_1[STN],SE_1[IdeaEligibility],"w/o disability",0)</f>
        <v>w/o disability</v>
      </c>
      <c r="F413" t="str">
        <f>_xlfn.XLOOKUP(PE_1[[#This Row],[STN]],SE_1[STN],SE_1[Ethnicity],"",0)</f>
        <v/>
      </c>
    </row>
    <row r="414" spans="1:6" ht="13.9">
      <c r="A414" s="3" t="s">
        <v>416</v>
      </c>
      <c r="B414" s="10">
        <v>42513</v>
      </c>
      <c r="C414" s="19">
        <v>4.5238095238095237</v>
      </c>
      <c r="D414" s="3"/>
      <c r="E414" s="3" t="str">
        <f>_xlfn.XLOOKUP(PE_1[[#This Row],[STN]],SE_1[STN],SE_1[IdeaEligibility],"w/o disability",0)</f>
        <v>w/o disability</v>
      </c>
      <c r="F414" t="str">
        <f>_xlfn.XLOOKUP(PE_1[[#This Row],[STN]],SE_1[STN],SE_1[Ethnicity],"",0)</f>
        <v/>
      </c>
    </row>
    <row r="415" spans="1:6" ht="13.9">
      <c r="A415" s="3" t="s">
        <v>417</v>
      </c>
      <c r="B415" s="10">
        <v>43172</v>
      </c>
      <c r="C415" s="19">
        <v>2.7208029197080292</v>
      </c>
      <c r="D415" s="3"/>
      <c r="E415" s="3" t="str">
        <f>_xlfn.XLOOKUP(PE_1[[#This Row],[STN]],SE_1[STN],SE_1[IdeaEligibility],"w/o disability",0)</f>
        <v>w/o disability</v>
      </c>
      <c r="F415" t="str">
        <f>_xlfn.XLOOKUP(PE_1[[#This Row],[STN]],SE_1[STN],SE_1[Ethnicity],"",0)</f>
        <v/>
      </c>
    </row>
    <row r="416" spans="1:6" ht="13.9">
      <c r="A416" s="3" t="s">
        <v>418</v>
      </c>
      <c r="B416" s="10">
        <v>42503</v>
      </c>
      <c r="C416" s="19">
        <v>4.5511767925561033</v>
      </c>
      <c r="D416" s="3"/>
      <c r="E416" s="3" t="str">
        <f>_xlfn.XLOOKUP(PE_1[[#This Row],[STN]],SE_1[STN],SE_1[IdeaEligibility],"w/o disability",0)</f>
        <v>w/o disability</v>
      </c>
      <c r="F416" t="str">
        <f>_xlfn.XLOOKUP(PE_1[[#This Row],[STN]],SE_1[STN],SE_1[Ethnicity],"",0)</f>
        <v/>
      </c>
    </row>
    <row r="417" spans="1:6" ht="13.9">
      <c r="A417" s="3" t="s">
        <v>419</v>
      </c>
      <c r="B417" s="10">
        <v>43161</v>
      </c>
      <c r="C417" s="19">
        <v>2.7509124087591244</v>
      </c>
      <c r="D417" s="3"/>
      <c r="E417" s="3" t="str">
        <f>_xlfn.XLOOKUP(PE_1[[#This Row],[STN]],SE_1[STN],SE_1[IdeaEligibility],"w/o disability",0)</f>
        <v>w/o disability</v>
      </c>
      <c r="F417" t="str">
        <f>_xlfn.XLOOKUP(PE_1[[#This Row],[STN]],SE_1[STN],SE_1[Ethnicity],"",0)</f>
        <v/>
      </c>
    </row>
    <row r="418" spans="1:6" ht="13.9">
      <c r="A418" s="3" t="s">
        <v>420</v>
      </c>
      <c r="B418" s="10">
        <v>42846</v>
      </c>
      <c r="C418" s="19">
        <v>3.6139630390143735</v>
      </c>
      <c r="D418" s="3"/>
      <c r="E418" s="3" t="str">
        <f>_xlfn.XLOOKUP(PE_1[[#This Row],[STN]],SE_1[STN],SE_1[IdeaEligibility],"w/o disability",0)</f>
        <v>w/o disability</v>
      </c>
      <c r="F418" t="str">
        <f>_xlfn.XLOOKUP(PE_1[[#This Row],[STN]],SE_1[STN],SE_1[Ethnicity],"",0)</f>
        <v/>
      </c>
    </row>
    <row r="419" spans="1:6" ht="13.9">
      <c r="A419" s="3" t="s">
        <v>421</v>
      </c>
      <c r="B419" s="10">
        <v>43276</v>
      </c>
      <c r="C419" s="19">
        <v>2.4361313868613141</v>
      </c>
      <c r="D419" s="3"/>
      <c r="E419" s="3" t="str">
        <f>_xlfn.XLOOKUP(PE_1[[#This Row],[STN]],SE_1[STN],SE_1[IdeaEligibility],"w/o disability",0)</f>
        <v>w/o disability</v>
      </c>
      <c r="F419" t="str">
        <f>_xlfn.XLOOKUP(PE_1[[#This Row],[STN]],SE_1[STN],SE_1[Ethnicity],"",0)</f>
        <v/>
      </c>
    </row>
    <row r="420" spans="1:6" ht="13.9">
      <c r="A420" s="3" t="s">
        <v>422</v>
      </c>
      <c r="B420" s="10">
        <v>42619</v>
      </c>
      <c r="C420" s="19">
        <v>4.2337164750957861</v>
      </c>
      <c r="D420" s="3"/>
      <c r="E420" s="3" t="str">
        <f>_xlfn.XLOOKUP(PE_1[[#This Row],[STN]],SE_1[STN],SE_1[IdeaEligibility],"w/o disability",0)</f>
        <v>w/o disability</v>
      </c>
      <c r="F420" t="str">
        <f>_xlfn.XLOOKUP(PE_1[[#This Row],[STN]],SE_1[STN],SE_1[Ethnicity],"",0)</f>
        <v/>
      </c>
    </row>
    <row r="421" spans="1:6" ht="13.9">
      <c r="A421" s="3" t="s">
        <v>423</v>
      </c>
      <c r="B421" s="10">
        <v>42629</v>
      </c>
      <c r="C421" s="19">
        <v>4.2063492063492065</v>
      </c>
      <c r="D421" s="3"/>
      <c r="E421" s="3" t="str">
        <f>_xlfn.XLOOKUP(PE_1[[#This Row],[STN]],SE_1[STN],SE_1[IdeaEligibility],"w/o disability",0)</f>
        <v>w/o disability</v>
      </c>
      <c r="F421" t="str">
        <f>_xlfn.XLOOKUP(PE_1[[#This Row],[STN]],SE_1[STN],SE_1[Ethnicity],"",0)</f>
        <v/>
      </c>
    </row>
    <row r="422" spans="1:6" ht="13.9">
      <c r="A422" s="3" t="s">
        <v>424</v>
      </c>
      <c r="B422" s="10">
        <v>42709</v>
      </c>
      <c r="C422" s="19">
        <v>3.9874110563765739</v>
      </c>
      <c r="D422" s="3"/>
      <c r="E422" s="3" t="str">
        <f>_xlfn.XLOOKUP(PE_1[[#This Row],[STN]],SE_1[STN],SE_1[IdeaEligibility],"w/o disability",0)</f>
        <v>w/o disability</v>
      </c>
      <c r="F422" t="str">
        <f>_xlfn.XLOOKUP(PE_1[[#This Row],[STN]],SE_1[STN],SE_1[Ethnicity],"",0)</f>
        <v/>
      </c>
    </row>
    <row r="423" spans="1:6" ht="13.9">
      <c r="A423" s="3" t="s">
        <v>425</v>
      </c>
      <c r="B423" s="10">
        <v>43192</v>
      </c>
      <c r="C423" s="19">
        <v>2.6660583941605842</v>
      </c>
      <c r="D423" s="3"/>
      <c r="E423" s="3" t="str">
        <f>_xlfn.XLOOKUP(PE_1[[#This Row],[STN]],SE_1[STN],SE_1[IdeaEligibility],"w/o disability",0)</f>
        <v>w/o disability</v>
      </c>
      <c r="F423" t="str">
        <f>_xlfn.XLOOKUP(PE_1[[#This Row],[STN]],SE_1[STN],SE_1[Ethnicity],"",0)</f>
        <v/>
      </c>
    </row>
    <row r="424" spans="1:6" ht="13.9">
      <c r="A424" s="3" t="s">
        <v>426</v>
      </c>
      <c r="B424" s="10">
        <v>43173</v>
      </c>
      <c r="C424" s="19">
        <v>2.7180656934306571</v>
      </c>
      <c r="D424" s="3"/>
      <c r="E424" s="3" t="str">
        <f>_xlfn.XLOOKUP(PE_1[[#This Row],[STN]],SE_1[STN],SE_1[IdeaEligibility],"w/o disability",0)</f>
        <v>w/o disability</v>
      </c>
      <c r="F424" t="str">
        <f>_xlfn.XLOOKUP(PE_1[[#This Row],[STN]],SE_1[STN],SE_1[Ethnicity],"",0)</f>
        <v/>
      </c>
    </row>
    <row r="425" spans="1:6" ht="13.9">
      <c r="A425" s="3" t="s">
        <v>427</v>
      </c>
      <c r="B425" s="10">
        <v>42638</v>
      </c>
      <c r="C425" s="19">
        <v>4.1817186644772857</v>
      </c>
      <c r="D425" s="3"/>
      <c r="E425" s="3" t="str">
        <f>_xlfn.XLOOKUP(PE_1[[#This Row],[STN]],SE_1[STN],SE_1[IdeaEligibility],"w/o disability",0)</f>
        <v>w/o disability</v>
      </c>
      <c r="F425" t="str">
        <f>_xlfn.XLOOKUP(PE_1[[#This Row],[STN]],SE_1[STN],SE_1[Ethnicity],"",0)</f>
        <v/>
      </c>
    </row>
    <row r="426" spans="1:6" ht="13.9">
      <c r="A426" s="3" t="s">
        <v>428</v>
      </c>
      <c r="B426" s="10">
        <v>42223</v>
      </c>
      <c r="C426" s="19">
        <v>5.3184306569343072</v>
      </c>
      <c r="D426" s="3"/>
      <c r="E426" s="3" t="str">
        <f>_xlfn.XLOOKUP(PE_1[[#This Row],[STN]],SE_1[STN],SE_1[IdeaEligibility],"w/o disability",0)</f>
        <v>w/o disability</v>
      </c>
      <c r="F426" t="str">
        <f>_xlfn.XLOOKUP(PE_1[[#This Row],[STN]],SE_1[STN],SE_1[Ethnicity],"",0)</f>
        <v/>
      </c>
    </row>
    <row r="427" spans="1:6" ht="13.9">
      <c r="A427" s="3" t="s">
        <v>429</v>
      </c>
      <c r="B427" s="10">
        <v>43282</v>
      </c>
      <c r="C427" s="19">
        <v>2.4197080291970803</v>
      </c>
      <c r="D427" s="3"/>
      <c r="E427" s="3" t="str">
        <f>_xlfn.XLOOKUP(PE_1[[#This Row],[STN]],SE_1[STN],SE_1[IdeaEligibility],"w/o disability",0)</f>
        <v>w/o disability</v>
      </c>
      <c r="F427" t="str">
        <f>_xlfn.XLOOKUP(PE_1[[#This Row],[STN]],SE_1[STN],SE_1[Ethnicity],"",0)</f>
        <v/>
      </c>
    </row>
    <row r="428" spans="1:6" ht="13.9">
      <c r="A428" s="3" t="s">
        <v>430</v>
      </c>
      <c r="B428" s="10">
        <v>42909</v>
      </c>
      <c r="C428" s="19">
        <v>3.4414784394250515</v>
      </c>
      <c r="D428" s="3"/>
      <c r="E428" s="3" t="str">
        <f>_xlfn.XLOOKUP(PE_1[[#This Row],[STN]],SE_1[STN],SE_1[IdeaEligibility],"w/o disability",0)</f>
        <v>w/o disability</v>
      </c>
      <c r="F428" t="str">
        <f>_xlfn.XLOOKUP(PE_1[[#This Row],[STN]],SE_1[STN],SE_1[Ethnicity],"",0)</f>
        <v/>
      </c>
    </row>
    <row r="429" spans="1:6" ht="13.9">
      <c r="A429" s="3" t="s">
        <v>431</v>
      </c>
      <c r="B429" s="10">
        <v>42284</v>
      </c>
      <c r="C429" s="19">
        <v>5.1514598540145986</v>
      </c>
      <c r="D429" s="3"/>
      <c r="E429" s="3" t="str">
        <f>_xlfn.XLOOKUP(PE_1[[#This Row],[STN]],SE_1[STN],SE_1[IdeaEligibility],"w/o disability",0)</f>
        <v>w/o disability</v>
      </c>
      <c r="F429" t="str">
        <f>_xlfn.XLOOKUP(PE_1[[#This Row],[STN]],SE_1[STN],SE_1[Ethnicity],"",0)</f>
        <v/>
      </c>
    </row>
    <row r="430" spans="1:6" ht="13.9">
      <c r="A430" s="3" t="s">
        <v>432</v>
      </c>
      <c r="B430" s="10">
        <v>43056</v>
      </c>
      <c r="C430" s="19">
        <v>3.0390143737166326</v>
      </c>
      <c r="D430" s="3"/>
      <c r="E430" s="3" t="str">
        <f>_xlfn.XLOOKUP(PE_1[[#This Row],[STN]],SE_1[STN],SE_1[IdeaEligibility],"w/o disability",0)</f>
        <v>w/o disability</v>
      </c>
      <c r="F430" t="str">
        <f>_xlfn.XLOOKUP(PE_1[[#This Row],[STN]],SE_1[STN],SE_1[Ethnicity],"",0)</f>
        <v/>
      </c>
    </row>
    <row r="431" spans="1:6" ht="13.9">
      <c r="A431" s="3" t="s">
        <v>433</v>
      </c>
      <c r="B431" s="10">
        <v>42957</v>
      </c>
      <c r="C431" s="19">
        <v>3.3100616016427105</v>
      </c>
      <c r="D431" s="3"/>
      <c r="E431" s="3" t="str">
        <f>_xlfn.XLOOKUP(PE_1[[#This Row],[STN]],SE_1[STN],SE_1[IdeaEligibility],"w/o disability",0)</f>
        <v>w/o disability</v>
      </c>
      <c r="F431" t="str">
        <f>_xlfn.XLOOKUP(PE_1[[#This Row],[STN]],SE_1[STN],SE_1[Ethnicity],"",0)</f>
        <v/>
      </c>
    </row>
    <row r="432" spans="1:6" ht="13.9">
      <c r="A432" s="3" t="s">
        <v>434</v>
      </c>
      <c r="B432" s="10">
        <v>43102</v>
      </c>
      <c r="C432" s="19">
        <v>2.9124087591240877</v>
      </c>
      <c r="D432" s="3"/>
      <c r="E432" s="3" t="str">
        <f>_xlfn.XLOOKUP(PE_1[[#This Row],[STN]],SE_1[STN],SE_1[IdeaEligibility],"w/o disability",0)</f>
        <v>w/o disability</v>
      </c>
      <c r="F432" t="str">
        <f>_xlfn.XLOOKUP(PE_1[[#This Row],[STN]],SE_1[STN],SE_1[Ethnicity],"",0)</f>
        <v/>
      </c>
    </row>
    <row r="433" spans="1:6" ht="13.9">
      <c r="A433" s="3" t="s">
        <v>435</v>
      </c>
      <c r="B433" s="10">
        <v>41376</v>
      </c>
      <c r="C433" s="19">
        <v>7.6386036960985626</v>
      </c>
      <c r="D433" s="3"/>
      <c r="E433" s="3" t="str">
        <f>_xlfn.XLOOKUP(PE_1[[#This Row],[STN]],SE_1[STN],SE_1[IdeaEligibility],"w/o disability",0)</f>
        <v>w/o disability</v>
      </c>
      <c r="F433" t="str">
        <f>_xlfn.XLOOKUP(PE_1[[#This Row],[STN]],SE_1[STN],SE_1[Ethnicity],"",0)</f>
        <v/>
      </c>
    </row>
    <row r="434" spans="1:6" ht="13.9">
      <c r="A434" s="3" t="s">
        <v>436</v>
      </c>
      <c r="B434" s="10">
        <v>41358</v>
      </c>
      <c r="C434" s="19">
        <v>7.6878850102669407</v>
      </c>
      <c r="D434" s="3"/>
      <c r="E434" s="3" t="str">
        <f>_xlfn.XLOOKUP(PE_1[[#This Row],[STN]],SE_1[STN],SE_1[IdeaEligibility],"w/o disability",0)</f>
        <v>w/o disability</v>
      </c>
      <c r="F434" t="str">
        <f>_xlfn.XLOOKUP(PE_1[[#This Row],[STN]],SE_1[STN],SE_1[Ethnicity],"",0)</f>
        <v/>
      </c>
    </row>
    <row r="435" spans="1:6" ht="13.9">
      <c r="A435" s="3" t="s">
        <v>437</v>
      </c>
      <c r="B435" s="10">
        <v>41097</v>
      </c>
      <c r="C435" s="19">
        <v>8.4005474452554747</v>
      </c>
      <c r="D435" s="3"/>
      <c r="E435" s="3" t="str">
        <f>_xlfn.XLOOKUP(PE_1[[#This Row],[STN]],SE_1[STN],SE_1[IdeaEligibility],"w/o disability",0)</f>
        <v>w/o disability</v>
      </c>
      <c r="F435" t="str">
        <f>_xlfn.XLOOKUP(PE_1[[#This Row],[STN]],SE_1[STN],SE_1[Ethnicity],"",0)</f>
        <v/>
      </c>
    </row>
    <row r="436" spans="1:6" ht="13.9">
      <c r="A436" s="3" t="s">
        <v>438</v>
      </c>
      <c r="B436" s="10">
        <v>41257</v>
      </c>
      <c r="C436" s="19">
        <v>7.9625912408759127</v>
      </c>
      <c r="D436" s="3"/>
      <c r="E436" s="3" t="str">
        <f>_xlfn.XLOOKUP(PE_1[[#This Row],[STN]],SE_1[STN],SE_1[IdeaEligibility],"w/o disability",0)</f>
        <v>w/o disability</v>
      </c>
      <c r="F436" t="str">
        <f>_xlfn.XLOOKUP(PE_1[[#This Row],[STN]],SE_1[STN],SE_1[Ethnicity],"",0)</f>
        <v/>
      </c>
    </row>
    <row r="437" spans="1:6" ht="13.9">
      <c r="A437" s="3" t="s">
        <v>439</v>
      </c>
      <c r="B437" s="10">
        <v>41279</v>
      </c>
      <c r="C437" s="19">
        <v>7.9041752224503767</v>
      </c>
      <c r="D437" s="3"/>
      <c r="E437" s="3" t="str">
        <f>_xlfn.XLOOKUP(PE_1[[#This Row],[STN]],SE_1[STN],SE_1[IdeaEligibility],"w/o disability",0)</f>
        <v>w/o disability</v>
      </c>
      <c r="F437" t="str">
        <f>_xlfn.XLOOKUP(PE_1[[#This Row],[STN]],SE_1[STN],SE_1[Ethnicity],"",0)</f>
        <v/>
      </c>
    </row>
    <row r="438" spans="1:6" ht="13.9">
      <c r="A438" s="3" t="s">
        <v>440</v>
      </c>
      <c r="B438" s="10">
        <v>40938</v>
      </c>
      <c r="C438" s="19">
        <v>8.8357664233576649</v>
      </c>
      <c r="D438" s="3"/>
      <c r="E438" s="3" t="str">
        <f>_xlfn.XLOOKUP(PE_1[[#This Row],[STN]],SE_1[STN],SE_1[IdeaEligibility],"w/o disability",0)</f>
        <v>w/o disability</v>
      </c>
      <c r="F438" t="str">
        <f>_xlfn.XLOOKUP(PE_1[[#This Row],[STN]],SE_1[STN],SE_1[Ethnicity],"",0)</f>
        <v/>
      </c>
    </row>
    <row r="439" spans="1:6" ht="13.9">
      <c r="A439" s="3" t="s">
        <v>441</v>
      </c>
      <c r="B439" s="10">
        <v>41234</v>
      </c>
      <c r="C439" s="19">
        <v>8.0255474452554747</v>
      </c>
      <c r="D439" s="3"/>
      <c r="E439" s="3" t="str">
        <f>_xlfn.XLOOKUP(PE_1[[#This Row],[STN]],SE_1[STN],SE_1[IdeaEligibility],"w/o disability",0)</f>
        <v>w/o disability</v>
      </c>
      <c r="F439" t="str">
        <f>_xlfn.XLOOKUP(PE_1[[#This Row],[STN]],SE_1[STN],SE_1[Ethnicity],"",0)</f>
        <v/>
      </c>
    </row>
    <row r="440" spans="1:6" ht="13.9">
      <c r="A440" s="3" t="s">
        <v>442</v>
      </c>
      <c r="B440" s="10">
        <v>41383</v>
      </c>
      <c r="C440" s="19">
        <v>7.6194387405886381</v>
      </c>
      <c r="D440" s="3"/>
      <c r="E440" s="3" t="str">
        <f>_xlfn.XLOOKUP(PE_1[[#This Row],[STN]],SE_1[STN],SE_1[IdeaEligibility],"w/o disability",0)</f>
        <v>w/o disability</v>
      </c>
      <c r="F440" t="str">
        <f>_xlfn.XLOOKUP(PE_1[[#This Row],[STN]],SE_1[STN],SE_1[Ethnicity],"",0)</f>
        <v/>
      </c>
    </row>
    <row r="441" spans="1:6" ht="13.9">
      <c r="A441" s="3" t="s">
        <v>443</v>
      </c>
      <c r="B441" s="10">
        <v>41168</v>
      </c>
      <c r="C441" s="19">
        <v>8.2062043795620436</v>
      </c>
      <c r="D441" s="3"/>
      <c r="E441" s="3" t="str">
        <f>_xlfn.XLOOKUP(PE_1[[#This Row],[STN]],SE_1[STN],SE_1[IdeaEligibility],"w/o disability",0)</f>
        <v>w/o disability</v>
      </c>
      <c r="F441" t="str">
        <f>_xlfn.XLOOKUP(PE_1[[#This Row],[STN]],SE_1[STN],SE_1[Ethnicity],"",0)</f>
        <v/>
      </c>
    </row>
    <row r="442" spans="1:6" ht="13.9">
      <c r="A442" s="3" t="s">
        <v>444</v>
      </c>
      <c r="B442" s="10">
        <v>41128</v>
      </c>
      <c r="C442" s="19">
        <v>8.3156934306569354</v>
      </c>
      <c r="D442" s="3"/>
      <c r="E442" s="3" t="str">
        <f>_xlfn.XLOOKUP(PE_1[[#This Row],[STN]],SE_1[STN],SE_1[IdeaEligibility],"w/o disability",0)</f>
        <v>w/o disability</v>
      </c>
      <c r="F442" t="str">
        <f>_xlfn.XLOOKUP(PE_1[[#This Row],[STN]],SE_1[STN],SE_1[Ethnicity],"",0)</f>
        <v/>
      </c>
    </row>
    <row r="443" spans="1:6" ht="13.9">
      <c r="A443" s="3" t="s">
        <v>445</v>
      </c>
      <c r="B443" s="10">
        <v>41176</v>
      </c>
      <c r="C443" s="19">
        <v>8.1843065693430663</v>
      </c>
      <c r="D443" s="3"/>
      <c r="E443" s="3" t="str">
        <f>_xlfn.XLOOKUP(PE_1[[#This Row],[STN]],SE_1[STN],SE_1[IdeaEligibility],"w/o disability",0)</f>
        <v>w/o disability</v>
      </c>
      <c r="F443" t="str">
        <f>_xlfn.XLOOKUP(PE_1[[#This Row],[STN]],SE_1[STN],SE_1[Ethnicity],"",0)</f>
        <v/>
      </c>
    </row>
    <row r="444" spans="1:6" ht="13.9">
      <c r="A444" s="3" t="s">
        <v>446</v>
      </c>
      <c r="B444" s="10">
        <v>41402</v>
      </c>
      <c r="C444" s="19">
        <v>7.5674195756331279</v>
      </c>
      <c r="D444" s="3"/>
      <c r="E444" s="3" t="str">
        <f>_xlfn.XLOOKUP(PE_1[[#This Row],[STN]],SE_1[STN],SE_1[IdeaEligibility],"w/o disability",0)</f>
        <v>w/o disability</v>
      </c>
      <c r="F444" t="str">
        <f>_xlfn.XLOOKUP(PE_1[[#This Row],[STN]],SE_1[STN],SE_1[Ethnicity],"",0)</f>
        <v/>
      </c>
    </row>
    <row r="445" spans="1:6" ht="13.9">
      <c r="A445" s="3" t="s">
        <v>447</v>
      </c>
      <c r="B445" s="10">
        <v>41403</v>
      </c>
      <c r="C445" s="19">
        <v>7.5646817248459959</v>
      </c>
      <c r="D445" s="3"/>
      <c r="E445" s="3" t="str">
        <f>_xlfn.XLOOKUP(PE_1[[#This Row],[STN]],SE_1[STN],SE_1[IdeaEligibility],"w/o disability",0)</f>
        <v>w/o disability</v>
      </c>
      <c r="F445" t="str">
        <f>_xlfn.XLOOKUP(PE_1[[#This Row],[STN]],SE_1[STN],SE_1[Ethnicity],"",0)</f>
        <v/>
      </c>
    </row>
    <row r="446" spans="1:6" ht="13.9">
      <c r="A446" s="3" t="s">
        <v>448</v>
      </c>
      <c r="B446" s="10">
        <v>41233</v>
      </c>
      <c r="C446" s="19">
        <v>8.0282846715328464</v>
      </c>
      <c r="D446" s="3"/>
      <c r="E446" s="3" t="str">
        <f>_xlfn.XLOOKUP(PE_1[[#This Row],[STN]],SE_1[STN],SE_1[IdeaEligibility],"w/o disability",0)</f>
        <v>w/o disability</v>
      </c>
      <c r="F446" t="str">
        <f>_xlfn.XLOOKUP(PE_1[[#This Row],[STN]],SE_1[STN],SE_1[Ethnicity],"",0)</f>
        <v/>
      </c>
    </row>
    <row r="447" spans="1:6" ht="13.9">
      <c r="A447" s="3" t="s">
        <v>449</v>
      </c>
      <c r="B447" s="10">
        <v>41535</v>
      </c>
      <c r="C447" s="19">
        <v>7.2032854209445585</v>
      </c>
      <c r="D447" s="3"/>
      <c r="E447" s="3" t="str">
        <f>_xlfn.XLOOKUP(PE_1[[#This Row],[STN]],SE_1[STN],SE_1[IdeaEligibility],"w/o disability",0)</f>
        <v>w/o disability</v>
      </c>
      <c r="F447" t="str">
        <f>_xlfn.XLOOKUP(PE_1[[#This Row],[STN]],SE_1[STN],SE_1[Ethnicity],"",0)</f>
        <v/>
      </c>
    </row>
    <row r="448" spans="1:6" ht="13.9">
      <c r="A448" s="3" t="s">
        <v>450</v>
      </c>
      <c r="B448" s="10">
        <v>41562</v>
      </c>
      <c r="C448" s="19">
        <v>7.1293634496919918</v>
      </c>
      <c r="D448" s="3"/>
      <c r="E448" s="3" t="str">
        <f>_xlfn.XLOOKUP(PE_1[[#This Row],[STN]],SE_1[STN],SE_1[IdeaEligibility],"w/o disability",0)</f>
        <v>w/o disability</v>
      </c>
      <c r="F448" t="str">
        <f>_xlfn.XLOOKUP(PE_1[[#This Row],[STN]],SE_1[STN],SE_1[Ethnicity],"",0)</f>
        <v/>
      </c>
    </row>
    <row r="449" spans="1:6" ht="13.9">
      <c r="A449" s="3" t="s">
        <v>451</v>
      </c>
      <c r="B449" s="10">
        <v>41122</v>
      </c>
      <c r="C449" s="19">
        <v>8.3321167883211675</v>
      </c>
      <c r="D449" s="3"/>
      <c r="E449" s="3" t="str">
        <f>_xlfn.XLOOKUP(PE_1[[#This Row],[STN]],SE_1[STN],SE_1[IdeaEligibility],"w/o disability",0)</f>
        <v>w/o disability</v>
      </c>
      <c r="F449" t="str">
        <f>_xlfn.XLOOKUP(PE_1[[#This Row],[STN]],SE_1[STN],SE_1[Ethnicity],"",0)</f>
        <v/>
      </c>
    </row>
    <row r="450" spans="1:6" ht="13.9">
      <c r="A450" s="3" t="s">
        <v>452</v>
      </c>
      <c r="B450" s="10">
        <v>41346</v>
      </c>
      <c r="C450" s="19">
        <v>7.7207392197125255</v>
      </c>
      <c r="D450" s="3"/>
      <c r="E450" s="3" t="str">
        <f>_xlfn.XLOOKUP(PE_1[[#This Row],[STN]],SE_1[STN],SE_1[IdeaEligibility],"w/o disability",0)</f>
        <v>w/o disability</v>
      </c>
      <c r="F450" t="str">
        <f>_xlfn.XLOOKUP(PE_1[[#This Row],[STN]],SE_1[STN],SE_1[Ethnicity],"",0)</f>
        <v/>
      </c>
    </row>
    <row r="451" spans="1:6" ht="13.9">
      <c r="A451" s="3" t="s">
        <v>453</v>
      </c>
      <c r="B451" s="10">
        <v>41409</v>
      </c>
      <c r="C451" s="19">
        <v>7.5482546201232035</v>
      </c>
      <c r="D451" s="3"/>
      <c r="E451" s="3" t="str">
        <f>_xlfn.XLOOKUP(PE_1[[#This Row],[STN]],SE_1[STN],SE_1[IdeaEligibility],"w/o disability",0)</f>
        <v>w/o disability</v>
      </c>
      <c r="F451" t="str">
        <f>_xlfn.XLOOKUP(PE_1[[#This Row],[STN]],SE_1[STN],SE_1[Ethnicity],"",0)</f>
        <v/>
      </c>
    </row>
    <row r="452" spans="1:6" ht="13.9">
      <c r="A452" s="3" t="s">
        <v>454</v>
      </c>
      <c r="B452" s="10">
        <v>41556</v>
      </c>
      <c r="C452" s="19">
        <v>7.1457905544147842</v>
      </c>
      <c r="D452" s="3"/>
      <c r="E452" s="3" t="str">
        <f>_xlfn.XLOOKUP(PE_1[[#This Row],[STN]],SE_1[STN],SE_1[IdeaEligibility],"w/o disability",0)</f>
        <v>w/o disability</v>
      </c>
      <c r="F452" t="str">
        <f>_xlfn.XLOOKUP(PE_1[[#This Row],[STN]],SE_1[STN],SE_1[Ethnicity],"",0)</f>
        <v/>
      </c>
    </row>
    <row r="453" spans="1:6" ht="13.9">
      <c r="A453" s="3" t="s">
        <v>455</v>
      </c>
      <c r="B453" s="10">
        <v>41697</v>
      </c>
      <c r="C453" s="19">
        <v>6.7590926867422763</v>
      </c>
      <c r="D453" s="3"/>
      <c r="E453" s="3" t="str">
        <f>_xlfn.XLOOKUP(PE_1[[#This Row],[STN]],SE_1[STN],SE_1[IdeaEligibility],"w/o disability",0)</f>
        <v>w/o disability</v>
      </c>
      <c r="F453" t="str">
        <f>_xlfn.XLOOKUP(PE_1[[#This Row],[STN]],SE_1[STN],SE_1[Ethnicity],"",0)</f>
        <v/>
      </c>
    </row>
    <row r="454" spans="1:6" ht="13.9">
      <c r="A454" s="3" t="s">
        <v>456</v>
      </c>
      <c r="B454" s="10">
        <v>41731</v>
      </c>
      <c r="C454" s="19">
        <v>6.6660148611654284</v>
      </c>
      <c r="D454" s="3"/>
      <c r="E454" s="3" t="str">
        <f>_xlfn.XLOOKUP(PE_1[[#This Row],[STN]],SE_1[STN],SE_1[IdeaEligibility],"w/o disability",0)</f>
        <v>w/o disability</v>
      </c>
      <c r="F454" t="str">
        <f>_xlfn.XLOOKUP(PE_1[[#This Row],[STN]],SE_1[STN],SE_1[Ethnicity],"",0)</f>
        <v/>
      </c>
    </row>
    <row r="455" spans="1:6" ht="13.9">
      <c r="A455" s="3" t="s">
        <v>457</v>
      </c>
      <c r="B455" s="10">
        <v>41364</v>
      </c>
      <c r="C455" s="19">
        <v>7.6714579055441474</v>
      </c>
      <c r="D455" s="3"/>
      <c r="E455" s="3" t="str">
        <f>_xlfn.XLOOKUP(PE_1[[#This Row],[STN]],SE_1[STN],SE_1[IdeaEligibility],"w/o disability",0)</f>
        <v>w/o disability</v>
      </c>
      <c r="F455" t="str">
        <f>_xlfn.XLOOKUP(PE_1[[#This Row],[STN]],SE_1[STN],SE_1[Ethnicity],"",0)</f>
        <v/>
      </c>
    </row>
    <row r="456" spans="1:6" ht="13.9">
      <c r="A456" s="3" t="s">
        <v>458</v>
      </c>
      <c r="B456" s="10">
        <v>41760</v>
      </c>
      <c r="C456" s="19">
        <v>6.5866249511145876</v>
      </c>
      <c r="D456" s="3"/>
      <c r="E456" s="3" t="str">
        <f>_xlfn.XLOOKUP(PE_1[[#This Row],[STN]],SE_1[STN],SE_1[IdeaEligibility],"w/o disability",0)</f>
        <v>w/o disability</v>
      </c>
      <c r="F456" t="str">
        <f>_xlfn.XLOOKUP(PE_1[[#This Row],[STN]],SE_1[STN],SE_1[Ethnicity],"",0)</f>
        <v/>
      </c>
    </row>
    <row r="457" spans="1:6" ht="13.9">
      <c r="A457" s="3" t="s">
        <v>459</v>
      </c>
      <c r="B457" s="10">
        <v>41812</v>
      </c>
      <c r="C457" s="19">
        <v>6.4442706296441141</v>
      </c>
      <c r="D457" s="3"/>
      <c r="E457" s="3" t="str">
        <f>_xlfn.XLOOKUP(PE_1[[#This Row],[STN]],SE_1[STN],SE_1[IdeaEligibility],"w/o disability",0)</f>
        <v>w/o disability</v>
      </c>
      <c r="F457" t="str">
        <f>_xlfn.XLOOKUP(PE_1[[#This Row],[STN]],SE_1[STN],SE_1[Ethnicity],"",0)</f>
        <v/>
      </c>
    </row>
    <row r="458" spans="1:6" ht="13.9">
      <c r="A458" s="3" t="s">
        <v>460</v>
      </c>
      <c r="B458" s="10">
        <v>41485</v>
      </c>
      <c r="C458" s="19">
        <v>7.3401779603011637</v>
      </c>
      <c r="D458" s="3"/>
      <c r="E458" s="3" t="str">
        <f>_xlfn.XLOOKUP(PE_1[[#This Row],[STN]],SE_1[STN],SE_1[IdeaEligibility],"w/o disability",0)</f>
        <v>w/o disability</v>
      </c>
      <c r="F458" t="str">
        <f>_xlfn.XLOOKUP(PE_1[[#This Row],[STN]],SE_1[STN],SE_1[Ethnicity],"",0)</f>
        <v/>
      </c>
    </row>
    <row r="459" spans="1:6" ht="13.9">
      <c r="A459" s="3" t="s">
        <v>461</v>
      </c>
      <c r="B459" s="10">
        <v>41718</v>
      </c>
      <c r="C459" s="19">
        <v>6.701603441533047</v>
      </c>
      <c r="D459" s="3"/>
      <c r="E459" s="3" t="str">
        <f>_xlfn.XLOOKUP(PE_1[[#This Row],[STN]],SE_1[STN],SE_1[IdeaEligibility],"w/o disability",0)</f>
        <v>w/o disability</v>
      </c>
      <c r="F459" t="str">
        <f>_xlfn.XLOOKUP(PE_1[[#This Row],[STN]],SE_1[STN],SE_1[Ethnicity],"",0)</f>
        <v/>
      </c>
    </row>
    <row r="460" spans="1:6" ht="13.9">
      <c r="A460" s="3" t="s">
        <v>462</v>
      </c>
      <c r="B460" s="10">
        <v>41729</v>
      </c>
      <c r="C460" s="19">
        <v>6.6714900273758309</v>
      </c>
      <c r="D460" s="3"/>
      <c r="E460" s="3" t="str">
        <f>_xlfn.XLOOKUP(PE_1[[#This Row],[STN]],SE_1[STN],SE_1[IdeaEligibility],"w/o disability",0)</f>
        <v>w/o disability</v>
      </c>
      <c r="F460" t="str">
        <f>_xlfn.XLOOKUP(PE_1[[#This Row],[STN]],SE_1[STN],SE_1[Ethnicity],"",0)</f>
        <v/>
      </c>
    </row>
    <row r="461" spans="1:6" ht="13.9">
      <c r="A461" s="3" t="s">
        <v>463</v>
      </c>
      <c r="B461" s="10">
        <v>41414</v>
      </c>
      <c r="C461" s="19">
        <v>7.5345653661875431</v>
      </c>
      <c r="D461" s="3"/>
      <c r="E461" s="3" t="str">
        <f>_xlfn.XLOOKUP(PE_1[[#This Row],[STN]],SE_1[STN],SE_1[IdeaEligibility],"w/o disability",0)</f>
        <v>w/o disability</v>
      </c>
      <c r="F461" t="str">
        <f>_xlfn.XLOOKUP(PE_1[[#This Row],[STN]],SE_1[STN],SE_1[Ethnicity],"",0)</f>
        <v/>
      </c>
    </row>
    <row r="462" spans="1:6" ht="13.9">
      <c r="A462" s="3" t="s">
        <v>464</v>
      </c>
      <c r="B462" s="10">
        <v>41328</v>
      </c>
      <c r="C462" s="19">
        <v>7.7700205338809036</v>
      </c>
      <c r="D462" s="3"/>
      <c r="E462" s="3" t="str">
        <f>_xlfn.XLOOKUP(PE_1[[#This Row],[STN]],SE_1[STN],SE_1[IdeaEligibility],"w/o disability",0)</f>
        <v>w/o disability</v>
      </c>
      <c r="F462" t="str">
        <f>_xlfn.XLOOKUP(PE_1[[#This Row],[STN]],SE_1[STN],SE_1[Ethnicity],"",0)</f>
        <v/>
      </c>
    </row>
    <row r="463" spans="1:6" ht="13.9">
      <c r="A463" s="3" t="s">
        <v>465</v>
      </c>
      <c r="B463" s="10">
        <v>41640</v>
      </c>
      <c r="C463" s="19">
        <v>6.9151349237387567</v>
      </c>
      <c r="D463" s="3"/>
      <c r="E463" s="3" t="str">
        <f>_xlfn.XLOOKUP(PE_1[[#This Row],[STN]],SE_1[STN],SE_1[IdeaEligibility],"w/o disability",0)</f>
        <v>w/o disability</v>
      </c>
      <c r="F463" t="str">
        <f>_xlfn.XLOOKUP(PE_1[[#This Row],[STN]],SE_1[STN],SE_1[Ethnicity],"",0)</f>
        <v/>
      </c>
    </row>
    <row r="464" spans="1:6" ht="13.9">
      <c r="A464" s="3" t="s">
        <v>466</v>
      </c>
      <c r="B464" s="10">
        <v>41554</v>
      </c>
      <c r="C464" s="19">
        <v>7.1512662559890483</v>
      </c>
      <c r="D464" s="3"/>
      <c r="E464" s="3" t="str">
        <f>_xlfn.XLOOKUP(PE_1[[#This Row],[STN]],SE_1[STN],SE_1[IdeaEligibility],"w/o disability",0)</f>
        <v>w/o disability</v>
      </c>
      <c r="F464" t="str">
        <f>_xlfn.XLOOKUP(PE_1[[#This Row],[STN]],SE_1[STN],SE_1[Ethnicity],"",0)</f>
        <v/>
      </c>
    </row>
    <row r="465" spans="1:6" ht="13.9">
      <c r="A465" s="3" t="s">
        <v>467</v>
      </c>
      <c r="B465" s="10">
        <v>41397</v>
      </c>
      <c r="C465" s="19">
        <v>7.5811088295687883</v>
      </c>
      <c r="D465" s="3"/>
      <c r="E465" s="3" t="str">
        <f>_xlfn.XLOOKUP(PE_1[[#This Row],[STN]],SE_1[STN],SE_1[IdeaEligibility],"w/o disability",0)</f>
        <v>w/o disability</v>
      </c>
      <c r="F465" t="str">
        <f>_xlfn.XLOOKUP(PE_1[[#This Row],[STN]],SE_1[STN],SE_1[Ethnicity],"",0)</f>
        <v/>
      </c>
    </row>
    <row r="466" spans="1:6" ht="13.9">
      <c r="A466" s="3" t="s">
        <v>468</v>
      </c>
      <c r="B466" s="10">
        <v>41550</v>
      </c>
      <c r="C466" s="19">
        <v>7.1622176591375766</v>
      </c>
      <c r="D466" s="3"/>
      <c r="E466" s="3" t="str">
        <f>_xlfn.XLOOKUP(PE_1[[#This Row],[STN]],SE_1[STN],SE_1[IdeaEligibility],"w/o disability",0)</f>
        <v>w/o disability</v>
      </c>
      <c r="F466" t="str">
        <f>_xlfn.XLOOKUP(PE_1[[#This Row],[STN]],SE_1[STN],SE_1[Ethnicity],"",0)</f>
        <v/>
      </c>
    </row>
    <row r="467" spans="1:6" ht="13.9">
      <c r="A467" s="3" t="s">
        <v>469</v>
      </c>
      <c r="B467" s="10">
        <v>41116</v>
      </c>
      <c r="C467" s="19">
        <v>8.3485401459854014</v>
      </c>
      <c r="D467" s="3"/>
      <c r="E467" s="3" t="str">
        <f>_xlfn.XLOOKUP(PE_1[[#This Row],[STN]],SE_1[STN],SE_1[IdeaEligibility],"w/o disability",0)</f>
        <v>w/o disability</v>
      </c>
      <c r="F467" t="str">
        <f>_xlfn.XLOOKUP(PE_1[[#This Row],[STN]],SE_1[STN],SE_1[Ethnicity],"",0)</f>
        <v/>
      </c>
    </row>
    <row r="468" spans="1:6" ht="13.9">
      <c r="A468" s="3" t="s">
        <v>470</v>
      </c>
      <c r="B468" s="10">
        <v>41138</v>
      </c>
      <c r="C468" s="19">
        <v>8.2883211678832129</v>
      </c>
      <c r="D468" s="3"/>
      <c r="E468" s="3" t="str">
        <f>_xlfn.XLOOKUP(PE_1[[#This Row],[STN]],SE_1[STN],SE_1[IdeaEligibility],"w/o disability",0)</f>
        <v>w/o disability</v>
      </c>
      <c r="F468" t="str">
        <f>_xlfn.XLOOKUP(PE_1[[#This Row],[STN]],SE_1[STN],SE_1[Ethnicity],"",0)</f>
        <v/>
      </c>
    </row>
    <row r="469" spans="1:6" ht="13.9">
      <c r="A469" s="3">
        <v>31817079</v>
      </c>
      <c r="B469" s="10">
        <v>42164</v>
      </c>
      <c r="C469" s="19">
        <v>5.4799270072992705</v>
      </c>
      <c r="D469" s="3"/>
      <c r="E469" s="3" t="str">
        <f>_xlfn.XLOOKUP(PE_1[[#This Row],[STN]],SE_1[STN],SE_1[IdeaEligibility],"w/o disability",0)</f>
        <v>w/o disability</v>
      </c>
      <c r="F469" t="str">
        <f>_xlfn.XLOOKUP(PE_1[[#This Row],[STN]],SE_1[STN],SE_1[Ethnicity],"",0)</f>
        <v/>
      </c>
    </row>
    <row r="470" spans="1:6" ht="13.9">
      <c r="A470" s="3">
        <v>31817071</v>
      </c>
      <c r="B470" s="10">
        <v>42091</v>
      </c>
      <c r="C470" s="19">
        <v>5.6797445255474459</v>
      </c>
      <c r="D470" s="3"/>
      <c r="E470" s="3" t="str">
        <f>_xlfn.XLOOKUP(PE_1[[#This Row],[STN]],SE_1[STN],SE_1[IdeaEligibility],"w/o disability",0)</f>
        <v>w/o disability</v>
      </c>
      <c r="F470" t="str">
        <f>_xlfn.XLOOKUP(PE_1[[#This Row],[STN]],SE_1[STN],SE_1[Ethnicity],"",0)</f>
        <v/>
      </c>
    </row>
    <row r="471" spans="1:6" ht="13.9">
      <c r="A471" s="3" t="s">
        <v>471</v>
      </c>
      <c r="B471" s="10">
        <v>43188</v>
      </c>
      <c r="C471" s="19">
        <v>2.6770072992700733</v>
      </c>
      <c r="D471" s="3"/>
      <c r="E471" s="3" t="str">
        <f>_xlfn.XLOOKUP(PE_1[[#This Row],[STN]],SE_1[STN],SE_1[IdeaEligibility],"w/o disability",0)</f>
        <v>w/o disability</v>
      </c>
      <c r="F471" t="str">
        <f>_xlfn.XLOOKUP(PE_1[[#This Row],[STN]],SE_1[STN],SE_1[Ethnicity],"",0)</f>
        <v/>
      </c>
    </row>
    <row r="472" spans="1:6" ht="13.9">
      <c r="A472" s="3" t="s">
        <v>472</v>
      </c>
      <c r="B472" s="10">
        <v>41714</v>
      </c>
      <c r="C472" s="19">
        <v>6.7125537739538519</v>
      </c>
      <c r="D472" s="3"/>
      <c r="E472" s="3" t="str">
        <f>_xlfn.XLOOKUP(PE_1[[#This Row],[STN]],SE_1[STN],SE_1[IdeaEligibility],"w/o disability",0)</f>
        <v>w/o disability</v>
      </c>
      <c r="F472" t="str">
        <f>_xlfn.XLOOKUP(PE_1[[#This Row],[STN]],SE_1[STN],SE_1[Ethnicity],"",0)</f>
        <v/>
      </c>
    </row>
    <row r="473" spans="1:6" ht="13.9">
      <c r="A473" s="3">
        <v>3709596</v>
      </c>
      <c r="B473" s="10">
        <v>42341</v>
      </c>
      <c r="C473" s="19">
        <v>4.9954379562043796</v>
      </c>
      <c r="D473" s="3"/>
      <c r="E473" s="3" t="str">
        <f>_xlfn.XLOOKUP(PE_1[[#This Row],[STN]],SE_1[STN],SE_1[IdeaEligibility],"w/o disability",0)</f>
        <v>w/o disability</v>
      </c>
      <c r="F473" t="str">
        <f>_xlfn.XLOOKUP(PE_1[[#This Row],[STN]],SE_1[STN],SE_1[Ethnicity],"",0)</f>
        <v/>
      </c>
    </row>
    <row r="474" spans="1:6" ht="13.9">
      <c r="A474" s="3" t="s">
        <v>473</v>
      </c>
      <c r="B474" s="10">
        <v>43669</v>
      </c>
      <c r="C474" s="19">
        <v>1.3597811217510261</v>
      </c>
      <c r="D474" s="3"/>
      <c r="E474" s="3" t="str">
        <f>_xlfn.XLOOKUP(PE_1[[#This Row],[STN]],SE_1[STN],SE_1[IdeaEligibility],"w/o disability",0)</f>
        <v>w/o disability</v>
      </c>
      <c r="F474" t="str">
        <f>_xlfn.XLOOKUP(PE_1[[#This Row],[STN]],SE_1[STN],SE_1[Ethnicity],"",0)</f>
        <v/>
      </c>
    </row>
    <row r="475" spans="1:6" ht="13.9">
      <c r="A475" s="3" t="s">
        <v>474</v>
      </c>
      <c r="B475" s="10">
        <v>43572</v>
      </c>
      <c r="C475" s="19">
        <v>1.6251709986320109</v>
      </c>
      <c r="D475" s="3"/>
      <c r="E475" s="3" t="str">
        <f>_xlfn.XLOOKUP(PE_1[[#This Row],[STN]],SE_1[STN],SE_1[IdeaEligibility],"w/o disability",0)</f>
        <v>w/o disability</v>
      </c>
      <c r="F475" t="str">
        <f>_xlfn.XLOOKUP(PE_1[[#This Row],[STN]],SE_1[STN],SE_1[Ethnicity],"",0)</f>
        <v/>
      </c>
    </row>
    <row r="476" spans="1:6" ht="13.9">
      <c r="A476" s="3" t="s">
        <v>475</v>
      </c>
      <c r="B476" s="10">
        <v>43549</v>
      </c>
      <c r="C476" s="19">
        <v>1.6880984952120384</v>
      </c>
      <c r="D476" s="3"/>
      <c r="E476" s="3" t="str">
        <f>_xlfn.XLOOKUP(PE_1[[#This Row],[STN]],SE_1[STN],SE_1[IdeaEligibility],"w/o disability",0)</f>
        <v>w/o disability</v>
      </c>
      <c r="F476" t="str">
        <f>_xlfn.XLOOKUP(PE_1[[#This Row],[STN]],SE_1[STN],SE_1[Ethnicity],"",0)</f>
        <v/>
      </c>
    </row>
    <row r="477" spans="1:6" ht="13.9">
      <c r="A477" s="3" t="s">
        <v>476</v>
      </c>
      <c r="B477" s="10">
        <v>42951</v>
      </c>
      <c r="C477" s="19">
        <v>3.3264887063655029</v>
      </c>
      <c r="D477" s="3"/>
      <c r="E477" s="3" t="str">
        <f>_xlfn.XLOOKUP(PE_1[[#This Row],[STN]],SE_1[STN],SE_1[IdeaEligibility],"w/o disability",0)</f>
        <v>w/o disability</v>
      </c>
      <c r="F477" t="str">
        <f>_xlfn.XLOOKUP(PE_1[[#This Row],[STN]],SE_1[STN],SE_1[Ethnicity],"",0)</f>
        <v/>
      </c>
    </row>
    <row r="478" spans="1:6" ht="13.9">
      <c r="A478" s="3" t="s">
        <v>477</v>
      </c>
      <c r="B478" s="10">
        <v>43137</v>
      </c>
      <c r="C478" s="19">
        <v>2.8166058394160585</v>
      </c>
      <c r="D478" s="3"/>
      <c r="E478" s="3" t="str">
        <f>_xlfn.XLOOKUP(PE_1[[#This Row],[STN]],SE_1[STN],SE_1[IdeaEligibility],"w/o disability",0)</f>
        <v>w/o disability</v>
      </c>
      <c r="F478" t="str">
        <f>_xlfn.XLOOKUP(PE_1[[#This Row],[STN]],SE_1[STN],SE_1[Ethnicity],"",0)</f>
        <v/>
      </c>
    </row>
    <row r="479" spans="1:6" ht="13.9">
      <c r="A479" s="3" t="s">
        <v>478</v>
      </c>
      <c r="B479" s="10">
        <v>42991</v>
      </c>
      <c r="C479" s="19">
        <v>3.2169746748802188</v>
      </c>
      <c r="D479" s="3"/>
      <c r="E479" s="3" t="str">
        <f>_xlfn.XLOOKUP(PE_1[[#This Row],[STN]],SE_1[STN],SE_1[IdeaEligibility],"w/o disability",0)</f>
        <v>w/o disability</v>
      </c>
      <c r="F479" t="str">
        <f>_xlfn.XLOOKUP(PE_1[[#This Row],[STN]],SE_1[STN],SE_1[Ethnicity],"",0)</f>
        <v/>
      </c>
    </row>
    <row r="480" spans="1:6" ht="13.9">
      <c r="A480" s="3" t="s">
        <v>479</v>
      </c>
      <c r="B480" s="10">
        <v>43328</v>
      </c>
      <c r="C480" s="19">
        <v>2.2937956204379564</v>
      </c>
      <c r="D480" s="3"/>
      <c r="E480" s="3" t="str">
        <f>_xlfn.XLOOKUP(PE_1[[#This Row],[STN]],SE_1[STN],SE_1[IdeaEligibility],"w/o disability",0)</f>
        <v>w/o disability</v>
      </c>
      <c r="F480" t="str">
        <f>_xlfn.XLOOKUP(PE_1[[#This Row],[STN]],SE_1[STN],SE_1[Ethnicity],"",0)</f>
        <v/>
      </c>
    </row>
    <row r="481" spans="1:6" ht="13.9">
      <c r="A481" s="3" t="s">
        <v>480</v>
      </c>
      <c r="B481" s="10">
        <v>43331</v>
      </c>
      <c r="C481" s="19">
        <v>2.2855839416058394</v>
      </c>
      <c r="D481" s="3"/>
      <c r="E481" s="3" t="str">
        <f>_xlfn.XLOOKUP(PE_1[[#This Row],[STN]],SE_1[STN],SE_1[IdeaEligibility],"w/o disability",0)</f>
        <v>w/o disability</v>
      </c>
      <c r="F481" t="str">
        <f>_xlfn.XLOOKUP(PE_1[[#This Row],[STN]],SE_1[STN],SE_1[Ethnicity],"",0)</f>
        <v/>
      </c>
    </row>
    <row r="482" spans="1:6" ht="13.9">
      <c r="A482" s="5">
        <v>362519044</v>
      </c>
      <c r="B482" s="10">
        <v>41239</v>
      </c>
      <c r="C482" s="19">
        <v>8.0118613138686143</v>
      </c>
      <c r="D482" s="3"/>
      <c r="E482" s="3" t="str">
        <f>_xlfn.XLOOKUP(PE_1[[#This Row],[STN]],SE_1[STN],SE_1[IdeaEligibility],"w/o disability",0)</f>
        <v>w/o disability</v>
      </c>
      <c r="F482" t="str">
        <f>_xlfn.XLOOKUP(PE_1[[#This Row],[STN]],SE_1[STN],SE_1[Ethnicity],"",0)</f>
        <v/>
      </c>
    </row>
    <row r="483" spans="1:6" ht="13.9">
      <c r="A483" s="3" t="s">
        <v>481</v>
      </c>
      <c r="B483" s="10">
        <v>42599</v>
      </c>
      <c r="C483" s="19">
        <v>4.2884510125889435</v>
      </c>
      <c r="D483" s="3"/>
      <c r="E483" s="3" t="str">
        <f>_xlfn.XLOOKUP(PE_1[[#This Row],[STN]],SE_1[STN],SE_1[IdeaEligibility],"w/o disability",0)</f>
        <v>w/o disability</v>
      </c>
      <c r="F483" t="str">
        <f>_xlfn.XLOOKUP(PE_1[[#This Row],[STN]],SE_1[STN],SE_1[Ethnicity],"",0)</f>
        <v/>
      </c>
    </row>
    <row r="484" spans="1:6" ht="13.9">
      <c r="A484" s="3" t="s">
        <v>482</v>
      </c>
      <c r="B484" s="10">
        <v>42696</v>
      </c>
      <c r="C484" s="19">
        <v>4.0229885057471266</v>
      </c>
      <c r="D484" s="3"/>
      <c r="E484" s="3" t="str">
        <f>_xlfn.XLOOKUP(PE_1[[#This Row],[STN]],SE_1[STN],SE_1[IdeaEligibility],"w/o disability",0)</f>
        <v>w/o disability</v>
      </c>
      <c r="F484" t="str">
        <f>_xlfn.XLOOKUP(PE_1[[#This Row],[STN]],SE_1[STN],SE_1[Ethnicity],"",0)</f>
        <v/>
      </c>
    </row>
    <row r="485" spans="1:6" ht="13.9">
      <c r="A485" s="3" t="s">
        <v>483</v>
      </c>
      <c r="B485" s="10">
        <v>42536</v>
      </c>
      <c r="C485" s="19">
        <v>4.4608648056923919</v>
      </c>
      <c r="D485" s="3"/>
      <c r="E485" s="3" t="str">
        <f>_xlfn.XLOOKUP(PE_1[[#This Row],[STN]],SE_1[STN],SE_1[IdeaEligibility],"w/o disability",0)</f>
        <v>w/o disability</v>
      </c>
      <c r="F485" t="str">
        <f>_xlfn.XLOOKUP(PE_1[[#This Row],[STN]],SE_1[STN],SE_1[Ethnicity],"",0)</f>
        <v/>
      </c>
    </row>
    <row r="486" spans="1:6" ht="13.9">
      <c r="A486" s="3" t="s">
        <v>484</v>
      </c>
      <c r="B486" s="10">
        <v>43516</v>
      </c>
      <c r="C486" s="19">
        <v>1.7783857729138166</v>
      </c>
      <c r="D486" s="3"/>
      <c r="E486" s="3" t="str">
        <f>_xlfn.XLOOKUP(PE_1[[#This Row],[STN]],SE_1[STN],SE_1[IdeaEligibility],"w/o disability",0)</f>
        <v>w/o disability</v>
      </c>
      <c r="F486" t="str">
        <f>_xlfn.XLOOKUP(PE_1[[#This Row],[STN]],SE_1[STN],SE_1[Ethnicity],"",0)</f>
        <v/>
      </c>
    </row>
    <row r="487" spans="1:6" ht="13.9">
      <c r="A487" s="3" t="s">
        <v>485</v>
      </c>
      <c r="B487" s="10">
        <v>42917</v>
      </c>
      <c r="C487" s="19">
        <v>3.4195756331279945</v>
      </c>
      <c r="D487" s="3"/>
      <c r="E487" s="3" t="str">
        <f>_xlfn.XLOOKUP(PE_1[[#This Row],[STN]],SE_1[STN],SE_1[IdeaEligibility],"w/o disability",0)</f>
        <v>w/o disability</v>
      </c>
      <c r="F487" t="str">
        <f>_xlfn.XLOOKUP(PE_1[[#This Row],[STN]],SE_1[STN],SE_1[Ethnicity],"",0)</f>
        <v/>
      </c>
    </row>
    <row r="488" spans="1:6" ht="13.9">
      <c r="A488" s="3" t="s">
        <v>486</v>
      </c>
      <c r="B488" s="10">
        <v>43518</v>
      </c>
      <c r="C488" s="19">
        <v>1.7729138166894665</v>
      </c>
      <c r="D488" s="3"/>
      <c r="E488" s="3" t="str">
        <f>_xlfn.XLOOKUP(PE_1[[#This Row],[STN]],SE_1[STN],SE_1[IdeaEligibility],"w/o disability",0)</f>
        <v>w/o disability</v>
      </c>
      <c r="F488" t="str">
        <f>_xlfn.XLOOKUP(PE_1[[#This Row],[STN]],SE_1[STN],SE_1[Ethnicity],"",0)</f>
        <v/>
      </c>
    </row>
    <row r="489" spans="1:6" ht="13.9">
      <c r="A489" s="3" t="s">
        <v>487</v>
      </c>
      <c r="B489" s="10">
        <v>43647</v>
      </c>
      <c r="C489" s="19">
        <v>1.4199726402188781</v>
      </c>
      <c r="D489" s="3"/>
      <c r="E489" s="3" t="str">
        <f>_xlfn.XLOOKUP(PE_1[[#This Row],[STN]],SE_1[STN],SE_1[IdeaEligibility],"w/o disability",0)</f>
        <v>w/o disability</v>
      </c>
      <c r="F489" t="str">
        <f>_xlfn.XLOOKUP(PE_1[[#This Row],[STN]],SE_1[STN],SE_1[Ethnicity],"",0)</f>
        <v/>
      </c>
    </row>
    <row r="490" spans="1:6" ht="13.9">
      <c r="A490" s="3" t="s">
        <v>488</v>
      </c>
      <c r="B490" s="10">
        <v>43637</v>
      </c>
      <c r="C490" s="19">
        <v>1.4473324213406293</v>
      </c>
      <c r="D490" s="3"/>
      <c r="E490" s="3" t="str">
        <f>_xlfn.XLOOKUP(PE_1[[#This Row],[STN]],SE_1[STN],SE_1[IdeaEligibility],"w/o disability",0)</f>
        <v>w/o disability</v>
      </c>
      <c r="F490" t="str">
        <f>_xlfn.XLOOKUP(PE_1[[#This Row],[STN]],SE_1[STN],SE_1[Ethnicity],"",0)</f>
        <v/>
      </c>
    </row>
    <row r="491" spans="1:6" ht="13.9">
      <c r="A491" s="3" t="s">
        <v>489</v>
      </c>
      <c r="B491" s="10">
        <v>43235</v>
      </c>
      <c r="C491" s="19">
        <v>2.5483576642335768</v>
      </c>
      <c r="D491" s="3"/>
      <c r="E491" s="3" t="str">
        <f>_xlfn.XLOOKUP(PE_1[[#This Row],[STN]],SE_1[STN],SE_1[IdeaEligibility],"w/o disability",0)</f>
        <v>w/o disability</v>
      </c>
      <c r="F491" t="str">
        <f>_xlfn.XLOOKUP(PE_1[[#This Row],[STN]],SE_1[STN],SE_1[Ethnicity],"",0)</f>
        <v/>
      </c>
    </row>
    <row r="492" spans="1:6" ht="13.9">
      <c r="A492" s="3" t="s">
        <v>490</v>
      </c>
      <c r="B492" s="10">
        <v>43348</v>
      </c>
      <c r="C492" s="19">
        <v>2.2390510948905109</v>
      </c>
      <c r="D492" s="3"/>
      <c r="E492" s="3" t="str">
        <f>_xlfn.XLOOKUP(PE_1[[#This Row],[STN]],SE_1[STN],SE_1[IdeaEligibility],"w/o disability",0)</f>
        <v>w/o disability</v>
      </c>
      <c r="F492" t="str">
        <f>_xlfn.XLOOKUP(PE_1[[#This Row],[STN]],SE_1[STN],SE_1[Ethnicity],"",0)</f>
        <v/>
      </c>
    </row>
    <row r="493" spans="1:6" ht="13.9">
      <c r="A493" s="3" t="s">
        <v>491</v>
      </c>
      <c r="B493" s="10">
        <v>43673</v>
      </c>
      <c r="C493" s="19">
        <v>1.3488372093023255</v>
      </c>
      <c r="D493" s="3"/>
      <c r="E493" s="3" t="str">
        <f>_xlfn.XLOOKUP(PE_1[[#This Row],[STN]],SE_1[STN],SE_1[IdeaEligibility],"w/o disability",0)</f>
        <v>w/o disability</v>
      </c>
      <c r="F493" t="str">
        <f>_xlfn.XLOOKUP(PE_1[[#This Row],[STN]],SE_1[STN],SE_1[Ethnicity],"",0)</f>
        <v/>
      </c>
    </row>
    <row r="494" spans="1:6" ht="13.9">
      <c r="A494" s="3" t="s">
        <v>492</v>
      </c>
      <c r="B494" s="10">
        <v>43493</v>
      </c>
      <c r="C494" s="19">
        <v>1.8413132694938441</v>
      </c>
      <c r="D494" s="3"/>
      <c r="E494" s="3" t="str">
        <f>_xlfn.XLOOKUP(PE_1[[#This Row],[STN]],SE_1[STN],SE_1[IdeaEligibility],"w/o disability",0)</f>
        <v>w/o disability</v>
      </c>
      <c r="F494" t="str">
        <f>_xlfn.XLOOKUP(PE_1[[#This Row],[STN]],SE_1[STN],SE_1[Ethnicity],"",0)</f>
        <v/>
      </c>
    </row>
    <row r="495" spans="1:6" ht="13.9">
      <c r="A495" s="3" t="s">
        <v>493</v>
      </c>
      <c r="B495" s="10">
        <v>43331</v>
      </c>
      <c r="C495" s="19">
        <v>2.2855839416058394</v>
      </c>
      <c r="D495" s="3"/>
      <c r="E495" s="3" t="str">
        <f>_xlfn.XLOOKUP(PE_1[[#This Row],[STN]],SE_1[STN],SE_1[IdeaEligibility],"w/o disability",0)</f>
        <v>w/o disability</v>
      </c>
      <c r="F495" t="str">
        <f>_xlfn.XLOOKUP(PE_1[[#This Row],[STN]],SE_1[STN],SE_1[Ethnicity],"",0)</f>
        <v/>
      </c>
    </row>
    <row r="496" spans="1:6" ht="13.9">
      <c r="A496" s="3" t="s">
        <v>494</v>
      </c>
      <c r="B496" s="10">
        <v>42125</v>
      </c>
      <c r="C496" s="19">
        <v>5.5866788321167888</v>
      </c>
      <c r="D496" s="3"/>
      <c r="E496" s="3" t="str">
        <f>_xlfn.XLOOKUP(PE_1[[#This Row],[STN]],SE_1[STN],SE_1[IdeaEligibility],"w/o disability",0)</f>
        <v>w/o disability</v>
      </c>
      <c r="F496" t="str">
        <f>_xlfn.XLOOKUP(PE_1[[#This Row],[STN]],SE_1[STN],SE_1[Ethnicity],"",0)</f>
        <v/>
      </c>
    </row>
    <row r="497" spans="1:6" ht="13.9">
      <c r="A497" s="3" t="s">
        <v>495</v>
      </c>
      <c r="B497" s="10">
        <v>41992</v>
      </c>
      <c r="C497" s="19">
        <v>5.9515056707078609</v>
      </c>
      <c r="D497" s="3"/>
      <c r="E497" s="3" t="str">
        <f>_xlfn.XLOOKUP(PE_1[[#This Row],[STN]],SE_1[STN],SE_1[IdeaEligibility],"w/o disability",0)</f>
        <v>w/o disability</v>
      </c>
      <c r="F497" t="str">
        <f>_xlfn.XLOOKUP(PE_1[[#This Row],[STN]],SE_1[STN],SE_1[Ethnicity],"",0)</f>
        <v/>
      </c>
    </row>
    <row r="498" spans="1:6" ht="13.9">
      <c r="A498" s="3" t="s">
        <v>496</v>
      </c>
      <c r="B498" s="10">
        <v>41881</v>
      </c>
      <c r="C498" s="19">
        <v>6.2553773953852172</v>
      </c>
      <c r="D498" s="3"/>
      <c r="E498" s="3" t="str">
        <f>_xlfn.XLOOKUP(PE_1[[#This Row],[STN]],SE_1[STN],SE_1[IdeaEligibility],"w/o disability",0)</f>
        <v>w/o disability</v>
      </c>
      <c r="F498" t="str">
        <f>_xlfn.XLOOKUP(PE_1[[#This Row],[STN]],SE_1[STN],SE_1[Ethnicity],"",0)</f>
        <v/>
      </c>
    </row>
    <row r="499" spans="1:6" ht="13.9">
      <c r="A499" s="3" t="s">
        <v>497</v>
      </c>
      <c r="B499" s="10">
        <v>41630</v>
      </c>
      <c r="C499" s="19">
        <v>6.9431895961670085</v>
      </c>
      <c r="D499" s="3"/>
      <c r="E499" s="3" t="str">
        <f>_xlfn.XLOOKUP(PE_1[[#This Row],[STN]],SE_1[STN],SE_1[IdeaEligibility],"w/o disability",0)</f>
        <v>w/o disability</v>
      </c>
      <c r="F499" t="str">
        <f>_xlfn.XLOOKUP(PE_1[[#This Row],[STN]],SE_1[STN],SE_1[Ethnicity],"",0)</f>
        <v/>
      </c>
    </row>
    <row r="500" spans="1:6" ht="13.9">
      <c r="A500" s="3" t="s">
        <v>498</v>
      </c>
      <c r="B500" s="10">
        <v>41898</v>
      </c>
      <c r="C500" s="19">
        <v>6.2088384825967928</v>
      </c>
      <c r="D500" s="3"/>
      <c r="E500" s="3" t="str">
        <f>_xlfn.XLOOKUP(PE_1[[#This Row],[STN]],SE_1[STN],SE_1[IdeaEligibility],"w/o disability",0)</f>
        <v>w/o disability</v>
      </c>
      <c r="F500" t="str">
        <f>_xlfn.XLOOKUP(PE_1[[#This Row],[STN]],SE_1[STN],SE_1[Ethnicity],"",0)</f>
        <v/>
      </c>
    </row>
    <row r="501" spans="1:6" ht="13.9">
      <c r="A501" s="3" t="s">
        <v>499</v>
      </c>
      <c r="B501" s="10">
        <v>42065</v>
      </c>
      <c r="C501" s="19">
        <v>5.7509124087591248</v>
      </c>
      <c r="D501" s="3"/>
      <c r="E501" s="3" t="str">
        <f>_xlfn.XLOOKUP(PE_1[[#This Row],[STN]],SE_1[STN],SE_1[IdeaEligibility],"w/o disability",0)</f>
        <v>w/o disability</v>
      </c>
      <c r="F501" t="str">
        <f>_xlfn.XLOOKUP(PE_1[[#This Row],[STN]],SE_1[STN],SE_1[Ethnicity],"",0)</f>
        <v/>
      </c>
    </row>
    <row r="502" spans="1:6" ht="13.9">
      <c r="A502" s="3" t="s">
        <v>500</v>
      </c>
      <c r="B502" s="10">
        <v>41839</v>
      </c>
      <c r="C502" s="19">
        <v>6.3703558858036766</v>
      </c>
      <c r="D502" s="3"/>
      <c r="E502" s="3" t="str">
        <f>_xlfn.XLOOKUP(PE_1[[#This Row],[STN]],SE_1[STN],SE_1[IdeaEligibility],"w/o disability",0)</f>
        <v>w/o disability</v>
      </c>
      <c r="F502" t="str">
        <f>_xlfn.XLOOKUP(PE_1[[#This Row],[STN]],SE_1[STN],SE_1[Ethnicity],"",0)</f>
        <v/>
      </c>
    </row>
    <row r="503" spans="1:6" ht="13.9">
      <c r="A503" s="3" t="s">
        <v>501</v>
      </c>
      <c r="B503" s="10">
        <v>41099</v>
      </c>
      <c r="C503" s="19">
        <v>8.3950729927007295</v>
      </c>
      <c r="D503" s="3"/>
      <c r="E503" s="3" t="str">
        <f>_xlfn.XLOOKUP(PE_1[[#This Row],[STN]],SE_1[STN],SE_1[IdeaEligibility],"w/o disability",0)</f>
        <v>w/o disability</v>
      </c>
      <c r="F503" t="str">
        <f>_xlfn.XLOOKUP(PE_1[[#This Row],[STN]],SE_1[STN],SE_1[Ethnicity],"",0)</f>
        <v/>
      </c>
    </row>
    <row r="504" spans="1:6" ht="13.9">
      <c r="A504" s="3" t="s">
        <v>502</v>
      </c>
      <c r="B504" s="10">
        <v>41866</v>
      </c>
      <c r="C504" s="19">
        <v>6.2964411419632382</v>
      </c>
      <c r="D504" s="3"/>
      <c r="E504" s="3" t="str">
        <f>_xlfn.XLOOKUP(PE_1[[#This Row],[STN]],SE_1[STN],SE_1[IdeaEligibility],"w/o disability",0)</f>
        <v>w/o disability</v>
      </c>
      <c r="F504" t="str">
        <f>_xlfn.XLOOKUP(PE_1[[#This Row],[STN]],SE_1[STN],SE_1[Ethnicity],"",0)</f>
        <v/>
      </c>
    </row>
    <row r="505" spans="1:6" ht="13.9">
      <c r="A505" s="3" t="s">
        <v>503</v>
      </c>
      <c r="B505" s="10">
        <v>41881</v>
      </c>
      <c r="C505" s="19">
        <v>6.2553773953852172</v>
      </c>
      <c r="D505" s="3"/>
      <c r="E505" s="3" t="str">
        <f>_xlfn.XLOOKUP(PE_1[[#This Row],[STN]],SE_1[STN],SE_1[IdeaEligibility],"w/o disability",0)</f>
        <v>w/o disability</v>
      </c>
      <c r="F505" t="str">
        <f>_xlfn.XLOOKUP(PE_1[[#This Row],[STN]],SE_1[STN],SE_1[Ethnicity],"",0)</f>
        <v/>
      </c>
    </row>
    <row r="506" spans="1:6" ht="13.9">
      <c r="A506" s="3" t="s">
        <v>504</v>
      </c>
      <c r="B506" s="10">
        <v>41888</v>
      </c>
      <c r="C506" s="19">
        <v>6.2362143136488077</v>
      </c>
      <c r="D506" s="3"/>
      <c r="E506" s="3" t="str">
        <f>_xlfn.XLOOKUP(PE_1[[#This Row],[STN]],SE_1[STN],SE_1[IdeaEligibility],"w/o disability",0)</f>
        <v>w/o disability</v>
      </c>
      <c r="F506" t="str">
        <f>_xlfn.XLOOKUP(PE_1[[#This Row],[STN]],SE_1[STN],SE_1[Ethnicity],"",0)</f>
        <v/>
      </c>
    </row>
    <row r="507" spans="1:6" ht="13.9">
      <c r="A507" s="3" t="s">
        <v>505</v>
      </c>
      <c r="B507" s="10">
        <v>41874</v>
      </c>
      <c r="C507" s="19">
        <v>6.2745404771216267</v>
      </c>
      <c r="D507" s="3"/>
      <c r="E507" s="3" t="str">
        <f>_xlfn.XLOOKUP(PE_1[[#This Row],[STN]],SE_1[STN],SE_1[IdeaEligibility],"w/o disability",0)</f>
        <v>w/o disability</v>
      </c>
      <c r="F507" t="str">
        <f>_xlfn.XLOOKUP(PE_1[[#This Row],[STN]],SE_1[STN],SE_1[Ethnicity],"",0)</f>
        <v/>
      </c>
    </row>
    <row r="508" spans="1:6" ht="13.9">
      <c r="A508" s="3" t="s">
        <v>506</v>
      </c>
      <c r="B508" s="10">
        <v>41933</v>
      </c>
      <c r="C508" s="19">
        <v>6.1130230739147438</v>
      </c>
      <c r="D508" s="3"/>
      <c r="E508" s="3" t="str">
        <f>_xlfn.XLOOKUP(PE_1[[#This Row],[STN]],SE_1[STN],SE_1[IdeaEligibility],"w/o disability",0)</f>
        <v>w/o disability</v>
      </c>
      <c r="F508" t="str">
        <f>_xlfn.XLOOKUP(PE_1[[#This Row],[STN]],SE_1[STN],SE_1[Ethnicity],"",0)</f>
        <v/>
      </c>
    </row>
    <row r="509" spans="1:6" ht="13.9">
      <c r="A509" s="3" t="s">
        <v>507</v>
      </c>
      <c r="B509" s="10">
        <v>42053</v>
      </c>
      <c r="C509" s="19">
        <v>5.7837591240875916</v>
      </c>
      <c r="D509" s="3"/>
      <c r="E509" s="3" t="str">
        <f>_xlfn.XLOOKUP(PE_1[[#This Row],[STN]],SE_1[STN],SE_1[IdeaEligibility],"w/o disability",0)</f>
        <v>w/o disability</v>
      </c>
      <c r="F509" t="str">
        <f>_xlfn.XLOOKUP(PE_1[[#This Row],[STN]],SE_1[STN],SE_1[Ethnicity],"",0)</f>
        <v/>
      </c>
    </row>
    <row r="510" spans="1:6" ht="13.9">
      <c r="A510" s="3" t="s">
        <v>508</v>
      </c>
      <c r="B510" s="10">
        <v>41466</v>
      </c>
      <c r="C510" s="19">
        <v>7.3921971252566738</v>
      </c>
      <c r="D510" s="3"/>
      <c r="E510" s="3" t="str">
        <f>_xlfn.XLOOKUP(PE_1[[#This Row],[STN]],SE_1[STN],SE_1[IdeaEligibility],"w/o disability",0)</f>
        <v>w/o disability</v>
      </c>
      <c r="F510" t="str">
        <f>_xlfn.XLOOKUP(PE_1[[#This Row],[STN]],SE_1[STN],SE_1[Ethnicity],"",0)</f>
        <v/>
      </c>
    </row>
    <row r="511" spans="1:6" ht="13.9">
      <c r="A511" s="3" t="s">
        <v>509</v>
      </c>
      <c r="B511" s="10">
        <v>42174</v>
      </c>
      <c r="C511" s="19">
        <v>5.452554744525548</v>
      </c>
      <c r="D511" s="3"/>
      <c r="E511" s="3" t="str">
        <f>_xlfn.XLOOKUP(PE_1[[#This Row],[STN]],SE_1[STN],SE_1[IdeaEligibility],"w/o disability",0)</f>
        <v>w/o disability</v>
      </c>
      <c r="F511" t="str">
        <f>_xlfn.XLOOKUP(PE_1[[#This Row],[STN]],SE_1[STN],SE_1[Ethnicity],"",0)</f>
        <v/>
      </c>
    </row>
    <row r="512" spans="1:6" ht="13.9">
      <c r="A512" s="3">
        <v>3719154</v>
      </c>
      <c r="B512" s="10">
        <v>42552</v>
      </c>
      <c r="C512" s="19">
        <v>4.417077175697866</v>
      </c>
      <c r="D512" s="3"/>
      <c r="E512" s="3" t="str">
        <f>_xlfn.XLOOKUP(PE_1[[#This Row],[STN]],SE_1[STN],SE_1[IdeaEligibility],"w/o disability",0)</f>
        <v>w/o disability</v>
      </c>
      <c r="F512" t="str">
        <f>_xlfn.XLOOKUP(PE_1[[#This Row],[STN]],SE_1[STN],SE_1[Ethnicity],"",0)</f>
        <v/>
      </c>
    </row>
    <row r="513" spans="1:6" ht="13.9">
      <c r="A513" s="3" t="s">
        <v>510</v>
      </c>
      <c r="B513" s="10">
        <v>42284</v>
      </c>
      <c r="C513" s="19">
        <v>5.1514598540145986</v>
      </c>
      <c r="D513" s="3"/>
      <c r="E513" s="3" t="str">
        <f>_xlfn.XLOOKUP(PE_1[[#This Row],[STN]],SE_1[STN],SE_1[IdeaEligibility],"w/o disability",0)</f>
        <v>w/o disability</v>
      </c>
      <c r="F513" t="str">
        <f>_xlfn.XLOOKUP(PE_1[[#This Row],[STN]],SE_1[STN],SE_1[Ethnicity],"",0)</f>
        <v/>
      </c>
    </row>
    <row r="514" spans="1:6" ht="13.9">
      <c r="A514" s="3" t="s">
        <v>511</v>
      </c>
      <c r="B514" s="10">
        <v>42772</v>
      </c>
      <c r="C514" s="19">
        <v>3.8165639972621492</v>
      </c>
      <c r="D514" s="3"/>
      <c r="E514" s="3" t="str">
        <f>_xlfn.XLOOKUP(PE_1[[#This Row],[STN]],SE_1[STN],SE_1[IdeaEligibility],"w/o disability",0)</f>
        <v>w/o disability</v>
      </c>
      <c r="F514" t="str">
        <f>_xlfn.XLOOKUP(PE_1[[#This Row],[STN]],SE_1[STN],SE_1[Ethnicity],"",0)</f>
        <v/>
      </c>
    </row>
    <row r="515" spans="1:6" ht="13.9">
      <c r="A515" s="3" t="s">
        <v>512</v>
      </c>
      <c r="B515" s="10">
        <v>42644</v>
      </c>
      <c r="C515" s="19">
        <v>4.1652983032293376</v>
      </c>
      <c r="D515" s="3"/>
      <c r="E515" s="3" t="str">
        <f>_xlfn.XLOOKUP(PE_1[[#This Row],[STN]],SE_1[STN],SE_1[IdeaEligibility],"w/o disability",0)</f>
        <v>w/o disability</v>
      </c>
      <c r="F515" t="str">
        <f>_xlfn.XLOOKUP(PE_1[[#This Row],[STN]],SE_1[STN],SE_1[Ethnicity],"",0)</f>
        <v/>
      </c>
    </row>
    <row r="516" spans="1:6" ht="13.9">
      <c r="A516" s="3" t="s">
        <v>513</v>
      </c>
      <c r="B516" s="10">
        <v>42545</v>
      </c>
      <c r="C516" s="19">
        <v>4.436234263820471</v>
      </c>
      <c r="D516" s="3"/>
      <c r="E516" s="3" t="str">
        <f>_xlfn.XLOOKUP(PE_1[[#This Row],[STN]],SE_1[STN],SE_1[IdeaEligibility],"w/o disability",0)</f>
        <v>w/o disability</v>
      </c>
      <c r="F516" t="str">
        <f>_xlfn.XLOOKUP(PE_1[[#This Row],[STN]],SE_1[STN],SE_1[Ethnicity],"",0)</f>
        <v/>
      </c>
    </row>
    <row r="517" spans="1:6" ht="13.9">
      <c r="A517" s="3" t="s">
        <v>514</v>
      </c>
      <c r="B517" s="10">
        <v>42322</v>
      </c>
      <c r="C517" s="19">
        <v>5.0474452554744529</v>
      </c>
      <c r="D517" s="3"/>
      <c r="E517" s="3" t="str">
        <f>_xlfn.XLOOKUP(PE_1[[#This Row],[STN]],SE_1[STN],SE_1[IdeaEligibility],"w/o disability",0)</f>
        <v>w/o disability</v>
      </c>
      <c r="F517" t="str">
        <f>_xlfn.XLOOKUP(PE_1[[#This Row],[STN]],SE_1[STN],SE_1[Ethnicity],"",0)</f>
        <v/>
      </c>
    </row>
    <row r="518" spans="1:6" ht="13.9">
      <c r="A518" s="3" t="s">
        <v>515</v>
      </c>
      <c r="B518" s="10">
        <v>42401</v>
      </c>
      <c r="C518" s="19">
        <v>4.8303229337712104</v>
      </c>
      <c r="D518" s="3"/>
      <c r="E518" s="3" t="str">
        <f>_xlfn.XLOOKUP(PE_1[[#This Row],[STN]],SE_1[STN],SE_1[IdeaEligibility],"w/o disability",0)</f>
        <v>w/o disability</v>
      </c>
      <c r="F518" t="str">
        <f>_xlfn.XLOOKUP(PE_1[[#This Row],[STN]],SE_1[STN],SE_1[Ethnicity],"",0)</f>
        <v/>
      </c>
    </row>
    <row r="519" spans="1:6" ht="13.9">
      <c r="A519" s="3" t="s">
        <v>516</v>
      </c>
      <c r="B519" s="10">
        <v>42319</v>
      </c>
      <c r="C519" s="19">
        <v>5.0556569343065698</v>
      </c>
      <c r="D519" s="3"/>
      <c r="E519" s="3" t="str">
        <f>_xlfn.XLOOKUP(PE_1[[#This Row],[STN]],SE_1[STN],SE_1[IdeaEligibility],"w/o disability",0)</f>
        <v>w/o disability</v>
      </c>
      <c r="F519" t="str">
        <f>_xlfn.XLOOKUP(PE_1[[#This Row],[STN]],SE_1[STN],SE_1[Ethnicity],"",0)</f>
        <v/>
      </c>
    </row>
    <row r="520" spans="1:6" ht="13.9">
      <c r="A520" s="3" t="s">
        <v>517</v>
      </c>
      <c r="B520" s="10">
        <v>41428</v>
      </c>
      <c r="C520" s="19">
        <v>7.4962354551676933</v>
      </c>
      <c r="D520" s="3"/>
      <c r="E520" s="3" t="str">
        <f>_xlfn.XLOOKUP(PE_1[[#This Row],[STN]],SE_1[STN],SE_1[IdeaEligibility],"w/o disability",0)</f>
        <v>w/o disability</v>
      </c>
      <c r="F520" t="str">
        <f>_xlfn.XLOOKUP(PE_1[[#This Row],[STN]],SE_1[STN],SE_1[Ethnicity],"",0)</f>
        <v/>
      </c>
    </row>
    <row r="521" spans="1:6" ht="13.9">
      <c r="A521" s="3" t="s">
        <v>518</v>
      </c>
      <c r="B521" s="10">
        <v>42545</v>
      </c>
      <c r="C521" s="19">
        <v>4.436234263820471</v>
      </c>
      <c r="D521" s="3"/>
      <c r="E521" s="3" t="str">
        <f>_xlfn.XLOOKUP(PE_1[[#This Row],[STN]],SE_1[STN],SE_1[IdeaEligibility],"w/o disability",0)</f>
        <v>w/o disability</v>
      </c>
      <c r="F521" t="str">
        <f>_xlfn.XLOOKUP(PE_1[[#This Row],[STN]],SE_1[STN],SE_1[Ethnicity],"",0)</f>
        <v/>
      </c>
    </row>
    <row r="522" spans="1:6" ht="13.9">
      <c r="A522" s="3" t="s">
        <v>519</v>
      </c>
      <c r="B522" s="10">
        <v>42572</v>
      </c>
      <c r="C522" s="19">
        <v>4.3623426382047077</v>
      </c>
      <c r="D522" s="3"/>
      <c r="E522" s="3" t="str">
        <f>_xlfn.XLOOKUP(PE_1[[#This Row],[STN]],SE_1[STN],SE_1[IdeaEligibility],"w/o disability",0)</f>
        <v>w/o disability</v>
      </c>
      <c r="F522" t="str">
        <f>_xlfn.XLOOKUP(PE_1[[#This Row],[STN]],SE_1[STN],SE_1[Ethnicity],"",0)</f>
        <v/>
      </c>
    </row>
    <row r="523" spans="1:6" ht="13.9">
      <c r="A523" s="3" t="s">
        <v>520</v>
      </c>
      <c r="B523" s="10">
        <v>42690</v>
      </c>
      <c r="C523" s="19">
        <v>4.0394088669950738</v>
      </c>
      <c r="D523" s="3"/>
      <c r="E523" s="3" t="str">
        <f>_xlfn.XLOOKUP(PE_1[[#This Row],[STN]],SE_1[STN],SE_1[IdeaEligibility],"w/o disability",0)</f>
        <v>w/o disability</v>
      </c>
      <c r="F523" t="str">
        <f>_xlfn.XLOOKUP(PE_1[[#This Row],[STN]],SE_1[STN],SE_1[Ethnicity],"",0)</f>
        <v/>
      </c>
    </row>
    <row r="524" spans="1:6" ht="13.9">
      <c r="A524" s="3" t="s">
        <v>521</v>
      </c>
      <c r="B524" s="10">
        <v>42672</v>
      </c>
      <c r="C524" s="19">
        <v>4.0886699507389164</v>
      </c>
      <c r="D524" s="3"/>
      <c r="E524" s="3" t="str">
        <f>_xlfn.XLOOKUP(PE_1[[#This Row],[STN]],SE_1[STN],SE_1[IdeaEligibility],"w/o disability",0)</f>
        <v>w/o disability</v>
      </c>
      <c r="F524" t="str">
        <f>_xlfn.XLOOKUP(PE_1[[#This Row],[STN]],SE_1[STN],SE_1[Ethnicity],"",0)</f>
        <v/>
      </c>
    </row>
    <row r="525" spans="1:6" ht="13.9">
      <c r="A525" s="3" t="s">
        <v>522</v>
      </c>
      <c r="B525" s="10">
        <v>42229</v>
      </c>
      <c r="C525" s="19">
        <v>5.3020072992700733</v>
      </c>
      <c r="D525" s="3"/>
      <c r="E525" s="3" t="str">
        <f>_xlfn.XLOOKUP(PE_1[[#This Row],[STN]],SE_1[STN],SE_1[IdeaEligibility],"w/o disability",0)</f>
        <v>w/o disability</v>
      </c>
      <c r="F525" t="str">
        <f>_xlfn.XLOOKUP(PE_1[[#This Row],[STN]],SE_1[STN],SE_1[Ethnicity],"",0)</f>
        <v/>
      </c>
    </row>
    <row r="526" spans="1:6" ht="13.9">
      <c r="A526" s="3" t="s">
        <v>523</v>
      </c>
      <c r="B526" s="10">
        <v>42146</v>
      </c>
      <c r="C526" s="19">
        <v>5.5291970802919712</v>
      </c>
      <c r="D526" s="3"/>
      <c r="E526" s="3" t="str">
        <f>_xlfn.XLOOKUP(PE_1[[#This Row],[STN]],SE_1[STN],SE_1[IdeaEligibility],"w/o disability",0)</f>
        <v>w/o disability</v>
      </c>
      <c r="F526" t="str">
        <f>_xlfn.XLOOKUP(PE_1[[#This Row],[STN]],SE_1[STN],SE_1[Ethnicity],"",0)</f>
        <v/>
      </c>
    </row>
    <row r="527" spans="1:6" ht="13.9">
      <c r="A527" s="3" t="s">
        <v>524</v>
      </c>
      <c r="B527" s="10">
        <v>42470</v>
      </c>
      <c r="C527" s="19">
        <v>4.6414887794198139</v>
      </c>
      <c r="D527" s="3"/>
      <c r="E527" s="3" t="str">
        <f>_xlfn.XLOOKUP(PE_1[[#This Row],[STN]],SE_1[STN],SE_1[IdeaEligibility],"w/o disability",0)</f>
        <v>w/o disability</v>
      </c>
      <c r="F527" t="str">
        <f>_xlfn.XLOOKUP(PE_1[[#This Row],[STN]],SE_1[STN],SE_1[Ethnicity],"",0)</f>
        <v/>
      </c>
    </row>
    <row r="528" spans="1:6" ht="13.9">
      <c r="A528" s="3" t="s">
        <v>525</v>
      </c>
      <c r="B528" s="10">
        <v>42713</v>
      </c>
      <c r="C528" s="19">
        <v>3.9764641488779424</v>
      </c>
      <c r="D528" s="3"/>
      <c r="E528" s="3" t="str">
        <f>_xlfn.XLOOKUP(PE_1[[#This Row],[STN]],SE_1[STN],SE_1[IdeaEligibility],"w/o disability",0)</f>
        <v>w/o disability</v>
      </c>
      <c r="F528" t="str">
        <f>_xlfn.XLOOKUP(PE_1[[#This Row],[STN]],SE_1[STN],SE_1[Ethnicity],"",0)</f>
        <v/>
      </c>
    </row>
    <row r="529" spans="1:6" ht="13.9">
      <c r="A529" s="3" t="s">
        <v>526</v>
      </c>
      <c r="B529" s="10">
        <v>42511</v>
      </c>
      <c r="C529" s="19">
        <v>4.5292829775588404</v>
      </c>
      <c r="D529" s="3"/>
      <c r="E529" s="3" t="str">
        <f>_xlfn.XLOOKUP(PE_1[[#This Row],[STN]],SE_1[STN],SE_1[IdeaEligibility],"w/o disability",0)</f>
        <v>w/o disability</v>
      </c>
      <c r="F529" t="str">
        <f>_xlfn.XLOOKUP(PE_1[[#This Row],[STN]],SE_1[STN],SE_1[Ethnicity],"",0)</f>
        <v/>
      </c>
    </row>
    <row r="530" spans="1:6" ht="13.9">
      <c r="A530" s="3" t="s">
        <v>527</v>
      </c>
      <c r="B530" s="10">
        <v>42322</v>
      </c>
      <c r="C530" s="19">
        <v>5.0474452554744529</v>
      </c>
      <c r="D530" s="3"/>
      <c r="E530" s="3" t="str">
        <f>_xlfn.XLOOKUP(PE_1[[#This Row],[STN]],SE_1[STN],SE_1[IdeaEligibility],"w/o disability",0)</f>
        <v>w/o disability</v>
      </c>
      <c r="F530" t="str">
        <f>_xlfn.XLOOKUP(PE_1[[#This Row],[STN]],SE_1[STN],SE_1[Ethnicity],"",0)</f>
        <v/>
      </c>
    </row>
    <row r="531" spans="1:6" ht="13.9">
      <c r="A531" s="3" t="s">
        <v>528</v>
      </c>
      <c r="B531" s="10">
        <v>42413</v>
      </c>
      <c r="C531" s="19">
        <v>4.797482211275315</v>
      </c>
      <c r="D531" s="3"/>
      <c r="E531" s="3" t="str">
        <f>_xlfn.XLOOKUP(PE_1[[#This Row],[STN]],SE_1[STN],SE_1[IdeaEligibility],"w/o disability",0)</f>
        <v>w/o disability</v>
      </c>
      <c r="F531" t="str">
        <f>_xlfn.XLOOKUP(PE_1[[#This Row],[STN]],SE_1[STN],SE_1[Ethnicity],"",0)</f>
        <v/>
      </c>
    </row>
    <row r="532" spans="1:6" ht="13.9">
      <c r="A532" s="3" t="s">
        <v>529</v>
      </c>
      <c r="B532" s="10">
        <v>42305</v>
      </c>
      <c r="C532" s="19">
        <v>5.093978102189781</v>
      </c>
      <c r="D532" s="3"/>
      <c r="E532" s="3" t="str">
        <f>_xlfn.XLOOKUP(PE_1[[#This Row],[STN]],SE_1[STN],SE_1[IdeaEligibility],"w/o disability",0)</f>
        <v>w/o disability</v>
      </c>
      <c r="F532" t="str">
        <f>_xlfn.XLOOKUP(PE_1[[#This Row],[STN]],SE_1[STN],SE_1[Ethnicity],"",0)</f>
        <v/>
      </c>
    </row>
    <row r="533" spans="1:6" ht="13.9">
      <c r="A533" s="3" t="s">
        <v>530</v>
      </c>
      <c r="B533" s="10">
        <v>42340</v>
      </c>
      <c r="C533" s="19">
        <v>4.9981751824817522</v>
      </c>
      <c r="D533" s="3"/>
      <c r="E533" s="3" t="str">
        <f>_xlfn.XLOOKUP(PE_1[[#This Row],[STN]],SE_1[STN],SE_1[IdeaEligibility],"w/o disability",0)</f>
        <v>w/o disability</v>
      </c>
      <c r="F533" t="str">
        <f>_xlfn.XLOOKUP(PE_1[[#This Row],[STN]],SE_1[STN],SE_1[Ethnicity],"",0)</f>
        <v/>
      </c>
    </row>
    <row r="534" spans="1:6" ht="13.9">
      <c r="A534" s="3" t="s">
        <v>531</v>
      </c>
      <c r="B534" s="10">
        <v>42417</v>
      </c>
      <c r="C534" s="19">
        <v>4.7865353037766836</v>
      </c>
      <c r="D534" s="3"/>
      <c r="E534" s="3" t="str">
        <f>_xlfn.XLOOKUP(PE_1[[#This Row],[STN]],SE_1[STN],SE_1[IdeaEligibility],"w/o disability",0)</f>
        <v>w/o disability</v>
      </c>
      <c r="F534" t="str">
        <f>_xlfn.XLOOKUP(PE_1[[#This Row],[STN]],SE_1[STN],SE_1[Ethnicity],"",0)</f>
        <v/>
      </c>
    </row>
    <row r="535" spans="1:6" ht="13.9">
      <c r="A535" s="3" t="s">
        <v>532</v>
      </c>
      <c r="B535" s="10">
        <v>41939</v>
      </c>
      <c r="C535" s="19">
        <v>6.0965975752835355</v>
      </c>
      <c r="D535" s="3"/>
      <c r="E535" s="3" t="str">
        <f>_xlfn.XLOOKUP(PE_1[[#This Row],[STN]],SE_1[STN],SE_1[IdeaEligibility],"w/o disability",0)</f>
        <v>w/o disability</v>
      </c>
      <c r="F535" t="str">
        <f>_xlfn.XLOOKUP(PE_1[[#This Row],[STN]],SE_1[STN],SE_1[Ethnicity],"",0)</f>
        <v/>
      </c>
    </row>
    <row r="536" spans="1:6" ht="13.9">
      <c r="A536" s="3" t="s">
        <v>533</v>
      </c>
      <c r="B536" s="10">
        <v>42656</v>
      </c>
      <c r="C536" s="19">
        <v>4.1324575807334432</v>
      </c>
      <c r="D536" s="3"/>
      <c r="E536" s="3" t="str">
        <f>_xlfn.XLOOKUP(PE_1[[#This Row],[STN]],SE_1[STN],SE_1[IdeaEligibility],"w/o disability",0)</f>
        <v>w/o disability</v>
      </c>
      <c r="F536" t="str">
        <f>_xlfn.XLOOKUP(PE_1[[#This Row],[STN]],SE_1[STN],SE_1[Ethnicity],"",0)</f>
        <v/>
      </c>
    </row>
    <row r="537" spans="1:6" ht="13.9">
      <c r="A537" s="3" t="s">
        <v>534</v>
      </c>
      <c r="B537" s="10">
        <v>42455</v>
      </c>
      <c r="C537" s="19">
        <v>4.6825396825396828</v>
      </c>
      <c r="D537" s="3"/>
      <c r="E537" s="3" t="str">
        <f>_xlfn.XLOOKUP(PE_1[[#This Row],[STN]],SE_1[STN],SE_1[IdeaEligibility],"w/o disability",0)</f>
        <v>w/o disability</v>
      </c>
      <c r="F537" t="str">
        <f>_xlfn.XLOOKUP(PE_1[[#This Row],[STN]],SE_1[STN],SE_1[Ethnicity],"",0)</f>
        <v/>
      </c>
    </row>
    <row r="538" spans="1:6" ht="13.9">
      <c r="A538" s="3" t="s">
        <v>535</v>
      </c>
      <c r="B538" s="10">
        <v>42175</v>
      </c>
      <c r="C538" s="19">
        <v>5.4498175182481754</v>
      </c>
      <c r="D538" s="3"/>
      <c r="E538" s="3" t="str">
        <f>_xlfn.XLOOKUP(PE_1[[#This Row],[STN]],SE_1[STN],SE_1[IdeaEligibility],"w/o disability",0)</f>
        <v>w/o disability</v>
      </c>
      <c r="F538" t="str">
        <f>_xlfn.XLOOKUP(PE_1[[#This Row],[STN]],SE_1[STN],SE_1[Ethnicity],"",0)</f>
        <v/>
      </c>
    </row>
    <row r="539" spans="1:6" ht="13.9">
      <c r="A539" s="3" t="s">
        <v>536</v>
      </c>
      <c r="B539" s="10">
        <v>42320</v>
      </c>
      <c r="C539" s="19">
        <v>5.0529197080291972</v>
      </c>
      <c r="D539" s="3"/>
      <c r="E539" s="3" t="str">
        <f>_xlfn.XLOOKUP(PE_1[[#This Row],[STN]],SE_1[STN],SE_1[IdeaEligibility],"w/o disability",0)</f>
        <v>w/o disability</v>
      </c>
      <c r="F539" t="str">
        <f>_xlfn.XLOOKUP(PE_1[[#This Row],[STN]],SE_1[STN],SE_1[Ethnicity],"",0)</f>
        <v/>
      </c>
    </row>
    <row r="540" spans="1:6" ht="13.9">
      <c r="A540" s="3" t="s">
        <v>537</v>
      </c>
      <c r="B540" s="10">
        <v>41413</v>
      </c>
      <c r="C540" s="19">
        <v>7.5373032169746752</v>
      </c>
      <c r="D540" s="3"/>
      <c r="E540" s="3" t="str">
        <f>_xlfn.XLOOKUP(PE_1[[#This Row],[STN]],SE_1[STN],SE_1[IdeaEligibility],"w/o disability",0)</f>
        <v>w/o disability</v>
      </c>
      <c r="F540" t="str">
        <f>_xlfn.XLOOKUP(PE_1[[#This Row],[STN]],SE_1[STN],SE_1[Ethnicity],"",0)</f>
        <v/>
      </c>
    </row>
    <row r="541" spans="1:6" ht="13.9">
      <c r="A541" s="3" t="s">
        <v>538</v>
      </c>
      <c r="B541" s="10">
        <v>41697</v>
      </c>
      <c r="C541" s="19">
        <v>6.7590926867422763</v>
      </c>
      <c r="D541" s="3"/>
      <c r="E541" s="3" t="str">
        <f>_xlfn.XLOOKUP(PE_1[[#This Row],[STN]],SE_1[STN],SE_1[IdeaEligibility],"w/o disability",0)</f>
        <v>w/o disability</v>
      </c>
      <c r="F541" t="str">
        <f>_xlfn.XLOOKUP(PE_1[[#This Row],[STN]],SE_1[STN],SE_1[Ethnicity],"",0)</f>
        <v/>
      </c>
    </row>
    <row r="542" spans="1:6" ht="13.9">
      <c r="A542" s="5">
        <v>338919020</v>
      </c>
      <c r="B542" s="10">
        <v>41387</v>
      </c>
      <c r="C542" s="19">
        <v>7.6084873374401099</v>
      </c>
      <c r="D542" s="3"/>
      <c r="E542" s="3" t="str">
        <f>_xlfn.XLOOKUP(PE_1[[#This Row],[STN]],SE_1[STN],SE_1[IdeaEligibility],"w/o disability",0)</f>
        <v>w/o disability</v>
      </c>
      <c r="F542" t="str">
        <f>_xlfn.XLOOKUP(PE_1[[#This Row],[STN]],SE_1[STN],SE_1[Ethnicity],"",0)</f>
        <v/>
      </c>
    </row>
    <row r="543" spans="1:6" ht="13.9">
      <c r="A543" s="3" t="s">
        <v>539</v>
      </c>
      <c r="B543" s="10">
        <v>41116</v>
      </c>
      <c r="C543" s="19">
        <v>8.3485401459854014</v>
      </c>
      <c r="D543" s="3"/>
      <c r="E543" s="3" t="str">
        <f>_xlfn.XLOOKUP(PE_1[[#This Row],[STN]],SE_1[STN],SE_1[IdeaEligibility],"w/o disability",0)</f>
        <v>w/o disability</v>
      </c>
      <c r="F543" t="str">
        <f>_xlfn.XLOOKUP(PE_1[[#This Row],[STN]],SE_1[STN],SE_1[Ethnicity],"",0)</f>
        <v/>
      </c>
    </row>
    <row r="544" spans="1:6" ht="13.9">
      <c r="A544" s="3" t="s">
        <v>540</v>
      </c>
      <c r="B544" s="10">
        <v>42696</v>
      </c>
      <c r="C544" s="19">
        <v>4.0229885057471266</v>
      </c>
      <c r="D544" s="3"/>
      <c r="E544" s="3" t="str">
        <f>_xlfn.XLOOKUP(PE_1[[#This Row],[STN]],SE_1[STN],SE_1[IdeaEligibility],"w/o disability",0)</f>
        <v>w/o disability</v>
      </c>
      <c r="F544" t="str">
        <f>_xlfn.XLOOKUP(PE_1[[#This Row],[STN]],SE_1[STN],SE_1[Ethnicity],"",0)</f>
        <v/>
      </c>
    </row>
    <row r="545" spans="1:6" ht="13.9">
      <c r="A545" s="5">
        <v>336120056</v>
      </c>
      <c r="B545" s="10">
        <v>40917</v>
      </c>
      <c r="C545" s="19">
        <v>8.8932481751824817</v>
      </c>
      <c r="D545" s="3"/>
      <c r="E545" s="3" t="str">
        <f>_xlfn.XLOOKUP(PE_1[[#This Row],[STN]],SE_1[STN],SE_1[IdeaEligibility],"w/o disability",0)</f>
        <v>w/o disability</v>
      </c>
      <c r="F545" t="str">
        <f>_xlfn.XLOOKUP(PE_1[[#This Row],[STN]],SE_1[STN],SE_1[Ethnicity],"",0)</f>
        <v/>
      </c>
    </row>
    <row r="546" spans="1:6" ht="13.9">
      <c r="A546" s="3" t="s">
        <v>541</v>
      </c>
      <c r="B546" s="10">
        <v>42073</v>
      </c>
      <c r="C546" s="19">
        <v>5.7290145985401466</v>
      </c>
      <c r="D546" s="3"/>
      <c r="E546" s="3" t="str">
        <f>_xlfn.XLOOKUP(PE_1[[#This Row],[STN]],SE_1[STN],SE_1[IdeaEligibility],"w/o disability",0)</f>
        <v>w/o disability</v>
      </c>
      <c r="F546" t="str">
        <f>_xlfn.XLOOKUP(PE_1[[#This Row],[STN]],SE_1[STN],SE_1[Ethnicity],"",0)</f>
        <v/>
      </c>
    </row>
    <row r="547" spans="1:6" ht="13.9">
      <c r="A547" s="3" t="s">
        <v>542</v>
      </c>
      <c r="B547" s="10">
        <v>42179</v>
      </c>
      <c r="C547" s="19">
        <v>5.4388686131386867</v>
      </c>
      <c r="D547" s="3"/>
      <c r="E547" s="3" t="str">
        <f>_xlfn.XLOOKUP(PE_1[[#This Row],[STN]],SE_1[STN],SE_1[IdeaEligibility],"w/o disability",0)</f>
        <v>w/o disability</v>
      </c>
      <c r="F547" t="str">
        <f>_xlfn.XLOOKUP(PE_1[[#This Row],[STN]],SE_1[STN],SE_1[Ethnicity],"",0)</f>
        <v/>
      </c>
    </row>
    <row r="548" spans="1:6" ht="13.9">
      <c r="A548" s="3" t="s">
        <v>543</v>
      </c>
      <c r="B548" s="10">
        <v>41872</v>
      </c>
      <c r="C548" s="19">
        <v>6.28001564333203</v>
      </c>
      <c r="D548" s="3"/>
      <c r="E548" s="3" t="str">
        <f>_xlfn.XLOOKUP(PE_1[[#This Row],[STN]],SE_1[STN],SE_1[IdeaEligibility],"w/o disability",0)</f>
        <v>w/o disability</v>
      </c>
      <c r="F548" t="str">
        <f>_xlfn.XLOOKUP(PE_1[[#This Row],[STN]],SE_1[STN],SE_1[Ethnicity],"",0)</f>
        <v/>
      </c>
    </row>
    <row r="549" spans="1:6" ht="13.9">
      <c r="A549" s="3" t="s">
        <v>544</v>
      </c>
      <c r="B549" s="10">
        <v>41907</v>
      </c>
      <c r="C549" s="19">
        <v>6.1842002346499809</v>
      </c>
      <c r="D549" s="3"/>
      <c r="E549" s="3" t="str">
        <f>_xlfn.XLOOKUP(PE_1[[#This Row],[STN]],SE_1[STN],SE_1[IdeaEligibility],"w/o disability",0)</f>
        <v>w/o disability</v>
      </c>
      <c r="F549" t="str">
        <f>_xlfn.XLOOKUP(PE_1[[#This Row],[STN]],SE_1[STN],SE_1[Ethnicity],"",0)</f>
        <v/>
      </c>
    </row>
    <row r="550" spans="1:6" ht="13.9">
      <c r="A550" s="3" t="s">
        <v>545</v>
      </c>
      <c r="B550" s="10">
        <v>42470</v>
      </c>
      <c r="C550" s="19">
        <v>4.6414887794198139</v>
      </c>
      <c r="D550" s="3"/>
      <c r="E550" s="3" t="str">
        <f>_xlfn.XLOOKUP(PE_1[[#This Row],[STN]],SE_1[STN],SE_1[IdeaEligibility],"w/o disability",0)</f>
        <v>w/o disability</v>
      </c>
      <c r="F550" t="str">
        <f>_xlfn.XLOOKUP(PE_1[[#This Row],[STN]],SE_1[STN],SE_1[Ethnicity],"",0)</f>
        <v/>
      </c>
    </row>
    <row r="551" spans="1:6" ht="13.9">
      <c r="A551" s="3" t="s">
        <v>546</v>
      </c>
      <c r="B551" s="10">
        <v>42101</v>
      </c>
      <c r="C551" s="19">
        <v>5.6523722627737225</v>
      </c>
      <c r="D551" s="3"/>
      <c r="E551" s="3" t="str">
        <f>_xlfn.XLOOKUP(PE_1[[#This Row],[STN]],SE_1[STN],SE_1[IdeaEligibility],"w/o disability",0)</f>
        <v>w/o disability</v>
      </c>
      <c r="F551" t="str">
        <f>_xlfn.XLOOKUP(PE_1[[#This Row],[STN]],SE_1[STN],SE_1[Ethnicity],"",0)</f>
        <v/>
      </c>
    </row>
    <row r="552" spans="1:6" ht="13.9">
      <c r="A552" s="3" t="s">
        <v>547</v>
      </c>
      <c r="B552" s="10">
        <v>41931</v>
      </c>
      <c r="C552" s="19">
        <v>6.1184982401251471</v>
      </c>
      <c r="D552" s="3"/>
      <c r="E552" s="3" t="str">
        <f>_xlfn.XLOOKUP(PE_1[[#This Row],[STN]],SE_1[STN],SE_1[IdeaEligibility],"w/o disability",0)</f>
        <v>w/o disability</v>
      </c>
      <c r="F552" t="str">
        <f>_xlfn.XLOOKUP(PE_1[[#This Row],[STN]],SE_1[STN],SE_1[Ethnicity],"",0)</f>
        <v/>
      </c>
    </row>
    <row r="553" spans="1:6" ht="13.9">
      <c r="A553" s="3" t="s">
        <v>548</v>
      </c>
      <c r="B553" s="10">
        <v>42157</v>
      </c>
      <c r="C553" s="19">
        <v>5.4990875912408761</v>
      </c>
      <c r="D553" s="3"/>
      <c r="E553" s="3" t="str">
        <f>_xlfn.XLOOKUP(PE_1[[#This Row],[STN]],SE_1[STN],SE_1[IdeaEligibility],"w/o disability",0)</f>
        <v>w/o disability</v>
      </c>
      <c r="F553" t="str">
        <f>_xlfn.XLOOKUP(PE_1[[#This Row],[STN]],SE_1[STN],SE_1[Ethnicity],"",0)</f>
        <v/>
      </c>
    </row>
    <row r="554" spans="1:6" ht="13.9">
      <c r="A554" s="3" t="s">
        <v>549</v>
      </c>
      <c r="B554" s="10">
        <v>41703</v>
      </c>
      <c r="C554" s="19">
        <v>6.742667188111068</v>
      </c>
      <c r="D554" s="3"/>
      <c r="E554" s="3" t="str">
        <f>_xlfn.XLOOKUP(PE_1[[#This Row],[STN]],SE_1[STN],SE_1[IdeaEligibility],"w/o disability",0)</f>
        <v>w/o disability</v>
      </c>
      <c r="F554" t="str">
        <f>_xlfn.XLOOKUP(PE_1[[#This Row],[STN]],SE_1[STN],SE_1[Ethnicity],"",0)</f>
        <v/>
      </c>
    </row>
    <row r="555" spans="1:6" ht="13.9">
      <c r="A555" s="3" t="s">
        <v>550</v>
      </c>
      <c r="B555" s="10">
        <v>39767</v>
      </c>
      <c r="C555" s="19">
        <v>12.041903558643925</v>
      </c>
      <c r="D555" s="3"/>
      <c r="E555" s="3" t="str">
        <f>_xlfn.XLOOKUP(PE_1[[#This Row],[STN]],SE_1[STN],SE_1[IdeaEligibility],"w/o disability",0)</f>
        <v>w/o disability</v>
      </c>
      <c r="F555" t="str">
        <f>_xlfn.XLOOKUP(PE_1[[#This Row],[STN]],SE_1[STN],SE_1[Ethnicity],"",0)</f>
        <v/>
      </c>
    </row>
    <row r="556" spans="1:6" ht="13.9">
      <c r="A556" s="3" t="s">
        <v>551</v>
      </c>
      <c r="B556" s="10">
        <v>41461</v>
      </c>
      <c r="C556" s="19">
        <v>7.4058863791923342</v>
      </c>
      <c r="D556" s="3"/>
      <c r="E556" s="3" t="str">
        <f>_xlfn.XLOOKUP(PE_1[[#This Row],[STN]],SE_1[STN],SE_1[IdeaEligibility],"w/o disability",0)</f>
        <v>w/o disability</v>
      </c>
      <c r="F556" t="str">
        <f>_xlfn.XLOOKUP(PE_1[[#This Row],[STN]],SE_1[STN],SE_1[Ethnicity],"",0)</f>
        <v/>
      </c>
    </row>
    <row r="557" spans="1:6" ht="13.9">
      <c r="A557" s="3" t="s">
        <v>552</v>
      </c>
      <c r="B557" s="10">
        <v>41414</v>
      </c>
      <c r="C557" s="19">
        <v>7.5345653661875431</v>
      </c>
      <c r="D557" s="3"/>
      <c r="E557" s="3" t="str">
        <f>_xlfn.XLOOKUP(PE_1[[#This Row],[STN]],SE_1[STN],SE_1[IdeaEligibility],"w/o disability",0)</f>
        <v>w/o disability</v>
      </c>
      <c r="F557" t="str">
        <f>_xlfn.XLOOKUP(PE_1[[#This Row],[STN]],SE_1[STN],SE_1[Ethnicity],"",0)</f>
        <v/>
      </c>
    </row>
    <row r="558" spans="1:6" ht="13.9">
      <c r="A558" s="3" t="s">
        <v>553</v>
      </c>
      <c r="B558" s="10">
        <v>41866</v>
      </c>
      <c r="C558" s="19">
        <v>6.2964411419632382</v>
      </c>
      <c r="D558" s="3"/>
      <c r="E558" s="3" t="str">
        <f>_xlfn.XLOOKUP(PE_1[[#This Row],[STN]],SE_1[STN],SE_1[IdeaEligibility],"w/o disability",0)</f>
        <v>w/o disability</v>
      </c>
      <c r="F558" t="str">
        <f>_xlfn.XLOOKUP(PE_1[[#This Row],[STN]],SE_1[STN],SE_1[Ethnicity],"",0)</f>
        <v/>
      </c>
    </row>
    <row r="559" spans="1:6" ht="13.9">
      <c r="A559" s="3" t="s">
        <v>554</v>
      </c>
      <c r="B559" s="10">
        <v>42256</v>
      </c>
      <c r="C559" s="19">
        <v>5.2281021897810218</v>
      </c>
      <c r="D559" s="3"/>
      <c r="E559" s="3" t="str">
        <f>_xlfn.XLOOKUP(PE_1[[#This Row],[STN]],SE_1[STN],SE_1[IdeaEligibility],"w/o disability",0)</f>
        <v>w/o disability</v>
      </c>
      <c r="F559" t="str">
        <f>_xlfn.XLOOKUP(PE_1[[#This Row],[STN]],SE_1[STN],SE_1[Ethnicity],"",0)</f>
        <v/>
      </c>
    </row>
    <row r="560" spans="1:6" ht="13.9">
      <c r="A560" s="3" t="s">
        <v>555</v>
      </c>
      <c r="B560" s="10">
        <v>42502</v>
      </c>
      <c r="C560" s="19">
        <v>4.5539135194307612</v>
      </c>
      <c r="D560" s="3"/>
      <c r="E560" s="3" t="str">
        <f>_xlfn.XLOOKUP(PE_1[[#This Row],[STN]],SE_1[STN],SE_1[IdeaEligibility],"w/o disability",0)</f>
        <v>w/o disability</v>
      </c>
      <c r="F560" t="str">
        <f>_xlfn.XLOOKUP(PE_1[[#This Row],[STN]],SE_1[STN],SE_1[Ethnicity],"",0)</f>
        <v/>
      </c>
    </row>
    <row r="561" spans="1:6" ht="13.9">
      <c r="A561" s="3" t="s">
        <v>556</v>
      </c>
      <c r="B561" s="10">
        <v>42431</v>
      </c>
      <c r="C561" s="19">
        <v>4.7482211275314725</v>
      </c>
      <c r="D561" s="3"/>
      <c r="E561" s="3" t="str">
        <f>_xlfn.XLOOKUP(PE_1[[#This Row],[STN]],SE_1[STN],SE_1[IdeaEligibility],"w/o disability",0)</f>
        <v>w/o disability</v>
      </c>
      <c r="F561" t="str">
        <f>_xlfn.XLOOKUP(PE_1[[#This Row],[STN]],SE_1[STN],SE_1[Ethnicity],"",0)</f>
        <v/>
      </c>
    </row>
    <row r="562" spans="1:6" ht="13.9">
      <c r="A562" s="3" t="s">
        <v>557</v>
      </c>
      <c r="B562" s="10">
        <v>42418</v>
      </c>
      <c r="C562" s="19">
        <v>4.7837985769020257</v>
      </c>
      <c r="D562" s="3"/>
      <c r="E562" s="3" t="str">
        <f>_xlfn.XLOOKUP(PE_1[[#This Row],[STN]],SE_1[STN],SE_1[IdeaEligibility],"w/o disability",0)</f>
        <v>w/o disability</v>
      </c>
      <c r="F562" t="str">
        <f>_xlfn.XLOOKUP(PE_1[[#This Row],[STN]],SE_1[STN],SE_1[Ethnicity],"",0)</f>
        <v/>
      </c>
    </row>
    <row r="563" spans="1:6" ht="13.9">
      <c r="A563" s="3" t="s">
        <v>558</v>
      </c>
      <c r="B563" s="10">
        <v>42346</v>
      </c>
      <c r="C563" s="19">
        <v>4.9817518248175183</v>
      </c>
      <c r="D563" s="3"/>
      <c r="E563" s="3" t="str">
        <f>_xlfn.XLOOKUP(PE_1[[#This Row],[STN]],SE_1[STN],SE_1[IdeaEligibility],"w/o disability",0)</f>
        <v>w/o disability</v>
      </c>
      <c r="F563" t="str">
        <f>_xlfn.XLOOKUP(PE_1[[#This Row],[STN]],SE_1[STN],SE_1[Ethnicity],"",0)</f>
        <v/>
      </c>
    </row>
    <row r="564" spans="1:6" ht="13.9">
      <c r="A564" s="3" t="s">
        <v>559</v>
      </c>
      <c r="B564" s="10">
        <v>42113</v>
      </c>
      <c r="C564" s="19">
        <v>5.6195255474452557</v>
      </c>
      <c r="D564" s="3"/>
      <c r="E564" s="3" t="str">
        <f>_xlfn.XLOOKUP(PE_1[[#This Row],[STN]],SE_1[STN],SE_1[IdeaEligibility],"w/o disability",0)</f>
        <v>w/o disability</v>
      </c>
      <c r="F564" t="str">
        <f>_xlfn.XLOOKUP(PE_1[[#This Row],[STN]],SE_1[STN],SE_1[Ethnicity],"",0)</f>
        <v/>
      </c>
    </row>
    <row r="565" spans="1:6" ht="13.9">
      <c r="A565" s="3" t="s">
        <v>560</v>
      </c>
      <c r="B565" s="10">
        <v>42529</v>
      </c>
      <c r="C565" s="19">
        <v>4.4800218938149978</v>
      </c>
      <c r="D565" s="3"/>
      <c r="E565" s="3" t="str">
        <f>_xlfn.XLOOKUP(PE_1[[#This Row],[STN]],SE_1[STN],SE_1[IdeaEligibility],"w/o disability",0)</f>
        <v>w/o disability</v>
      </c>
      <c r="F565" t="str">
        <f>_xlfn.XLOOKUP(PE_1[[#This Row],[STN]],SE_1[STN],SE_1[Ethnicity],"",0)</f>
        <v/>
      </c>
    </row>
    <row r="566" spans="1:6" ht="13.9">
      <c r="A566" s="3" t="s">
        <v>561</v>
      </c>
      <c r="B566" s="10">
        <v>41782</v>
      </c>
      <c r="C566" s="19">
        <v>6.5263981228001562</v>
      </c>
      <c r="D566" s="3"/>
      <c r="E566" s="3" t="str">
        <f>_xlfn.XLOOKUP(PE_1[[#This Row],[STN]],SE_1[STN],SE_1[IdeaEligibility],"w/o disability",0)</f>
        <v>w/o disability</v>
      </c>
      <c r="F566" t="str">
        <f>_xlfn.XLOOKUP(PE_1[[#This Row],[STN]],SE_1[STN],SE_1[Ethnicity],"",0)</f>
        <v/>
      </c>
    </row>
    <row r="567" spans="1:6" ht="13.9">
      <c r="A567" s="3" t="s">
        <v>562</v>
      </c>
      <c r="B567" s="10">
        <v>41343</v>
      </c>
      <c r="C567" s="19">
        <v>7.7289527720739217</v>
      </c>
      <c r="D567" s="3"/>
      <c r="E567" s="3" t="str">
        <f>_xlfn.XLOOKUP(PE_1[[#This Row],[STN]],SE_1[STN],SE_1[IdeaEligibility],"w/o disability",0)</f>
        <v>w/o disability</v>
      </c>
      <c r="F567" t="str">
        <f>_xlfn.XLOOKUP(PE_1[[#This Row],[STN]],SE_1[STN],SE_1[Ethnicity],"",0)</f>
        <v/>
      </c>
    </row>
    <row r="568" spans="1:6" ht="13.9">
      <c r="A568" s="3" t="s">
        <v>563</v>
      </c>
      <c r="B568" s="10">
        <v>42261</v>
      </c>
      <c r="C568" s="19">
        <v>5.2144160583941606</v>
      </c>
      <c r="D568" s="3"/>
      <c r="E568" s="3" t="str">
        <f>_xlfn.XLOOKUP(PE_1[[#This Row],[STN]],SE_1[STN],SE_1[IdeaEligibility],"w/o disability",0)</f>
        <v>w/o disability</v>
      </c>
      <c r="F568" t="str">
        <f>_xlfn.XLOOKUP(PE_1[[#This Row],[STN]],SE_1[STN],SE_1[Ethnicity],"",0)</f>
        <v/>
      </c>
    </row>
    <row r="569" spans="1:6" ht="13.9">
      <c r="A569" s="3">
        <v>4619096</v>
      </c>
      <c r="B569" s="10">
        <v>42299</v>
      </c>
      <c r="C569" s="19">
        <v>5.1104014598540148</v>
      </c>
      <c r="D569" s="3"/>
      <c r="E569" s="3" t="str">
        <f>_xlfn.XLOOKUP(PE_1[[#This Row],[STN]],SE_1[STN],SE_1[IdeaEligibility],"w/o disability",0)</f>
        <v>w/o disability</v>
      </c>
      <c r="F569" t="str">
        <f>_xlfn.XLOOKUP(PE_1[[#This Row],[STN]],SE_1[STN],SE_1[Ethnicity],"",0)</f>
        <v/>
      </c>
    </row>
    <row r="570" spans="1:6" ht="13.9">
      <c r="A570" s="3">
        <v>22919338</v>
      </c>
      <c r="B570" s="10">
        <v>42747</v>
      </c>
      <c r="C570" s="19">
        <v>3.8850102669404518</v>
      </c>
      <c r="D570" s="3"/>
      <c r="E570" s="3" t="str">
        <f>_xlfn.XLOOKUP(PE_1[[#This Row],[STN]],SE_1[STN],SE_1[IdeaEligibility],"w/o disability",0)</f>
        <v>w/o disability</v>
      </c>
      <c r="F570" t="str">
        <f>_xlfn.XLOOKUP(PE_1[[#This Row],[STN]],SE_1[STN],SE_1[Ethnicity],"",0)</f>
        <v/>
      </c>
    </row>
    <row r="571" spans="1:6" ht="13.9">
      <c r="A571" s="3" t="s">
        <v>564</v>
      </c>
      <c r="B571" s="10">
        <v>41776</v>
      </c>
      <c r="C571" s="19">
        <v>6.5428236214313653</v>
      </c>
      <c r="D571" s="3"/>
      <c r="E571" s="3" t="str">
        <f>_xlfn.XLOOKUP(PE_1[[#This Row],[STN]],SE_1[STN],SE_1[IdeaEligibility],"w/o disability",0)</f>
        <v>w/o disability</v>
      </c>
      <c r="F571" t="str">
        <f>_xlfn.XLOOKUP(PE_1[[#This Row],[STN]],SE_1[STN],SE_1[Ethnicity],"",0)</f>
        <v/>
      </c>
    </row>
    <row r="572" spans="1:6" ht="13.9">
      <c r="A572" s="3" t="s">
        <v>565</v>
      </c>
      <c r="B572" s="10">
        <v>41932</v>
      </c>
      <c r="C572" s="19">
        <v>6.115760657019945</v>
      </c>
      <c r="D572" s="3"/>
      <c r="E572" s="3" t="str">
        <f>_xlfn.XLOOKUP(PE_1[[#This Row],[STN]],SE_1[STN],SE_1[IdeaEligibility],"w/o disability",0)</f>
        <v>w/o disability</v>
      </c>
      <c r="F572" t="str">
        <f>_xlfn.XLOOKUP(PE_1[[#This Row],[STN]],SE_1[STN],SE_1[Ethnicity],"",0)</f>
        <v/>
      </c>
    </row>
    <row r="573" spans="1:6" ht="13.9">
      <c r="A573" s="3" t="s">
        <v>566</v>
      </c>
      <c r="B573" s="10">
        <v>42002</v>
      </c>
      <c r="C573" s="19">
        <v>5.9241298396558468</v>
      </c>
      <c r="D573" s="3"/>
      <c r="E573" s="3" t="str">
        <f>_xlfn.XLOOKUP(PE_1[[#This Row],[STN]],SE_1[STN],SE_1[IdeaEligibility],"w/o disability",0)</f>
        <v>w/o disability</v>
      </c>
      <c r="F573" t="str">
        <f>_xlfn.XLOOKUP(PE_1[[#This Row],[STN]],SE_1[STN],SE_1[Ethnicity],"",0)</f>
        <v/>
      </c>
    </row>
    <row r="574" spans="1:6" ht="13.9">
      <c r="A574" s="3">
        <v>7219154</v>
      </c>
      <c r="B574" s="10">
        <v>41939</v>
      </c>
      <c r="C574" s="19">
        <v>6.0965975752835355</v>
      </c>
      <c r="D574" s="3"/>
      <c r="E574" s="3" t="str">
        <f>_xlfn.XLOOKUP(PE_1[[#This Row],[STN]],SE_1[STN],SE_1[IdeaEligibility],"w/o disability",0)</f>
        <v>w/o disability</v>
      </c>
      <c r="F574" t="str">
        <f>_xlfn.XLOOKUP(PE_1[[#This Row],[STN]],SE_1[STN],SE_1[Ethnicity],"",0)</f>
        <v/>
      </c>
    </row>
    <row r="575" spans="1:6" ht="13.9">
      <c r="A575" s="3" t="s">
        <v>567</v>
      </c>
      <c r="B575" s="10">
        <v>41509</v>
      </c>
      <c r="C575" s="19">
        <v>7.2744695414099931</v>
      </c>
      <c r="D575" s="3"/>
      <c r="E575" s="3" t="str">
        <f>_xlfn.XLOOKUP(PE_1[[#This Row],[STN]],SE_1[STN],SE_1[IdeaEligibility],"w/o disability",0)</f>
        <v>w/o disability</v>
      </c>
      <c r="F575" t="str">
        <f>_xlfn.XLOOKUP(PE_1[[#This Row],[STN]],SE_1[STN],SE_1[Ethnicity],"",0)</f>
        <v/>
      </c>
    </row>
    <row r="576" spans="1:6" ht="13.9">
      <c r="A576" s="3" t="s">
        <v>568</v>
      </c>
      <c r="B576" s="10">
        <v>41802</v>
      </c>
      <c r="C576" s="19">
        <v>6.4716464606961281</v>
      </c>
      <c r="D576" s="3"/>
      <c r="E576" s="3" t="str">
        <f>_xlfn.XLOOKUP(PE_1[[#This Row],[STN]],SE_1[STN],SE_1[IdeaEligibility],"w/o disability",0)</f>
        <v>w/o disability</v>
      </c>
      <c r="F576" t="str">
        <f>_xlfn.XLOOKUP(PE_1[[#This Row],[STN]],SE_1[STN],SE_1[Ethnicity],"",0)</f>
        <v/>
      </c>
    </row>
    <row r="577" spans="1:6" ht="13.9">
      <c r="A577" s="3">
        <v>7219137</v>
      </c>
      <c r="B577" s="10">
        <v>42382</v>
      </c>
      <c r="C577" s="19">
        <v>4.8823207443897099</v>
      </c>
      <c r="D577" s="3"/>
      <c r="E577" s="3" t="str">
        <f>_xlfn.XLOOKUP(PE_1[[#This Row],[STN]],SE_1[STN],SE_1[IdeaEligibility],"w/o disability",0)</f>
        <v>w/o disability</v>
      </c>
      <c r="F577" t="str">
        <f>_xlfn.XLOOKUP(PE_1[[#This Row],[STN]],SE_1[STN],SE_1[Ethnicity],"",0)</f>
        <v/>
      </c>
    </row>
    <row r="578" spans="1:6" ht="13.9">
      <c r="A578" s="3">
        <v>22919233</v>
      </c>
      <c r="B578" s="10">
        <v>42515</v>
      </c>
      <c r="C578" s="19">
        <v>4.518336070060208</v>
      </c>
      <c r="D578" s="3"/>
      <c r="E578" s="3" t="str">
        <f>_xlfn.XLOOKUP(PE_1[[#This Row],[STN]],SE_1[STN],SE_1[IdeaEligibility],"w/o disability",0)</f>
        <v>w/o disability</v>
      </c>
      <c r="F578" t="str">
        <f>_xlfn.XLOOKUP(PE_1[[#This Row],[STN]],SE_1[STN],SE_1[Ethnicity],"",0)</f>
        <v/>
      </c>
    </row>
    <row r="579" spans="1:6" ht="13.9">
      <c r="A579" s="3" t="s">
        <v>569</v>
      </c>
      <c r="B579" s="10">
        <v>41323</v>
      </c>
      <c r="C579" s="19">
        <v>7.783709787816564</v>
      </c>
      <c r="D579" s="3"/>
      <c r="E579" s="3" t="str">
        <f>_xlfn.XLOOKUP(PE_1[[#This Row],[STN]],SE_1[STN],SE_1[IdeaEligibility],"w/o disability",0)</f>
        <v>w/o disability</v>
      </c>
      <c r="F579" t="str">
        <f>_xlfn.XLOOKUP(PE_1[[#This Row],[STN]],SE_1[STN],SE_1[Ethnicity],"",0)</f>
        <v/>
      </c>
    </row>
    <row r="580" spans="1:6" ht="13.9">
      <c r="A580" s="3" t="s">
        <v>570</v>
      </c>
      <c r="B580" s="10">
        <v>40556</v>
      </c>
      <c r="C580" s="19">
        <v>9.8822885299753622</v>
      </c>
      <c r="D580" s="3"/>
      <c r="E580" s="3" t="str">
        <f>_xlfn.XLOOKUP(PE_1[[#This Row],[STN]],SE_1[STN],SE_1[IdeaEligibility],"w/o disability",0)</f>
        <v>w/o disability</v>
      </c>
      <c r="F580" t="str">
        <f>_xlfn.XLOOKUP(PE_1[[#This Row],[STN]],SE_1[STN],SE_1[Ethnicity],"",0)</f>
        <v/>
      </c>
    </row>
    <row r="581" spans="1:6" ht="13.9">
      <c r="A581" s="3">
        <v>22919161</v>
      </c>
      <c r="B581" s="10">
        <v>42635</v>
      </c>
      <c r="C581" s="19">
        <v>4.1899288451012593</v>
      </c>
      <c r="D581" s="3"/>
      <c r="E581" s="3" t="str">
        <f>_xlfn.XLOOKUP(PE_1[[#This Row],[STN]],SE_1[STN],SE_1[IdeaEligibility],"w/o disability",0)</f>
        <v>w/o disability</v>
      </c>
      <c r="F581" t="str">
        <f>_xlfn.XLOOKUP(PE_1[[#This Row],[STN]],SE_1[STN],SE_1[Ethnicity],"",0)</f>
        <v/>
      </c>
    </row>
    <row r="582" spans="1:6" ht="13.9">
      <c r="A582" s="3" t="s">
        <v>571</v>
      </c>
      <c r="B582" s="10">
        <v>42062</v>
      </c>
      <c r="C582" s="19">
        <v>5.7591240875912408</v>
      </c>
      <c r="D582" s="3"/>
      <c r="E582" s="3" t="str">
        <f>_xlfn.XLOOKUP(PE_1[[#This Row],[STN]],SE_1[STN],SE_1[IdeaEligibility],"w/o disability",0)</f>
        <v>w/o disability</v>
      </c>
      <c r="F582" t="str">
        <f>_xlfn.XLOOKUP(PE_1[[#This Row],[STN]],SE_1[STN],SE_1[Ethnicity],"",0)</f>
        <v/>
      </c>
    </row>
    <row r="583" spans="1:6" ht="13.9">
      <c r="A583" s="3" t="s">
        <v>572</v>
      </c>
      <c r="B583" s="10">
        <v>41290</v>
      </c>
      <c r="C583" s="19">
        <v>7.8740588637919231</v>
      </c>
      <c r="D583" s="3"/>
      <c r="E583" s="3" t="str">
        <f>_xlfn.XLOOKUP(PE_1[[#This Row],[STN]],SE_1[STN],SE_1[IdeaEligibility],"w/o disability",0)</f>
        <v>w/o disability</v>
      </c>
      <c r="F583" t="str">
        <f>_xlfn.XLOOKUP(PE_1[[#This Row],[STN]],SE_1[STN],SE_1[Ethnicity],"",0)</f>
        <v/>
      </c>
    </row>
    <row r="584" spans="1:6" ht="13.9">
      <c r="A584" s="5">
        <v>917819013</v>
      </c>
      <c r="B584" s="10">
        <v>41170</v>
      </c>
      <c r="C584" s="19">
        <v>8.2007299270073002</v>
      </c>
      <c r="D584" s="3"/>
      <c r="E584" s="3" t="str">
        <f>_xlfn.XLOOKUP(PE_1[[#This Row],[STN]],SE_1[STN],SE_1[IdeaEligibility],"w/o disability",0)</f>
        <v>w/o disability</v>
      </c>
      <c r="F584" t="str">
        <f>_xlfn.XLOOKUP(PE_1[[#This Row],[STN]],SE_1[STN],SE_1[Ethnicity],"",0)</f>
        <v/>
      </c>
    </row>
    <row r="585" spans="1:6" ht="13.9">
      <c r="A585" s="3">
        <v>6819073</v>
      </c>
      <c r="B585" s="10">
        <v>42284</v>
      </c>
      <c r="C585" s="19">
        <v>5.1514598540145986</v>
      </c>
      <c r="D585" s="3"/>
      <c r="E585" s="3" t="str">
        <f>_xlfn.XLOOKUP(PE_1[[#This Row],[STN]],SE_1[STN],SE_1[IdeaEligibility],"w/o disability",0)</f>
        <v>w/o disability</v>
      </c>
      <c r="F585" t="str">
        <f>_xlfn.XLOOKUP(PE_1[[#This Row],[STN]],SE_1[STN],SE_1[Ethnicity],"",0)</f>
        <v/>
      </c>
    </row>
    <row r="586" spans="1:6" ht="13.9">
      <c r="A586" s="3" t="s">
        <v>573</v>
      </c>
      <c r="B586" s="10">
        <v>43395</v>
      </c>
      <c r="C586" s="19">
        <v>2.1104014598540148</v>
      </c>
      <c r="D586" s="3"/>
      <c r="E586" s="3" t="str">
        <f>_xlfn.XLOOKUP(PE_1[[#This Row],[STN]],SE_1[STN],SE_1[IdeaEligibility],"w/o disability",0)</f>
        <v>w/o disability</v>
      </c>
      <c r="F586" t="str">
        <f>_xlfn.XLOOKUP(PE_1[[#This Row],[STN]],SE_1[STN],SE_1[Ethnicity],"",0)</f>
        <v/>
      </c>
    </row>
    <row r="587" spans="1:6" ht="13.9">
      <c r="A587" s="3" t="s">
        <v>574</v>
      </c>
      <c r="B587" s="10">
        <v>42657</v>
      </c>
      <c r="C587" s="19">
        <v>4.1297208538587853</v>
      </c>
      <c r="D587" s="3"/>
      <c r="E587" s="3" t="str">
        <f>_xlfn.XLOOKUP(PE_1[[#This Row],[STN]],SE_1[STN],SE_1[IdeaEligibility],"w/o disability",0)</f>
        <v>w/o disability</v>
      </c>
      <c r="F587" t="str">
        <f>_xlfn.XLOOKUP(PE_1[[#This Row],[STN]],SE_1[STN],SE_1[Ethnicity],"",0)</f>
        <v/>
      </c>
    </row>
    <row r="588" spans="1:6" ht="13.9">
      <c r="A588" s="3">
        <v>7119185</v>
      </c>
      <c r="B588" s="10">
        <v>42299</v>
      </c>
      <c r="C588" s="19">
        <v>5.1104014598540148</v>
      </c>
      <c r="D588" s="3"/>
      <c r="E588" s="3" t="str">
        <f>_xlfn.XLOOKUP(PE_1[[#This Row],[STN]],SE_1[STN],SE_1[IdeaEligibility],"w/o disability",0)</f>
        <v>w/o disability</v>
      </c>
      <c r="F588" t="str">
        <f>_xlfn.XLOOKUP(PE_1[[#This Row],[STN]],SE_1[STN],SE_1[Ethnicity],"",0)</f>
        <v/>
      </c>
    </row>
    <row r="589" spans="1:6" ht="13.9">
      <c r="A589" s="3" t="s">
        <v>575</v>
      </c>
      <c r="B589" s="10">
        <v>40597</v>
      </c>
      <c r="C589" s="19">
        <v>9.7700520120448946</v>
      </c>
      <c r="D589" s="3"/>
      <c r="E589" s="3" t="str">
        <f>_xlfn.XLOOKUP(PE_1[[#This Row],[STN]],SE_1[STN],SE_1[IdeaEligibility],"w/o disability",0)</f>
        <v>w/o disability</v>
      </c>
      <c r="F589" t="str">
        <f>_xlfn.XLOOKUP(PE_1[[#This Row],[STN]],SE_1[STN],SE_1[Ethnicity],"",0)</f>
        <v/>
      </c>
    </row>
    <row r="590" spans="1:6" ht="13.9">
      <c r="A590" s="3" t="s">
        <v>576</v>
      </c>
      <c r="B590" s="10">
        <v>40160</v>
      </c>
      <c r="C590" s="19">
        <v>10.967830253251197</v>
      </c>
      <c r="D590" s="3"/>
      <c r="E590" s="3" t="str">
        <f>_xlfn.XLOOKUP(PE_1[[#This Row],[STN]],SE_1[STN],SE_1[IdeaEligibility],"w/o disability",0)</f>
        <v>w/o disability</v>
      </c>
      <c r="F590" t="str">
        <f>_xlfn.XLOOKUP(PE_1[[#This Row],[STN]],SE_1[STN],SE_1[Ethnicity],"",0)</f>
        <v/>
      </c>
    </row>
    <row r="591" spans="1:6" ht="13.9">
      <c r="A591" s="3">
        <v>6819081</v>
      </c>
      <c r="B591" s="10">
        <v>42342</v>
      </c>
      <c r="C591" s="19">
        <v>4.9927007299270079</v>
      </c>
      <c r="D591" s="3"/>
      <c r="E591" s="3" t="str">
        <f>_xlfn.XLOOKUP(PE_1[[#This Row],[STN]],SE_1[STN],SE_1[IdeaEligibility],"w/o disability",0)</f>
        <v>w/o disability</v>
      </c>
      <c r="F591" t="str">
        <f>_xlfn.XLOOKUP(PE_1[[#This Row],[STN]],SE_1[STN],SE_1[Ethnicity],"",0)</f>
        <v/>
      </c>
    </row>
    <row r="592" spans="1:6" ht="13.9">
      <c r="A592" s="3" t="s">
        <v>577</v>
      </c>
      <c r="B592" s="10">
        <v>43595</v>
      </c>
      <c r="C592" s="19">
        <v>1.5622435020519836</v>
      </c>
      <c r="D592" s="3"/>
      <c r="E592" s="3" t="str">
        <f>_xlfn.XLOOKUP(PE_1[[#This Row],[STN]],SE_1[STN],SE_1[IdeaEligibility],"w/o disability",0)</f>
        <v>w/o disability</v>
      </c>
      <c r="F592" t="str">
        <f>_xlfn.XLOOKUP(PE_1[[#This Row],[STN]],SE_1[STN],SE_1[Ethnicity],"",0)</f>
        <v/>
      </c>
    </row>
    <row r="593" spans="1:6" ht="13.9">
      <c r="A593" s="3" t="s">
        <v>578</v>
      </c>
      <c r="B593" s="10">
        <v>42699</v>
      </c>
      <c r="C593" s="19">
        <v>4.014778325123153</v>
      </c>
      <c r="D593" s="3"/>
      <c r="E593" s="3" t="str">
        <f>_xlfn.XLOOKUP(PE_1[[#This Row],[STN]],SE_1[STN],SE_1[IdeaEligibility],"w/o disability",0)</f>
        <v>w/o disability</v>
      </c>
      <c r="F593" t="str">
        <f>_xlfn.XLOOKUP(PE_1[[#This Row],[STN]],SE_1[STN],SE_1[Ethnicity],"",0)</f>
        <v/>
      </c>
    </row>
    <row r="594" spans="1:6" ht="13.9">
      <c r="A594" s="3" t="s">
        <v>579</v>
      </c>
      <c r="B594" s="10">
        <v>43552</v>
      </c>
      <c r="C594" s="19">
        <v>1.679890560875513</v>
      </c>
      <c r="D594" s="3"/>
      <c r="E594" s="3" t="str">
        <f>_xlfn.XLOOKUP(PE_1[[#This Row],[STN]],SE_1[STN],SE_1[IdeaEligibility],"w/o disability",0)</f>
        <v>w/o disability</v>
      </c>
      <c r="F594" t="str">
        <f>_xlfn.XLOOKUP(PE_1[[#This Row],[STN]],SE_1[STN],SE_1[Ethnicity],"",0)</f>
        <v/>
      </c>
    </row>
    <row r="595" spans="1:6" ht="13.9">
      <c r="A595" s="3" t="s">
        <v>580</v>
      </c>
      <c r="B595" s="10">
        <v>42599</v>
      </c>
      <c r="C595" s="19">
        <v>4.2884510125889435</v>
      </c>
      <c r="D595" s="3"/>
      <c r="E595" s="3" t="str">
        <f>_xlfn.XLOOKUP(PE_1[[#This Row],[STN]],SE_1[STN],SE_1[IdeaEligibility],"w/o disability",0)</f>
        <v>w/o disability</v>
      </c>
      <c r="F595" t="str">
        <f>_xlfn.XLOOKUP(PE_1[[#This Row],[STN]],SE_1[STN],SE_1[Ethnicity],"",0)</f>
        <v/>
      </c>
    </row>
    <row r="596" spans="1:6" ht="13.9">
      <c r="A596" s="3" t="s">
        <v>581</v>
      </c>
      <c r="B596" s="10">
        <v>43643</v>
      </c>
      <c r="C596" s="19">
        <v>1.4309165526675787</v>
      </c>
      <c r="D596" s="3"/>
      <c r="E596" s="3" t="str">
        <f>_xlfn.XLOOKUP(PE_1[[#This Row],[STN]],SE_1[STN],SE_1[IdeaEligibility],"w/o disability",0)</f>
        <v>w/o disability</v>
      </c>
      <c r="F596" t="str">
        <f>_xlfn.XLOOKUP(PE_1[[#This Row],[STN]],SE_1[STN],SE_1[Ethnicity],"",0)</f>
        <v/>
      </c>
    </row>
    <row r="597" spans="1:6" ht="13.9">
      <c r="A597" s="3" t="s">
        <v>582</v>
      </c>
      <c r="B597" s="10">
        <v>43522</v>
      </c>
      <c r="C597" s="19">
        <v>1.7619699042407662</v>
      </c>
      <c r="D597" s="3"/>
      <c r="E597" s="3" t="str">
        <f>_xlfn.XLOOKUP(PE_1[[#This Row],[STN]],SE_1[STN],SE_1[IdeaEligibility],"w/o disability",0)</f>
        <v>w/o disability</v>
      </c>
      <c r="F597" t="str">
        <f>_xlfn.XLOOKUP(PE_1[[#This Row],[STN]],SE_1[STN],SE_1[Ethnicity],"",0)</f>
        <v/>
      </c>
    </row>
    <row r="598" spans="1:6" ht="13.9">
      <c r="A598" s="3" t="s">
        <v>583</v>
      </c>
      <c r="B598" s="10">
        <v>42969</v>
      </c>
      <c r="C598" s="19">
        <v>3.2772073921971252</v>
      </c>
      <c r="D598" s="3"/>
      <c r="E598" s="3" t="str">
        <f>_xlfn.XLOOKUP(PE_1[[#This Row],[STN]],SE_1[STN],SE_1[IdeaEligibility],"w/o disability",0)</f>
        <v>w/o disability</v>
      </c>
      <c r="F598" t="str">
        <f>_xlfn.XLOOKUP(PE_1[[#This Row],[STN]],SE_1[STN],SE_1[Ethnicity],"",0)</f>
        <v/>
      </c>
    </row>
    <row r="599" spans="1:6" ht="13.9">
      <c r="A599" s="3" t="s">
        <v>584</v>
      </c>
      <c r="B599" s="10">
        <v>43213</v>
      </c>
      <c r="C599" s="19">
        <v>2.6085766423357666</v>
      </c>
      <c r="D599" s="3"/>
      <c r="E599" s="3" t="str">
        <f>_xlfn.XLOOKUP(PE_1[[#This Row],[STN]],SE_1[STN],SE_1[IdeaEligibility],"w/o disability",0)</f>
        <v>w/o disability</v>
      </c>
      <c r="F599" t="str">
        <f>_xlfn.XLOOKUP(PE_1[[#This Row],[STN]],SE_1[STN],SE_1[Ethnicity],"",0)</f>
        <v/>
      </c>
    </row>
    <row r="600" spans="1:6" ht="13.9">
      <c r="A600" s="3" t="s">
        <v>585</v>
      </c>
      <c r="B600" s="10">
        <v>43262</v>
      </c>
      <c r="C600" s="19">
        <v>2.4744525547445257</v>
      </c>
      <c r="D600" s="3"/>
      <c r="E600" s="3" t="str">
        <f>_xlfn.XLOOKUP(PE_1[[#This Row],[STN]],SE_1[STN],SE_1[IdeaEligibility],"w/o disability",0)</f>
        <v>w/o disability</v>
      </c>
      <c r="F600" t="str">
        <f>_xlfn.XLOOKUP(PE_1[[#This Row],[STN]],SE_1[STN],SE_1[Ethnicity],"",0)</f>
        <v/>
      </c>
    </row>
    <row r="601" spans="1:6" ht="13.9">
      <c r="A601" s="3" t="s">
        <v>586</v>
      </c>
      <c r="B601" s="10">
        <v>43294</v>
      </c>
      <c r="C601" s="19">
        <v>2.3868613138686134</v>
      </c>
      <c r="D601" s="3"/>
      <c r="E601" s="3" t="str">
        <f>_xlfn.XLOOKUP(PE_1[[#This Row],[STN]],SE_1[STN],SE_1[IdeaEligibility],"w/o disability",0)</f>
        <v>w/o disability</v>
      </c>
      <c r="F601" t="str">
        <f>_xlfn.XLOOKUP(PE_1[[#This Row],[STN]],SE_1[STN],SE_1[Ethnicity],"",0)</f>
        <v/>
      </c>
    </row>
    <row r="602" spans="1:6" ht="13.9">
      <c r="A602" s="3" t="s">
        <v>587</v>
      </c>
      <c r="B602" s="10">
        <v>43535</v>
      </c>
      <c r="C602" s="19">
        <v>1.7264021887824896</v>
      </c>
      <c r="D602" s="3"/>
      <c r="E602" s="3" t="str">
        <f>_xlfn.XLOOKUP(PE_1[[#This Row],[STN]],SE_1[STN],SE_1[IdeaEligibility],"w/o disability",0)</f>
        <v>w/o disability</v>
      </c>
      <c r="F602" t="str">
        <f>_xlfn.XLOOKUP(PE_1[[#This Row],[STN]],SE_1[STN],SE_1[Ethnicity],"",0)</f>
        <v/>
      </c>
    </row>
    <row r="603" spans="1:6" ht="13.9">
      <c r="A603" s="3" t="s">
        <v>588</v>
      </c>
      <c r="B603" s="10">
        <v>43020</v>
      </c>
      <c r="C603" s="19">
        <v>3.137577002053388</v>
      </c>
      <c r="D603" s="3"/>
      <c r="E603" s="3" t="str">
        <f>_xlfn.XLOOKUP(PE_1[[#This Row],[STN]],SE_1[STN],SE_1[IdeaEligibility],"w/o disability",0)</f>
        <v>w/o disability</v>
      </c>
      <c r="F603" t="str">
        <f>_xlfn.XLOOKUP(PE_1[[#This Row],[STN]],SE_1[STN],SE_1[Ethnicity],"",0)</f>
        <v/>
      </c>
    </row>
    <row r="604" spans="1:6" ht="13.9">
      <c r="A604" s="3" t="s">
        <v>589</v>
      </c>
      <c r="B604" s="10">
        <v>42849</v>
      </c>
      <c r="C604" s="19">
        <v>3.6057494866529773</v>
      </c>
      <c r="D604" s="3"/>
      <c r="E604" s="3" t="str">
        <f>_xlfn.XLOOKUP(PE_1[[#This Row],[STN]],SE_1[STN],SE_1[IdeaEligibility],"w/o disability",0)</f>
        <v>w/o disability</v>
      </c>
      <c r="F604" t="str">
        <f>_xlfn.XLOOKUP(PE_1[[#This Row],[STN]],SE_1[STN],SE_1[Ethnicity],"",0)</f>
        <v/>
      </c>
    </row>
    <row r="605" spans="1:6" ht="13.9">
      <c r="A605" s="3" t="s">
        <v>590</v>
      </c>
      <c r="B605" s="10">
        <v>43360</v>
      </c>
      <c r="C605" s="19">
        <v>2.2062043795620441</v>
      </c>
      <c r="D605" s="3"/>
      <c r="E605" s="3" t="str">
        <f>_xlfn.XLOOKUP(PE_1[[#This Row],[STN]],SE_1[STN],SE_1[IdeaEligibility],"w/o disability",0)</f>
        <v>w/o disability</v>
      </c>
      <c r="F605" t="str">
        <f>_xlfn.XLOOKUP(PE_1[[#This Row],[STN]],SE_1[STN],SE_1[Ethnicity],"",0)</f>
        <v/>
      </c>
    </row>
    <row r="606" spans="1:6" ht="13.9">
      <c r="A606" s="3" t="s">
        <v>591</v>
      </c>
      <c r="B606" s="10">
        <v>43372</v>
      </c>
      <c r="C606" s="19">
        <v>2.1733576642335768</v>
      </c>
      <c r="D606" s="3"/>
      <c r="E606" s="3" t="str">
        <f>_xlfn.XLOOKUP(PE_1[[#This Row],[STN]],SE_1[STN],SE_1[IdeaEligibility],"w/o disability",0)</f>
        <v>w/o disability</v>
      </c>
      <c r="F606" t="str">
        <f>_xlfn.XLOOKUP(PE_1[[#This Row],[STN]],SE_1[STN],SE_1[Ethnicity],"",0)</f>
        <v/>
      </c>
    </row>
    <row r="607" spans="1:6" ht="13.9">
      <c r="A607" s="3" t="s">
        <v>592</v>
      </c>
      <c r="B607" s="10">
        <v>42752</v>
      </c>
      <c r="C607" s="19">
        <v>3.871321013004791</v>
      </c>
      <c r="D607" s="3"/>
      <c r="E607" s="3" t="str">
        <f>_xlfn.XLOOKUP(PE_1[[#This Row],[STN]],SE_1[STN],SE_1[IdeaEligibility],"w/o disability",0)</f>
        <v>w/o disability</v>
      </c>
      <c r="F607" t="str">
        <f>_xlfn.XLOOKUP(PE_1[[#This Row],[STN]],SE_1[STN],SE_1[Ethnicity],"",0)</f>
        <v/>
      </c>
    </row>
    <row r="608" spans="1:6" ht="13.9">
      <c r="A608" s="3" t="s">
        <v>593</v>
      </c>
      <c r="B608" s="10">
        <v>42573</v>
      </c>
      <c r="C608" s="19">
        <v>4.3596059113300498</v>
      </c>
      <c r="D608" s="3"/>
      <c r="E608" s="3" t="str">
        <f>_xlfn.XLOOKUP(PE_1[[#This Row],[STN]],SE_1[STN],SE_1[IdeaEligibility],"w/o disability",0)</f>
        <v>w/o disability</v>
      </c>
      <c r="F608" t="str">
        <f>_xlfn.XLOOKUP(PE_1[[#This Row],[STN]],SE_1[STN],SE_1[Ethnicity],"",0)</f>
        <v/>
      </c>
    </row>
    <row r="609" spans="1:6" ht="13.9">
      <c r="A609" s="3" t="s">
        <v>594</v>
      </c>
      <c r="B609" s="10">
        <v>43363</v>
      </c>
      <c r="C609" s="19">
        <v>2.1979927007299271</v>
      </c>
      <c r="D609" s="3"/>
      <c r="E609" s="3" t="str">
        <f>_xlfn.XLOOKUP(PE_1[[#This Row],[STN]],SE_1[STN],SE_1[IdeaEligibility],"w/o disability",0)</f>
        <v>w/o disability</v>
      </c>
      <c r="F609" t="str">
        <f>_xlfn.XLOOKUP(PE_1[[#This Row],[STN]],SE_1[STN],SE_1[Ethnicity],"",0)</f>
        <v/>
      </c>
    </row>
    <row r="610" spans="1:6" ht="13.9">
      <c r="A610" s="3" t="s">
        <v>595</v>
      </c>
      <c r="B610" s="10">
        <v>43506</v>
      </c>
      <c r="C610" s="19">
        <v>1.8057455540355678</v>
      </c>
      <c r="D610" s="3"/>
      <c r="E610" s="3" t="str">
        <f>_xlfn.XLOOKUP(PE_1[[#This Row],[STN]],SE_1[STN],SE_1[IdeaEligibility],"w/o disability",0)</f>
        <v>w/o disability</v>
      </c>
      <c r="F610" t="str">
        <f>_xlfn.XLOOKUP(PE_1[[#This Row],[STN]],SE_1[STN],SE_1[Ethnicity],"",0)</f>
        <v/>
      </c>
    </row>
    <row r="611" spans="1:6" ht="13.9">
      <c r="A611" s="3" t="s">
        <v>596</v>
      </c>
      <c r="B611" s="10">
        <v>42702</v>
      </c>
      <c r="C611" s="19">
        <v>4.0065681444991794</v>
      </c>
      <c r="D611" s="3"/>
      <c r="E611" s="3" t="str">
        <f>_xlfn.XLOOKUP(PE_1[[#This Row],[STN]],SE_1[STN],SE_1[IdeaEligibility],"w/o disability",0)</f>
        <v>w/o disability</v>
      </c>
      <c r="F611" t="str">
        <f>_xlfn.XLOOKUP(PE_1[[#This Row],[STN]],SE_1[STN],SE_1[Ethnicity],"",0)</f>
        <v/>
      </c>
    </row>
    <row r="612" spans="1:6" ht="13.9">
      <c r="A612" s="3" t="s">
        <v>597</v>
      </c>
      <c r="B612" s="10">
        <v>42823</v>
      </c>
      <c r="C612" s="19">
        <v>3.676933607118412</v>
      </c>
      <c r="D612" s="3"/>
      <c r="E612" s="3" t="str">
        <f>_xlfn.XLOOKUP(PE_1[[#This Row],[STN]],SE_1[STN],SE_1[IdeaEligibility],"w/o disability",0)</f>
        <v>w/o disability</v>
      </c>
      <c r="F612" t="str">
        <f>_xlfn.XLOOKUP(PE_1[[#This Row],[STN]],SE_1[STN],SE_1[Ethnicity],"",0)</f>
        <v/>
      </c>
    </row>
    <row r="613" spans="1:6" ht="13.9">
      <c r="A613" s="3" t="s">
        <v>598</v>
      </c>
      <c r="B613" s="10">
        <v>43517</v>
      </c>
      <c r="C613" s="19">
        <v>1.7756497948016416</v>
      </c>
      <c r="D613" s="3"/>
      <c r="E613" s="3" t="str">
        <f>_xlfn.XLOOKUP(PE_1[[#This Row],[STN]],SE_1[STN],SE_1[IdeaEligibility],"w/o disability",0)</f>
        <v>w/o disability</v>
      </c>
      <c r="F613" t="str">
        <f>_xlfn.XLOOKUP(PE_1[[#This Row],[STN]],SE_1[STN],SE_1[Ethnicity],"",0)</f>
        <v/>
      </c>
    </row>
    <row r="614" spans="1:6" ht="13.9">
      <c r="A614" s="3" t="s">
        <v>599</v>
      </c>
      <c r="B614" s="10">
        <v>42837</v>
      </c>
      <c r="C614" s="19">
        <v>3.6386036960985626</v>
      </c>
      <c r="D614" s="3"/>
      <c r="E614" s="3" t="str">
        <f>_xlfn.XLOOKUP(PE_1[[#This Row],[STN]],SE_1[STN],SE_1[IdeaEligibility],"w/o disability",0)</f>
        <v>w/o disability</v>
      </c>
      <c r="F614" t="str">
        <f>_xlfn.XLOOKUP(PE_1[[#This Row],[STN]],SE_1[STN],SE_1[Ethnicity],"",0)</f>
        <v/>
      </c>
    </row>
    <row r="615" spans="1:6" ht="13.9">
      <c r="A615" s="3" t="s">
        <v>600</v>
      </c>
      <c r="B615" s="10">
        <v>43159</v>
      </c>
      <c r="C615" s="19">
        <v>2.7563868613138687</v>
      </c>
      <c r="D615" s="3"/>
      <c r="E615" s="3" t="str">
        <f>_xlfn.XLOOKUP(PE_1[[#This Row],[STN]],SE_1[STN],SE_1[IdeaEligibility],"w/o disability",0)</f>
        <v>w/o disability</v>
      </c>
      <c r="F615" t="str">
        <f>_xlfn.XLOOKUP(PE_1[[#This Row],[STN]],SE_1[STN],SE_1[Ethnicity],"",0)</f>
        <v/>
      </c>
    </row>
    <row r="616" spans="1:6" ht="13.9">
      <c r="A616" s="3" t="s">
        <v>601</v>
      </c>
      <c r="B616" s="10">
        <v>43519</v>
      </c>
      <c r="C616" s="19">
        <v>1.7701778385772913</v>
      </c>
      <c r="D616" s="3"/>
      <c r="E616" s="3" t="str">
        <f>_xlfn.XLOOKUP(PE_1[[#This Row],[STN]],SE_1[STN],SE_1[IdeaEligibility],"w/o disability",0)</f>
        <v>w/o disability</v>
      </c>
      <c r="F616" t="str">
        <f>_xlfn.XLOOKUP(PE_1[[#This Row],[STN]],SE_1[STN],SE_1[Ethnicity],"",0)</f>
        <v/>
      </c>
    </row>
    <row r="617" spans="1:6" ht="13.9">
      <c r="A617" s="3" t="s">
        <v>602</v>
      </c>
      <c r="B617" s="10">
        <v>42972</v>
      </c>
      <c r="C617" s="19">
        <v>3.268993839835729</v>
      </c>
      <c r="D617" s="3"/>
      <c r="E617" s="3" t="str">
        <f>_xlfn.XLOOKUP(PE_1[[#This Row],[STN]],SE_1[STN],SE_1[IdeaEligibility],"w/o disability",0)</f>
        <v>w/o disability</v>
      </c>
      <c r="F617" t="str">
        <f>_xlfn.XLOOKUP(PE_1[[#This Row],[STN]],SE_1[STN],SE_1[Ethnicity],"",0)</f>
        <v/>
      </c>
    </row>
    <row r="618" spans="1:6" ht="13.9">
      <c r="A618" s="3" t="s">
        <v>603</v>
      </c>
      <c r="B618" s="10">
        <v>43224</v>
      </c>
      <c r="C618" s="19">
        <v>2.5784671532846715</v>
      </c>
      <c r="D618" s="3"/>
      <c r="E618" s="3" t="str">
        <f>_xlfn.XLOOKUP(PE_1[[#This Row],[STN]],SE_1[STN],SE_1[IdeaEligibility],"w/o disability",0)</f>
        <v>w/o disability</v>
      </c>
      <c r="F618" t="str">
        <f>_xlfn.XLOOKUP(PE_1[[#This Row],[STN]],SE_1[STN],SE_1[Ethnicity],"",0)</f>
        <v/>
      </c>
    </row>
    <row r="619" spans="1:6" ht="13.9">
      <c r="A619" s="3" t="s">
        <v>604</v>
      </c>
      <c r="B619" s="10">
        <v>43133</v>
      </c>
      <c r="C619" s="19">
        <v>2.8275547445255476</v>
      </c>
      <c r="D619" s="3"/>
      <c r="E619" s="3" t="str">
        <f>_xlfn.XLOOKUP(PE_1[[#This Row],[STN]],SE_1[STN],SE_1[IdeaEligibility],"w/o disability",0)</f>
        <v>w/o disability</v>
      </c>
      <c r="F619" t="str">
        <f>_xlfn.XLOOKUP(PE_1[[#This Row],[STN]],SE_1[STN],SE_1[Ethnicity],"",0)</f>
        <v/>
      </c>
    </row>
    <row r="620" spans="1:6" ht="13.9">
      <c r="A620" s="3" t="s">
        <v>605</v>
      </c>
      <c r="B620" s="10">
        <v>42926</v>
      </c>
      <c r="C620" s="19">
        <v>3.3949349760438055</v>
      </c>
      <c r="D620" s="3"/>
      <c r="E620" s="3" t="str">
        <f>_xlfn.XLOOKUP(PE_1[[#This Row],[STN]],SE_1[STN],SE_1[IdeaEligibility],"w/o disability",0)</f>
        <v>w/o disability</v>
      </c>
      <c r="F620" t="str">
        <f>_xlfn.XLOOKUP(PE_1[[#This Row],[STN]],SE_1[STN],SE_1[Ethnicity],"",0)</f>
        <v/>
      </c>
    </row>
    <row r="621" spans="1:6" ht="13.9">
      <c r="A621" s="3" t="s">
        <v>606</v>
      </c>
      <c r="B621" s="10">
        <v>42794</v>
      </c>
      <c r="C621" s="19">
        <v>3.7563312799452429</v>
      </c>
      <c r="D621" s="3"/>
      <c r="E621" s="3" t="str">
        <f>_xlfn.XLOOKUP(PE_1[[#This Row],[STN]],SE_1[STN],SE_1[IdeaEligibility],"w/o disability",0)</f>
        <v>w/o disability</v>
      </c>
      <c r="F621" t="str">
        <f>_xlfn.XLOOKUP(PE_1[[#This Row],[STN]],SE_1[STN],SE_1[Ethnicity],"",0)</f>
        <v/>
      </c>
    </row>
    <row r="622" spans="1:6" ht="13.9">
      <c r="A622" s="3" t="s">
        <v>607</v>
      </c>
      <c r="B622" s="10">
        <v>43407</v>
      </c>
      <c r="C622" s="19">
        <v>2.0775547445255476</v>
      </c>
      <c r="D622" s="3"/>
      <c r="E622" s="3" t="str">
        <f>_xlfn.XLOOKUP(PE_1[[#This Row],[STN]],SE_1[STN],SE_1[IdeaEligibility],"w/o disability",0)</f>
        <v>w/o disability</v>
      </c>
      <c r="F622" t="str">
        <f>_xlfn.XLOOKUP(PE_1[[#This Row],[STN]],SE_1[STN],SE_1[Ethnicity],"",0)</f>
        <v/>
      </c>
    </row>
    <row r="623" spans="1:6" ht="13.9">
      <c r="A623" s="3" t="s">
        <v>608</v>
      </c>
      <c r="B623" s="10">
        <v>43446</v>
      </c>
      <c r="C623" s="19">
        <v>1.9708029197080292</v>
      </c>
      <c r="D623" s="3"/>
      <c r="E623" s="3" t="str">
        <f>_xlfn.XLOOKUP(PE_1[[#This Row],[STN]],SE_1[STN],SE_1[IdeaEligibility],"w/o disability",0)</f>
        <v>w/o disability</v>
      </c>
      <c r="F623" t="str">
        <f>_xlfn.XLOOKUP(PE_1[[#This Row],[STN]],SE_1[STN],SE_1[Ethnicity],"",0)</f>
        <v/>
      </c>
    </row>
    <row r="624" spans="1:6" ht="13.9">
      <c r="A624" s="3" t="s">
        <v>609</v>
      </c>
      <c r="B624" s="10">
        <v>42502</v>
      </c>
      <c r="C624" s="19">
        <v>4.5539135194307612</v>
      </c>
      <c r="D624" s="3"/>
      <c r="E624" s="3" t="str">
        <f>_xlfn.XLOOKUP(PE_1[[#This Row],[STN]],SE_1[STN],SE_1[IdeaEligibility],"w/o disability",0)</f>
        <v>w/o disability</v>
      </c>
      <c r="F624" t="str">
        <f>_xlfn.XLOOKUP(PE_1[[#This Row],[STN]],SE_1[STN],SE_1[Ethnicity],"",0)</f>
        <v/>
      </c>
    </row>
    <row r="625" spans="1:6" ht="13.9">
      <c r="A625" s="3" t="s">
        <v>610</v>
      </c>
      <c r="B625" s="10">
        <v>43623</v>
      </c>
      <c r="C625" s="19">
        <v>1.4856361149110806</v>
      </c>
      <c r="D625" s="3"/>
      <c r="E625" s="3" t="str">
        <f>_xlfn.XLOOKUP(PE_1[[#This Row],[STN]],SE_1[STN],SE_1[IdeaEligibility],"w/o disability",0)</f>
        <v>w/o disability</v>
      </c>
      <c r="F625" t="str">
        <f>_xlfn.XLOOKUP(PE_1[[#This Row],[STN]],SE_1[STN],SE_1[Ethnicity],"",0)</f>
        <v/>
      </c>
    </row>
    <row r="626" spans="1:6" ht="13.9">
      <c r="A626" s="3" t="s">
        <v>611</v>
      </c>
      <c r="B626" s="10">
        <v>43617</v>
      </c>
      <c r="C626" s="19">
        <v>1.5020519835841313</v>
      </c>
      <c r="D626" s="3"/>
      <c r="E626" s="3" t="str">
        <f>_xlfn.XLOOKUP(PE_1[[#This Row],[STN]],SE_1[STN],SE_1[IdeaEligibility],"w/o disability",0)</f>
        <v>w/o disability</v>
      </c>
      <c r="F626" t="str">
        <f>_xlfn.XLOOKUP(PE_1[[#This Row],[STN]],SE_1[STN],SE_1[Ethnicity],"",0)</f>
        <v/>
      </c>
    </row>
    <row r="627" spans="1:6" ht="13.9">
      <c r="A627" s="3" t="s">
        <v>612</v>
      </c>
      <c r="B627" s="10">
        <v>43192</v>
      </c>
      <c r="C627" s="19">
        <v>2.6660583941605842</v>
      </c>
      <c r="D627" s="3"/>
      <c r="E627" s="3" t="str">
        <f>_xlfn.XLOOKUP(PE_1[[#This Row],[STN]],SE_1[STN],SE_1[IdeaEligibility],"w/o disability",0)</f>
        <v>w/o disability</v>
      </c>
      <c r="F627" t="str">
        <f>_xlfn.XLOOKUP(PE_1[[#This Row],[STN]],SE_1[STN],SE_1[Ethnicity],"",0)</f>
        <v/>
      </c>
    </row>
    <row r="628" spans="1:6" ht="13.9">
      <c r="A628" s="3" t="s">
        <v>613</v>
      </c>
      <c r="B628" s="10">
        <v>42949</v>
      </c>
      <c r="C628" s="19">
        <v>3.3319644079397674</v>
      </c>
      <c r="D628" s="3"/>
      <c r="E628" s="3" t="str">
        <f>_xlfn.XLOOKUP(PE_1[[#This Row],[STN]],SE_1[STN],SE_1[IdeaEligibility],"w/o disability",0)</f>
        <v>w/o disability</v>
      </c>
      <c r="F628" t="str">
        <f>_xlfn.XLOOKUP(PE_1[[#This Row],[STN]],SE_1[STN],SE_1[Ethnicity],"",0)</f>
        <v/>
      </c>
    </row>
    <row r="629" spans="1:6" ht="13.9">
      <c r="A629" s="3" t="s">
        <v>614</v>
      </c>
      <c r="B629" s="10">
        <v>43416</v>
      </c>
      <c r="C629" s="19">
        <v>2.0529197080291972</v>
      </c>
      <c r="D629" s="3"/>
      <c r="E629" s="3" t="str">
        <f>_xlfn.XLOOKUP(PE_1[[#This Row],[STN]],SE_1[STN],SE_1[IdeaEligibility],"w/o disability",0)</f>
        <v>w/o disability</v>
      </c>
      <c r="F629" t="str">
        <f>_xlfn.XLOOKUP(PE_1[[#This Row],[STN]],SE_1[STN],SE_1[Ethnicity],"",0)</f>
        <v/>
      </c>
    </row>
    <row r="630" spans="1:6" ht="13.9">
      <c r="A630" s="3" t="s">
        <v>615</v>
      </c>
      <c r="B630" s="10">
        <v>43462</v>
      </c>
      <c r="C630" s="19">
        <v>1.9270072992700731</v>
      </c>
      <c r="D630" s="3"/>
      <c r="E630" s="3" t="str">
        <f>_xlfn.XLOOKUP(PE_1[[#This Row],[STN]],SE_1[STN],SE_1[IdeaEligibility],"w/o disability",0)</f>
        <v>w/o disability</v>
      </c>
      <c r="F630" t="str">
        <f>_xlfn.XLOOKUP(PE_1[[#This Row],[STN]],SE_1[STN],SE_1[Ethnicity],"",0)</f>
        <v/>
      </c>
    </row>
    <row r="631" spans="1:6" ht="13.9">
      <c r="A631" s="3" t="s">
        <v>616</v>
      </c>
      <c r="B631" s="10">
        <v>43572</v>
      </c>
      <c r="C631" s="19">
        <v>1.6251709986320109</v>
      </c>
      <c r="D631" s="3"/>
      <c r="E631" s="3" t="str">
        <f>_xlfn.XLOOKUP(PE_1[[#This Row],[STN]],SE_1[STN],SE_1[IdeaEligibility],"w/o disability",0)</f>
        <v>w/o disability</v>
      </c>
      <c r="F631" t="str">
        <f>_xlfn.XLOOKUP(PE_1[[#This Row],[STN]],SE_1[STN],SE_1[Ethnicity],"",0)</f>
        <v/>
      </c>
    </row>
    <row r="632" spans="1:6" ht="13.9">
      <c r="A632" s="3" t="s">
        <v>617</v>
      </c>
      <c r="B632" s="10">
        <v>43603</v>
      </c>
      <c r="C632" s="19">
        <v>1.5403556771545828</v>
      </c>
      <c r="D632" s="3"/>
      <c r="E632" s="3" t="str">
        <f>_xlfn.XLOOKUP(PE_1[[#This Row],[STN]],SE_1[STN],SE_1[IdeaEligibility],"w/o disability",0)</f>
        <v>w/o disability</v>
      </c>
      <c r="F632" t="str">
        <f>_xlfn.XLOOKUP(PE_1[[#This Row],[STN]],SE_1[STN],SE_1[Ethnicity],"",0)</f>
        <v/>
      </c>
    </row>
    <row r="633" spans="1:6" ht="13.9">
      <c r="A633" s="3" t="s">
        <v>618</v>
      </c>
      <c r="B633" s="10">
        <v>43656</v>
      </c>
      <c r="C633" s="19">
        <v>1.3953488372093024</v>
      </c>
      <c r="D633" s="3"/>
      <c r="E633" s="3" t="str">
        <f>_xlfn.XLOOKUP(PE_1[[#This Row],[STN]],SE_1[STN],SE_1[IdeaEligibility],"w/o disability",0)</f>
        <v>w/o disability</v>
      </c>
      <c r="F633" t="str">
        <f>_xlfn.XLOOKUP(PE_1[[#This Row],[STN]],SE_1[STN],SE_1[Ethnicity],"",0)</f>
        <v/>
      </c>
    </row>
    <row r="634" spans="1:6" ht="13.9">
      <c r="A634" s="3" t="s">
        <v>619</v>
      </c>
      <c r="B634" s="10">
        <v>43398</v>
      </c>
      <c r="C634" s="19">
        <v>2.1021897810218979</v>
      </c>
      <c r="D634" s="3"/>
      <c r="E634" s="3" t="str">
        <f>_xlfn.XLOOKUP(PE_1[[#This Row],[STN]],SE_1[STN],SE_1[IdeaEligibility],"w/o disability",0)</f>
        <v>w/o disability</v>
      </c>
      <c r="F634" t="str">
        <f>_xlfn.XLOOKUP(PE_1[[#This Row],[STN]],SE_1[STN],SE_1[Ethnicity],"",0)</f>
        <v/>
      </c>
    </row>
    <row r="635" spans="1:6" ht="13.9">
      <c r="A635" s="3" t="s">
        <v>620</v>
      </c>
      <c r="B635" s="10">
        <v>43350</v>
      </c>
      <c r="C635" s="19">
        <v>2.2335766423357666</v>
      </c>
      <c r="D635" s="3"/>
      <c r="E635" s="3" t="str">
        <f>_xlfn.XLOOKUP(PE_1[[#This Row],[STN]],SE_1[STN],SE_1[IdeaEligibility],"w/o disability",0)</f>
        <v>w/o disability</v>
      </c>
      <c r="F635" t="str">
        <f>_xlfn.XLOOKUP(PE_1[[#This Row],[STN]],SE_1[STN],SE_1[Ethnicity],"",0)</f>
        <v/>
      </c>
    </row>
    <row r="636" spans="1:6" ht="13.9">
      <c r="A636" s="3" t="s">
        <v>621</v>
      </c>
      <c r="B636" s="10">
        <v>42731</v>
      </c>
      <c r="C636" s="19">
        <v>3.9272030651340999</v>
      </c>
      <c r="D636" s="3"/>
      <c r="E636" s="3" t="str">
        <f>_xlfn.XLOOKUP(PE_1[[#This Row],[STN]],SE_1[STN],SE_1[IdeaEligibility],"w/o disability",0)</f>
        <v>w/o disability</v>
      </c>
      <c r="F636" t="str">
        <f>_xlfn.XLOOKUP(PE_1[[#This Row],[STN]],SE_1[STN],SE_1[Ethnicity],"",0)</f>
        <v/>
      </c>
    </row>
    <row r="637" spans="1:6" ht="13.9">
      <c r="A637" s="3" t="s">
        <v>622</v>
      </c>
      <c r="B637" s="10">
        <v>43398</v>
      </c>
      <c r="C637" s="19">
        <v>2.1021897810218979</v>
      </c>
      <c r="D637" s="3"/>
      <c r="E637" s="3" t="str">
        <f>_xlfn.XLOOKUP(PE_1[[#This Row],[STN]],SE_1[STN],SE_1[IdeaEligibility],"w/o disability",0)</f>
        <v>w/o disability</v>
      </c>
      <c r="F637" t="str">
        <f>_xlfn.XLOOKUP(PE_1[[#This Row],[STN]],SE_1[STN],SE_1[Ethnicity],"",0)</f>
        <v/>
      </c>
    </row>
    <row r="638" spans="1:6" ht="13.9">
      <c r="A638" s="3" t="s">
        <v>623</v>
      </c>
      <c r="B638" s="10">
        <v>42786</v>
      </c>
      <c r="C638" s="19">
        <v>3.7782340862422998</v>
      </c>
      <c r="D638" s="3"/>
      <c r="E638" s="3" t="str">
        <f>_xlfn.XLOOKUP(PE_1[[#This Row],[STN]],SE_1[STN],SE_1[IdeaEligibility],"w/o disability",0)</f>
        <v>w/o disability</v>
      </c>
      <c r="F638" t="str">
        <f>_xlfn.XLOOKUP(PE_1[[#This Row],[STN]],SE_1[STN],SE_1[Ethnicity],"",0)</f>
        <v/>
      </c>
    </row>
    <row r="639" spans="1:6" ht="13.9">
      <c r="A639" s="3" t="s">
        <v>624</v>
      </c>
      <c r="B639" s="10">
        <v>42650</v>
      </c>
      <c r="C639" s="19">
        <v>4.1488779419813904</v>
      </c>
      <c r="D639" s="3"/>
      <c r="E639" s="3" t="str">
        <f>_xlfn.XLOOKUP(PE_1[[#This Row],[STN]],SE_1[STN],SE_1[IdeaEligibility],"w/o disability",0)</f>
        <v>w/o disability</v>
      </c>
      <c r="F639" t="str">
        <f>_xlfn.XLOOKUP(PE_1[[#This Row],[STN]],SE_1[STN],SE_1[Ethnicity],"",0)</f>
        <v/>
      </c>
    </row>
    <row r="640" spans="1:6" ht="13.9">
      <c r="A640" s="3" t="s">
        <v>625</v>
      </c>
      <c r="B640" s="10">
        <v>42806</v>
      </c>
      <c r="C640" s="19">
        <v>3.7234770704996576</v>
      </c>
      <c r="D640" s="3"/>
      <c r="E640" s="3" t="str">
        <f>_xlfn.XLOOKUP(PE_1[[#This Row],[STN]],SE_1[STN],SE_1[IdeaEligibility],"w/o disability",0)</f>
        <v>w/o disability</v>
      </c>
      <c r="F640" t="str">
        <f>_xlfn.XLOOKUP(PE_1[[#This Row],[STN]],SE_1[STN],SE_1[Ethnicity],"",0)</f>
        <v/>
      </c>
    </row>
    <row r="641" spans="1:6" ht="13.9">
      <c r="A641" s="3" t="s">
        <v>626</v>
      </c>
      <c r="B641" s="10">
        <v>42888</v>
      </c>
      <c r="C641" s="19">
        <v>3.4989733059548254</v>
      </c>
      <c r="D641" s="3"/>
      <c r="E641" s="3" t="str">
        <f>_xlfn.XLOOKUP(PE_1[[#This Row],[STN]],SE_1[STN],SE_1[IdeaEligibility],"w/o disability",0)</f>
        <v>w/o disability</v>
      </c>
      <c r="F641" t="str">
        <f>_xlfn.XLOOKUP(PE_1[[#This Row],[STN]],SE_1[STN],SE_1[Ethnicity],"",0)</f>
        <v/>
      </c>
    </row>
    <row r="642" spans="1:6" ht="13.9">
      <c r="A642" s="3" t="s">
        <v>627</v>
      </c>
      <c r="B642" s="10">
        <v>43464</v>
      </c>
      <c r="C642" s="19">
        <v>1.9215328467153285</v>
      </c>
      <c r="D642" s="3"/>
      <c r="E642" s="3" t="str">
        <f>_xlfn.XLOOKUP(PE_1[[#This Row],[STN]],SE_1[STN],SE_1[IdeaEligibility],"w/o disability",0)</f>
        <v>w/o disability</v>
      </c>
      <c r="F642" t="str">
        <f>_xlfn.XLOOKUP(PE_1[[#This Row],[STN]],SE_1[STN],SE_1[Ethnicity],"",0)</f>
        <v/>
      </c>
    </row>
    <row r="643" spans="1:6" ht="13.9">
      <c r="A643" s="3" t="s">
        <v>628</v>
      </c>
      <c r="B643" s="10">
        <v>43034</v>
      </c>
      <c r="C643" s="19">
        <v>3.0992470910335386</v>
      </c>
      <c r="D643" s="3"/>
      <c r="E643" s="3" t="str">
        <f>_xlfn.XLOOKUP(PE_1[[#This Row],[STN]],SE_1[STN],SE_1[IdeaEligibility],"w/o disability",0)</f>
        <v>w/o disability</v>
      </c>
      <c r="F643" t="str">
        <f>_xlfn.XLOOKUP(PE_1[[#This Row],[STN]],SE_1[STN],SE_1[Ethnicity],"",0)</f>
        <v/>
      </c>
    </row>
    <row r="644" spans="1:6" ht="13.9">
      <c r="A644" s="3" t="s">
        <v>629</v>
      </c>
      <c r="B644" s="10">
        <v>43067</v>
      </c>
      <c r="C644" s="19">
        <v>3.0088980150581794</v>
      </c>
      <c r="D644" s="3"/>
      <c r="E644" s="3" t="str">
        <f>_xlfn.XLOOKUP(PE_1[[#This Row],[STN]],SE_1[STN],SE_1[IdeaEligibility],"w/o disability",0)</f>
        <v>w/o disability</v>
      </c>
      <c r="F644" t="str">
        <f>_xlfn.XLOOKUP(PE_1[[#This Row],[STN]],SE_1[STN],SE_1[Ethnicity],"",0)</f>
        <v/>
      </c>
    </row>
    <row r="645" spans="1:6" ht="13.9">
      <c r="A645" s="3" t="s">
        <v>630</v>
      </c>
      <c r="B645" s="10">
        <v>43474</v>
      </c>
      <c r="C645" s="19">
        <v>1.8932968536251711</v>
      </c>
      <c r="D645" s="3"/>
      <c r="E645" s="3" t="str">
        <f>_xlfn.XLOOKUP(PE_1[[#This Row],[STN]],SE_1[STN],SE_1[IdeaEligibility],"w/o disability",0)</f>
        <v>w/o disability</v>
      </c>
      <c r="F645" t="str">
        <f>_xlfn.XLOOKUP(PE_1[[#This Row],[STN]],SE_1[STN],SE_1[Ethnicity],"",0)</f>
        <v/>
      </c>
    </row>
    <row r="646" spans="1:6" ht="13.9">
      <c r="A646" s="3" t="s">
        <v>631</v>
      </c>
      <c r="B646" s="10">
        <v>43158</v>
      </c>
      <c r="C646" s="19">
        <v>2.7591240875912408</v>
      </c>
      <c r="D646" s="3"/>
      <c r="E646" s="3" t="str">
        <f>_xlfn.XLOOKUP(PE_1[[#This Row],[STN]],SE_1[STN],SE_1[IdeaEligibility],"w/o disability",0)</f>
        <v>w/o disability</v>
      </c>
      <c r="F646" t="str">
        <f>_xlfn.XLOOKUP(PE_1[[#This Row],[STN]],SE_1[STN],SE_1[Ethnicity],"",0)</f>
        <v/>
      </c>
    </row>
    <row r="647" spans="1:6" ht="13.9">
      <c r="A647" s="3" t="s">
        <v>632</v>
      </c>
      <c r="B647" s="10">
        <v>43486</v>
      </c>
      <c r="C647" s="19">
        <v>1.8604651162790697</v>
      </c>
      <c r="D647" s="3"/>
      <c r="E647" s="3" t="str">
        <f>_xlfn.XLOOKUP(PE_1[[#This Row],[STN]],SE_1[STN],SE_1[IdeaEligibility],"w/o disability",0)</f>
        <v>w/o disability</v>
      </c>
      <c r="F647" t="str">
        <f>_xlfn.XLOOKUP(PE_1[[#This Row],[STN]],SE_1[STN],SE_1[Ethnicity],"",0)</f>
        <v/>
      </c>
    </row>
    <row r="648" spans="1:6" ht="15.75" customHeight="1">
      <c r="A648" s="3" t="s">
        <v>632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outlinePr summaryBelow="0" summaryRight="0"/>
  </sheetPr>
  <dimension ref="A1:F708"/>
  <sheetViews>
    <sheetView topLeftCell="T8" workbookViewId="0">
      <selection activeCell="L25" sqref="L25"/>
    </sheetView>
  </sheetViews>
  <sheetFormatPr defaultColWidth="12.5703125" defaultRowHeight="15.75" customHeight="1"/>
  <cols>
    <col min="2" max="2" width="16.7109375" customWidth="1"/>
    <col min="3" max="4" width="27.28515625" customWidth="1"/>
    <col min="5" max="5" width="16.5703125" customWidth="1"/>
  </cols>
  <sheetData>
    <row r="1" spans="1:6" ht="13.9">
      <c r="A1" s="3" t="s">
        <v>10</v>
      </c>
      <c r="B1" s="3" t="s">
        <v>161</v>
      </c>
      <c r="C1" s="3" t="s">
        <v>162</v>
      </c>
      <c r="D1" s="3" t="s">
        <v>52</v>
      </c>
      <c r="E1" s="15" t="s">
        <v>163</v>
      </c>
      <c r="F1" s="15" t="s">
        <v>23</v>
      </c>
    </row>
    <row r="2" spans="1:6" ht="15.75" customHeight="1">
      <c r="A2" s="1">
        <v>22912234</v>
      </c>
      <c r="B2" s="6">
        <v>40624</v>
      </c>
      <c r="C2" s="19">
        <v>10.696117471378797</v>
      </c>
      <c r="D2" s="3"/>
      <c r="E2" t="b">
        <f>_xlfn.XLOOKUP(PE_2[[#This Row],[STN]],SE_2[STN],SE_2[IdeaEligibility],"w/o disability",0)</f>
        <v>1</v>
      </c>
      <c r="F2" t="str">
        <f>_xlfn.XLOOKUP(PE_2[[#This Row],[STN]],SE_2[STN],SE_2[Ethnicity],"",0)</f>
        <v>White</v>
      </c>
    </row>
    <row r="3" spans="1:6" ht="15.75" customHeight="1">
      <c r="A3" s="1">
        <v>22911047</v>
      </c>
      <c r="B3" s="6">
        <v>42322</v>
      </c>
      <c r="C3" s="19">
        <v>6.0473210793899099</v>
      </c>
      <c r="D3" s="3"/>
      <c r="E3" t="b">
        <f>_xlfn.XLOOKUP(PE_2[[#This Row],[STN]],SE_2[STN],SE_2[IdeaEligibility],"w/o disability",0)</f>
        <v>1</v>
      </c>
      <c r="F3" t="str">
        <f>_xlfn.XLOOKUP(PE_2[[#This Row],[STN]],SE_2[STN],SE_2[Ethnicity],"",0)</f>
        <v>White</v>
      </c>
    </row>
    <row r="4" spans="1:6" ht="15.75" customHeight="1">
      <c r="A4" s="1">
        <v>22911143</v>
      </c>
      <c r="B4" s="6">
        <v>39894</v>
      </c>
      <c r="C4" s="19">
        <v>12.696082561078349</v>
      </c>
      <c r="D4" s="3"/>
      <c r="E4" t="b">
        <f>_xlfn.XLOOKUP(PE_2[[#This Row],[STN]],SE_2[STN],SE_2[IdeaEligibility],"w/o disability",0)</f>
        <v>1</v>
      </c>
      <c r="F4" t="str">
        <f>_xlfn.XLOOKUP(PE_2[[#This Row],[STN]],SE_2[STN],SE_2[Ethnicity],"",0)</f>
        <v>White</v>
      </c>
    </row>
    <row r="5" spans="1:6" ht="15.75" customHeight="1">
      <c r="A5" s="1">
        <v>22913229</v>
      </c>
      <c r="B5" s="6">
        <v>40637</v>
      </c>
      <c r="C5" s="19">
        <v>10.66052762568442</v>
      </c>
      <c r="D5" s="3"/>
      <c r="E5" t="b">
        <f>_xlfn.XLOOKUP(PE_2[[#This Row],[STN]],SE_2[STN],SE_2[IdeaEligibility],"w/o disability",0)</f>
        <v>1</v>
      </c>
      <c r="F5" t="str">
        <f>_xlfn.XLOOKUP(PE_2[[#This Row],[STN]],SE_2[STN],SE_2[Ethnicity],"",0)</f>
        <v>White</v>
      </c>
    </row>
    <row r="6" spans="1:6" ht="15.75" customHeight="1">
      <c r="A6" s="1">
        <v>22913229</v>
      </c>
      <c r="B6" s="6">
        <v>40760</v>
      </c>
      <c r="C6" s="19">
        <v>10.323792931806869</v>
      </c>
      <c r="D6" s="3"/>
      <c r="E6" t="b">
        <f>_xlfn.XLOOKUP(PE_2[[#This Row],[STN]],SE_2[STN],SE_2[IdeaEligibility],"w/o disability",0)</f>
        <v>1</v>
      </c>
      <c r="F6" t="str">
        <f>_xlfn.XLOOKUP(PE_2[[#This Row],[STN]],SE_2[STN],SE_2[Ethnicity],"",0)</f>
        <v>White</v>
      </c>
    </row>
    <row r="7" spans="1:6" ht="15.75" customHeight="1">
      <c r="A7" s="1">
        <v>22913229</v>
      </c>
      <c r="B7" s="6">
        <v>38167</v>
      </c>
      <c r="C7" s="19">
        <v>17.422357414448669</v>
      </c>
      <c r="D7" s="3"/>
      <c r="E7" t="b">
        <f>_xlfn.XLOOKUP(PE_2[[#This Row],[STN]],SE_2[STN],SE_2[IdeaEligibility],"w/o disability",0)</f>
        <v>1</v>
      </c>
      <c r="F7" t="str">
        <f>_xlfn.XLOOKUP(PE_2[[#This Row],[STN]],SE_2[STN],SE_2[Ethnicity],"",0)</f>
        <v>White</v>
      </c>
    </row>
    <row r="8" spans="1:6" ht="15.75" customHeight="1">
      <c r="A8" s="1">
        <v>22914091</v>
      </c>
      <c r="B8" s="6">
        <v>38911</v>
      </c>
      <c r="C8" s="19">
        <v>15.38672142368241</v>
      </c>
      <c r="D8" s="3"/>
      <c r="E8" t="b">
        <f>_xlfn.XLOOKUP(PE_2[[#This Row],[STN]],SE_2[STN],SE_2[IdeaEligibility],"w/o disability",0)</f>
        <v>1</v>
      </c>
      <c r="F8" t="str">
        <f>_xlfn.XLOOKUP(PE_2[[#This Row],[STN]],SE_2[STN],SE_2[Ethnicity],"",0)</f>
        <v>Black - African American</v>
      </c>
    </row>
    <row r="9" spans="1:6" ht="15.75" customHeight="1">
      <c r="A9" s="1">
        <v>22914379</v>
      </c>
      <c r="B9" s="6">
        <v>40619</v>
      </c>
      <c r="C9" s="19">
        <v>10.709805873568941</v>
      </c>
      <c r="D9" s="3"/>
      <c r="E9" t="b">
        <f>_xlfn.XLOOKUP(PE_2[[#This Row],[STN]],SE_2[STN],SE_2[IdeaEligibility],"w/o disability",0)</f>
        <v>1</v>
      </c>
      <c r="F9" t="str">
        <f>_xlfn.XLOOKUP(PE_2[[#This Row],[STN]],SE_2[STN],SE_2[Ethnicity],"",0)</f>
        <v>White</v>
      </c>
    </row>
    <row r="10" spans="1:6" ht="15.75" customHeight="1">
      <c r="A10" s="1">
        <v>22915224</v>
      </c>
      <c r="B10" s="6">
        <v>41821</v>
      </c>
      <c r="C10" s="19">
        <v>7.4195756331279945</v>
      </c>
      <c r="D10" s="3"/>
      <c r="E10" t="b">
        <f>_xlfn.XLOOKUP(PE_2[[#This Row],[STN]],SE_2[STN],SE_2[IdeaEligibility],"w/o disability",0)</f>
        <v>1</v>
      </c>
      <c r="F10" t="str">
        <f>_xlfn.XLOOKUP(PE_2[[#This Row],[STN]],SE_2[STN],SE_2[Ethnicity],"",0)</f>
        <v>White</v>
      </c>
    </row>
    <row r="11" spans="1:6" ht="15.75" customHeight="1">
      <c r="A11" s="1">
        <v>22915242</v>
      </c>
      <c r="B11" s="6">
        <v>41360</v>
      </c>
      <c r="C11" s="19">
        <v>8.6823851536355345</v>
      </c>
      <c r="D11" s="3"/>
      <c r="E11" t="b">
        <f>_xlfn.XLOOKUP(PE_2[[#This Row],[STN]],SE_2[STN],SE_2[IdeaEligibility],"w/o disability",0)</f>
        <v>1</v>
      </c>
      <c r="F11" t="str">
        <f>_xlfn.XLOOKUP(PE_2[[#This Row],[STN]],SE_2[STN],SE_2[Ethnicity],"",0)</f>
        <v>White</v>
      </c>
    </row>
    <row r="12" spans="1:6" ht="15.75" customHeight="1">
      <c r="A12" s="1">
        <v>22915242</v>
      </c>
      <c r="B12" s="6">
        <v>40585</v>
      </c>
      <c r="C12" s="19">
        <v>10.802887008461923</v>
      </c>
      <c r="D12" s="3"/>
      <c r="E12" t="b">
        <f>_xlfn.XLOOKUP(PE_2[[#This Row],[STN]],SE_2[STN],SE_2[IdeaEligibility],"w/o disability",0)</f>
        <v>1</v>
      </c>
      <c r="F12" t="str">
        <f>_xlfn.XLOOKUP(PE_2[[#This Row],[STN]],SE_2[STN],SE_2[Ethnicity],"",0)</f>
        <v>White</v>
      </c>
    </row>
    <row r="13" spans="1:6" ht="15.75" customHeight="1">
      <c r="A13" s="1">
        <v>22915242</v>
      </c>
      <c r="B13" s="9">
        <v>42137</v>
      </c>
      <c r="C13" s="19">
        <v>6.5537739538521711</v>
      </c>
      <c r="D13" s="3"/>
      <c r="E13" t="b">
        <f>_xlfn.XLOOKUP(PE_2[[#This Row],[STN]],SE_2[STN],SE_2[IdeaEligibility],"w/o disability",0)</f>
        <v>1</v>
      </c>
      <c r="F13" t="str">
        <f>_xlfn.XLOOKUP(PE_2[[#This Row],[STN]],SE_2[STN],SE_2[Ethnicity],"",0)</f>
        <v>White</v>
      </c>
    </row>
    <row r="14" spans="1:6" ht="15.75" customHeight="1">
      <c r="A14" s="1">
        <v>22912405</v>
      </c>
      <c r="B14" s="6">
        <v>41895</v>
      </c>
      <c r="C14" s="19">
        <v>7.2169746748802188</v>
      </c>
      <c r="D14" s="3"/>
      <c r="E14" t="b">
        <f>_xlfn.XLOOKUP(PE_2[[#This Row],[STN]],SE_2[STN],SE_2[IdeaEligibility],"w/o disability",0)</f>
        <v>1</v>
      </c>
      <c r="F14" t="str">
        <f>_xlfn.XLOOKUP(PE_2[[#This Row],[STN]],SE_2[STN],SE_2[Ethnicity],"",0)</f>
        <v>White</v>
      </c>
    </row>
    <row r="15" spans="1:6" ht="15.75" customHeight="1">
      <c r="A15" s="1">
        <v>22907502</v>
      </c>
      <c r="B15" s="6">
        <v>38560</v>
      </c>
      <c r="C15" s="19">
        <v>16.34836527621195</v>
      </c>
      <c r="D15" s="3"/>
      <c r="E15" t="b">
        <f>_xlfn.XLOOKUP(PE_2[[#This Row],[STN]],SE_2[STN],SE_2[IdeaEligibility],"w/o disability",0)</f>
        <v>1</v>
      </c>
      <c r="F15" t="str">
        <f>_xlfn.XLOOKUP(PE_2[[#This Row],[STN]],SE_2[STN],SE_2[Ethnicity],"",0)</f>
        <v>White</v>
      </c>
    </row>
    <row r="16" spans="1:6" ht="15.75" customHeight="1">
      <c r="A16" s="1">
        <v>22908743</v>
      </c>
      <c r="B16" s="6">
        <v>41551</v>
      </c>
      <c r="C16" s="19">
        <v>8.1594158807423174</v>
      </c>
      <c r="D16" s="3"/>
      <c r="E16" t="b">
        <f>_xlfn.XLOOKUP(PE_2[[#This Row],[STN]],SE_2[STN],SE_2[IdeaEligibility],"w/o disability",0)</f>
        <v>1</v>
      </c>
      <c r="F16" t="str">
        <f>_xlfn.XLOOKUP(PE_2[[#This Row],[STN]],SE_2[STN],SE_2[Ethnicity],"",0)</f>
        <v>White</v>
      </c>
    </row>
    <row r="17" spans="1:6" ht="15.75" customHeight="1">
      <c r="A17" s="1">
        <v>22910212</v>
      </c>
      <c r="B17" s="6">
        <v>42361</v>
      </c>
      <c r="C17" s="19">
        <v>5.9405553382870551</v>
      </c>
      <c r="D17" s="3"/>
      <c r="E17" t="b">
        <f>_xlfn.XLOOKUP(PE_2[[#This Row],[STN]],SE_2[STN],SE_2[IdeaEligibility],"w/o disability",0)</f>
        <v>1</v>
      </c>
      <c r="F17" t="str">
        <f>_xlfn.XLOOKUP(PE_2[[#This Row],[STN]],SE_2[STN],SE_2[Ethnicity],"",0)</f>
        <v>Black - African American</v>
      </c>
    </row>
    <row r="18" spans="1:6" ht="15.75" customHeight="1">
      <c r="A18" s="1">
        <v>22910212</v>
      </c>
      <c r="B18" s="6">
        <v>39637</v>
      </c>
      <c r="C18" s="19">
        <v>13.39773171685569</v>
      </c>
      <c r="D18" s="3"/>
      <c r="E18" t="b">
        <f>_xlfn.XLOOKUP(PE_2[[#This Row],[STN]],SE_2[STN],SE_2[IdeaEligibility],"w/o disability",0)</f>
        <v>1</v>
      </c>
      <c r="F18" t="str">
        <f>_xlfn.XLOOKUP(PE_2[[#This Row],[STN]],SE_2[STN],SE_2[Ethnicity],"",0)</f>
        <v>Black - African American</v>
      </c>
    </row>
    <row r="19" spans="1:6" ht="15.75" customHeight="1">
      <c r="A19" s="1">
        <v>22910536</v>
      </c>
      <c r="B19" s="6">
        <v>39255</v>
      </c>
      <c r="C19" s="19">
        <v>14.444241649936121</v>
      </c>
      <c r="D19" s="3"/>
      <c r="E19" t="b">
        <f>_xlfn.XLOOKUP(PE_2[[#This Row],[STN]],SE_2[STN],SE_2[IdeaEligibility],"w/o disability",0)</f>
        <v>1</v>
      </c>
      <c r="F19" t="str">
        <f>_xlfn.XLOOKUP(PE_2[[#This Row],[STN]],SE_2[STN],SE_2[Ethnicity],"",0)</f>
        <v>White</v>
      </c>
    </row>
    <row r="20" spans="1:6" ht="15.75" customHeight="1">
      <c r="A20" s="1">
        <v>22910761</v>
      </c>
      <c r="B20" s="6">
        <v>42034</v>
      </c>
      <c r="C20" s="19">
        <v>6.8357450136879159</v>
      </c>
      <c r="D20" s="3"/>
      <c r="E20" t="b">
        <f>_xlfn.XLOOKUP(PE_2[[#This Row],[STN]],SE_2[STN],SE_2[IdeaEligibility],"w/o disability",0)</f>
        <v>1</v>
      </c>
      <c r="F20" t="str">
        <f>_xlfn.XLOOKUP(PE_2[[#This Row],[STN]],SE_2[STN],SE_2[Ethnicity],"",0)</f>
        <v>White</v>
      </c>
    </row>
    <row r="21" spans="1:6" ht="15.75" customHeight="1">
      <c r="A21" s="1">
        <v>22908537</v>
      </c>
      <c r="B21" s="6">
        <v>39327</v>
      </c>
      <c r="C21" s="19">
        <v>14.247125387844498</v>
      </c>
      <c r="D21" s="3"/>
      <c r="E21" t="b">
        <f>_xlfn.XLOOKUP(PE_2[[#This Row],[STN]],SE_2[STN],SE_2[IdeaEligibility],"w/o disability",0)</f>
        <v>1</v>
      </c>
      <c r="F21" t="str">
        <f>_xlfn.XLOOKUP(PE_2[[#This Row],[STN]],SE_2[STN],SE_2[Ethnicity],"",0)</f>
        <v>White</v>
      </c>
    </row>
    <row r="22" spans="1:6" ht="15.75" customHeight="1">
      <c r="A22" s="1">
        <v>22909622</v>
      </c>
      <c r="B22" s="6">
        <v>38345</v>
      </c>
      <c r="C22" s="19">
        <v>16.935057034220531</v>
      </c>
      <c r="D22" s="3"/>
      <c r="E22" t="b">
        <f>_xlfn.XLOOKUP(PE_2[[#This Row],[STN]],SE_2[STN],SE_2[IdeaEligibility],"w/o disability",0)</f>
        <v>1</v>
      </c>
      <c r="F22" t="str">
        <f>_xlfn.XLOOKUP(PE_2[[#This Row],[STN]],SE_2[STN],SE_2[Ethnicity],"",0)</f>
        <v>White</v>
      </c>
    </row>
    <row r="23" spans="1:6" ht="14.45">
      <c r="A23" s="1">
        <v>22909622</v>
      </c>
      <c r="B23" s="6">
        <v>39301</v>
      </c>
      <c r="C23" s="19">
        <v>14.318306260266473</v>
      </c>
      <c r="D23" s="3"/>
      <c r="E23" t="b">
        <f>_xlfn.XLOOKUP(PE_2[[#This Row],[STN]],SE_2[STN],SE_2[IdeaEligibility],"w/o disability",0)</f>
        <v>1</v>
      </c>
      <c r="F23" t="str">
        <f>_xlfn.XLOOKUP(PE_2[[#This Row],[STN]],SE_2[STN],SE_2[Ethnicity],"",0)</f>
        <v>White</v>
      </c>
    </row>
    <row r="24" spans="1:6" ht="14.45">
      <c r="A24" s="1">
        <v>22909622</v>
      </c>
      <c r="B24" s="6">
        <v>39785</v>
      </c>
      <c r="C24" s="19">
        <v>12.992569417285882</v>
      </c>
      <c r="D24" s="3"/>
      <c r="E24" t="b">
        <f>_xlfn.XLOOKUP(PE_2[[#This Row],[STN]],SE_2[STN],SE_2[IdeaEligibility],"w/o disability",0)</f>
        <v>1</v>
      </c>
      <c r="F24" t="str">
        <f>_xlfn.XLOOKUP(PE_2[[#This Row],[STN]],SE_2[STN],SE_2[Ethnicity],"",0)</f>
        <v>White</v>
      </c>
    </row>
    <row r="25" spans="1:6" ht="14.45">
      <c r="A25" s="1">
        <v>22910242</v>
      </c>
      <c r="B25" s="6">
        <v>38559</v>
      </c>
      <c r="C25" s="19">
        <v>16.35110323723627</v>
      </c>
      <c r="D25" s="3"/>
      <c r="E25" t="b">
        <f>_xlfn.XLOOKUP(PE_2[[#This Row],[STN]],SE_2[STN],SE_2[IdeaEligibility],"w/o disability",0)</f>
        <v>1</v>
      </c>
      <c r="F25" t="str">
        <f>_xlfn.XLOOKUP(PE_2[[#This Row],[STN]],SE_2[STN],SE_2[Ethnicity],"",0)</f>
        <v>White</v>
      </c>
    </row>
    <row r="26" spans="1:6" ht="14.45">
      <c r="A26" s="1">
        <v>22910242</v>
      </c>
      <c r="B26" s="6">
        <v>39290</v>
      </c>
      <c r="C26" s="19">
        <v>14.348421244752693</v>
      </c>
      <c r="D26" s="3"/>
      <c r="E26" t="b">
        <f>_xlfn.XLOOKUP(PE_2[[#This Row],[STN]],SE_2[STN],SE_2[IdeaEligibility],"w/o disability",0)</f>
        <v>1</v>
      </c>
      <c r="F26" t="str">
        <f>_xlfn.XLOOKUP(PE_2[[#This Row],[STN]],SE_2[STN],SE_2[Ethnicity],"",0)</f>
        <v>White</v>
      </c>
    </row>
    <row r="27" spans="1:6" ht="14.45">
      <c r="A27" s="1">
        <v>22909544</v>
      </c>
      <c r="B27" s="6">
        <v>41451</v>
      </c>
      <c r="C27" s="19">
        <v>8.4332217827806506</v>
      </c>
      <c r="D27" s="3"/>
      <c r="E27" t="b">
        <f>_xlfn.XLOOKUP(PE_2[[#This Row],[STN]],SE_2[STN],SE_2[IdeaEligibility],"w/o disability",0)</f>
        <v>1</v>
      </c>
      <c r="F27" t="str">
        <f>_xlfn.XLOOKUP(PE_2[[#This Row],[STN]],SE_2[STN],SE_2[Ethnicity],"",0)</f>
        <v>White</v>
      </c>
    </row>
    <row r="28" spans="1:6" ht="14.45">
      <c r="A28" s="1">
        <v>22910110</v>
      </c>
      <c r="B28" s="6">
        <v>39626</v>
      </c>
      <c r="C28" s="19">
        <v>13.427845131012907</v>
      </c>
      <c r="D28" s="3"/>
      <c r="E28" t="b">
        <f>_xlfn.XLOOKUP(PE_2[[#This Row],[STN]],SE_2[STN],SE_2[IdeaEligibility],"w/o disability",0)</f>
        <v>1</v>
      </c>
      <c r="F28" t="str">
        <f>_xlfn.XLOOKUP(PE_2[[#This Row],[STN]],SE_2[STN],SE_2[Ethnicity],"",0)</f>
        <v>White</v>
      </c>
    </row>
    <row r="29" spans="1:6" ht="14.45">
      <c r="A29" s="1">
        <v>22910110</v>
      </c>
      <c r="B29" s="6">
        <v>39199</v>
      </c>
      <c r="C29" s="19">
        <v>14.597554298229605</v>
      </c>
      <c r="D29" s="3"/>
      <c r="E29" t="b">
        <f>_xlfn.XLOOKUP(PE_2[[#This Row],[STN]],SE_2[STN],SE_2[IdeaEligibility],"w/o disability",0)</f>
        <v>1</v>
      </c>
      <c r="F29" t="str">
        <f>_xlfn.XLOOKUP(PE_2[[#This Row],[STN]],SE_2[STN],SE_2[Ethnicity],"",0)</f>
        <v>White</v>
      </c>
    </row>
    <row r="30" spans="1:6" ht="14.45">
      <c r="A30" s="1">
        <v>22910110</v>
      </c>
      <c r="B30" s="6">
        <v>38888</v>
      </c>
      <c r="C30" s="19">
        <v>15.449691991786448</v>
      </c>
      <c r="D30" s="3"/>
      <c r="E30" t="b">
        <f>_xlfn.XLOOKUP(PE_2[[#This Row],[STN]],SE_2[STN],SE_2[IdeaEligibility],"w/o disability",0)</f>
        <v>1</v>
      </c>
      <c r="F30" t="str">
        <f>_xlfn.XLOOKUP(PE_2[[#This Row],[STN]],SE_2[STN],SE_2[Ethnicity],"",0)</f>
        <v>White</v>
      </c>
    </row>
    <row r="31" spans="1:6" ht="14.45">
      <c r="A31" s="1">
        <v>22910756</v>
      </c>
      <c r="B31" s="9">
        <v>39934</v>
      </c>
      <c r="C31" s="19">
        <v>12.586562763268745</v>
      </c>
      <c r="D31" s="3"/>
      <c r="E31" t="b">
        <f>_xlfn.XLOOKUP(PE_2[[#This Row],[STN]],SE_2[STN],SE_2[IdeaEligibility],"w/o disability",0)</f>
        <v>1</v>
      </c>
      <c r="F31" t="str">
        <f>_xlfn.XLOOKUP(PE_2[[#This Row],[STN]],SE_2[STN],SE_2[Ethnicity],"",0)</f>
        <v>White</v>
      </c>
    </row>
    <row r="32" spans="1:6" ht="14.45">
      <c r="A32" s="1">
        <v>22907674</v>
      </c>
      <c r="B32" s="6">
        <v>39554</v>
      </c>
      <c r="C32" s="19">
        <v>13.624951114587407</v>
      </c>
      <c r="D32" s="3"/>
      <c r="E32" t="b">
        <f>_xlfn.XLOOKUP(PE_2[[#This Row],[STN]],SE_2[STN],SE_2[IdeaEligibility],"w/o disability",0)</f>
        <v>1</v>
      </c>
      <c r="F32" t="str">
        <f>_xlfn.XLOOKUP(PE_2[[#This Row],[STN]],SE_2[STN],SE_2[Ethnicity],"",0)</f>
        <v>Black - African American</v>
      </c>
    </row>
    <row r="33" spans="1:6" ht="14.45">
      <c r="A33" s="1">
        <v>22907674</v>
      </c>
      <c r="B33" s="9">
        <v>39206</v>
      </c>
      <c r="C33" s="19">
        <v>14.578390217192918</v>
      </c>
      <c r="D33" s="3"/>
      <c r="E33" t="b">
        <f>_xlfn.XLOOKUP(PE_2[[#This Row],[STN]],SE_2[STN],SE_2[IdeaEligibility],"w/o disability",0)</f>
        <v>1</v>
      </c>
      <c r="F33" t="str">
        <f>_xlfn.XLOOKUP(PE_2[[#This Row],[STN]],SE_2[STN],SE_2[Ethnicity],"",0)</f>
        <v>Black - African American</v>
      </c>
    </row>
    <row r="34" spans="1:6" ht="14.45">
      <c r="A34" s="1">
        <v>22907674</v>
      </c>
      <c r="B34" s="6">
        <v>40275</v>
      </c>
      <c r="C34" s="19">
        <v>11.652292950034223</v>
      </c>
      <c r="D34" s="3"/>
      <c r="E34" t="b">
        <f>_xlfn.XLOOKUP(PE_2[[#This Row],[STN]],SE_2[STN],SE_2[IdeaEligibility],"w/o disability",0)</f>
        <v>1</v>
      </c>
      <c r="F34" t="str">
        <f>_xlfn.XLOOKUP(PE_2[[#This Row],[STN]],SE_2[STN],SE_2[Ethnicity],"",0)</f>
        <v>Black - African American</v>
      </c>
    </row>
    <row r="35" spans="1:6" ht="14.45">
      <c r="A35" s="1">
        <v>22910117</v>
      </c>
      <c r="B35" s="6">
        <v>41458</v>
      </c>
      <c r="C35" s="19">
        <v>8.4140553696379676</v>
      </c>
      <c r="D35" s="3"/>
      <c r="E35" t="b">
        <f>_xlfn.XLOOKUP(PE_2[[#This Row],[STN]],SE_2[STN],SE_2[IdeaEligibility],"w/o disability",0)</f>
        <v>1</v>
      </c>
      <c r="F35" t="str">
        <f>_xlfn.XLOOKUP(PE_2[[#This Row],[STN]],SE_2[STN],SE_2[Ethnicity],"",0)</f>
        <v>White</v>
      </c>
    </row>
    <row r="36" spans="1:6" ht="14.45">
      <c r="A36" s="1">
        <v>22911003</v>
      </c>
      <c r="B36" s="6">
        <v>40514</v>
      </c>
      <c r="C36" s="19">
        <v>10.997946611909651</v>
      </c>
      <c r="D36" s="3"/>
      <c r="E36" t="b">
        <f>_xlfn.XLOOKUP(PE_2[[#This Row],[STN]],SE_2[STN],SE_2[IdeaEligibility],"w/o disability",0)</f>
        <v>1</v>
      </c>
      <c r="F36" t="str">
        <f>_xlfn.XLOOKUP(PE_2[[#This Row],[STN]],SE_2[STN],SE_2[Ethnicity],"",0)</f>
        <v>White</v>
      </c>
    </row>
    <row r="37" spans="1:6" ht="14.45">
      <c r="A37" s="1">
        <v>22911003</v>
      </c>
      <c r="B37" s="6">
        <v>40696</v>
      </c>
      <c r="C37" s="19">
        <v>10.499004479840718</v>
      </c>
      <c r="D37" s="3"/>
      <c r="E37" t="b">
        <f>_xlfn.XLOOKUP(PE_2[[#This Row],[STN]],SE_2[STN],SE_2[IdeaEligibility],"w/o disability",0)</f>
        <v>1</v>
      </c>
      <c r="F37" t="str">
        <f>_xlfn.XLOOKUP(PE_2[[#This Row],[STN]],SE_2[STN],SE_2[Ethnicity],"",0)</f>
        <v>White</v>
      </c>
    </row>
    <row r="38" spans="1:6" ht="14.45">
      <c r="A38" s="1">
        <v>22911003</v>
      </c>
      <c r="B38" s="6">
        <v>42084</v>
      </c>
      <c r="C38" s="19">
        <v>6.6988658584278449</v>
      </c>
      <c r="D38" s="3"/>
      <c r="E38" t="b">
        <f>_xlfn.XLOOKUP(PE_2[[#This Row],[STN]],SE_2[STN],SE_2[IdeaEligibility],"w/o disability",0)</f>
        <v>1</v>
      </c>
      <c r="F38" t="str">
        <f>_xlfn.XLOOKUP(PE_2[[#This Row],[STN]],SE_2[STN],SE_2[Ethnicity],"",0)</f>
        <v>White</v>
      </c>
    </row>
    <row r="39" spans="1:6" ht="14.45">
      <c r="A39" s="1">
        <v>22911142</v>
      </c>
      <c r="B39" s="6">
        <v>41517</v>
      </c>
      <c r="C39" s="19">
        <v>8.2525098874353517</v>
      </c>
      <c r="D39" s="3"/>
      <c r="E39" t="b">
        <f>_xlfn.XLOOKUP(PE_2[[#This Row],[STN]],SE_2[STN],SE_2[IdeaEligibility],"w/o disability",0)</f>
        <v>1</v>
      </c>
      <c r="F39" t="str">
        <f>_xlfn.XLOOKUP(PE_2[[#This Row],[STN]],SE_2[STN],SE_2[Ethnicity],"",0)</f>
        <v>White</v>
      </c>
    </row>
    <row r="40" spans="1:6" ht="14.45">
      <c r="A40" s="1">
        <v>22909541</v>
      </c>
      <c r="B40" s="6">
        <v>39021</v>
      </c>
      <c r="C40" s="19">
        <v>15.085557837097879</v>
      </c>
      <c r="D40" s="3"/>
      <c r="E40" t="b">
        <f>_xlfn.XLOOKUP(PE_2[[#This Row],[STN]],SE_2[STN],SE_2[IdeaEligibility],"w/o disability",0)</f>
        <v>1</v>
      </c>
      <c r="F40" t="str">
        <f>_xlfn.XLOOKUP(PE_2[[#This Row],[STN]],SE_2[STN],SE_2[Ethnicity],"",0)</f>
        <v>White</v>
      </c>
    </row>
    <row r="41" spans="1:6" ht="14.45">
      <c r="A41" s="1">
        <v>22910105</v>
      </c>
      <c r="B41" s="9">
        <v>40310</v>
      </c>
      <c r="C41" s="19">
        <v>11.5564681724846</v>
      </c>
      <c r="D41" s="3"/>
      <c r="E41" t="b">
        <f>_xlfn.XLOOKUP(PE_2[[#This Row],[STN]],SE_2[STN],SE_2[IdeaEligibility],"w/o disability",0)</f>
        <v>1</v>
      </c>
      <c r="F41" t="str">
        <f>_xlfn.XLOOKUP(PE_2[[#This Row],[STN]],SE_2[STN],SE_2[Ethnicity],"",0)</f>
        <v>Hispanic Ethnicity and of any race</v>
      </c>
    </row>
    <row r="42" spans="1:6" ht="14.45">
      <c r="A42" s="1">
        <v>22910715</v>
      </c>
      <c r="B42" s="6">
        <v>41233</v>
      </c>
      <c r="C42" s="19">
        <v>9.0281960032849717</v>
      </c>
      <c r="D42" s="3"/>
      <c r="E42" t="b">
        <f>_xlfn.XLOOKUP(PE_2[[#This Row],[STN]],SE_2[STN],SE_2[IdeaEligibility],"w/o disability",0)</f>
        <v>1</v>
      </c>
      <c r="F42" t="str">
        <f>_xlfn.XLOOKUP(PE_2[[#This Row],[STN]],SE_2[STN],SE_2[Ethnicity],"",0)</f>
        <v>White</v>
      </c>
    </row>
    <row r="43" spans="1:6" ht="14.45">
      <c r="A43" s="1">
        <v>22910760</v>
      </c>
      <c r="B43" s="6">
        <v>40840</v>
      </c>
      <c r="C43" s="19">
        <v>10.10477849676456</v>
      </c>
      <c r="D43" s="3"/>
      <c r="E43" t="b">
        <f>_xlfn.XLOOKUP(PE_2[[#This Row],[STN]],SE_2[STN],SE_2[IdeaEligibility],"w/o disability",0)</f>
        <v>1</v>
      </c>
      <c r="F43" t="str">
        <f>_xlfn.XLOOKUP(PE_2[[#This Row],[STN]],SE_2[STN],SE_2[Ethnicity],"",0)</f>
        <v>White</v>
      </c>
    </row>
    <row r="44" spans="1:6" ht="14.45">
      <c r="A44" s="1">
        <v>22910790</v>
      </c>
      <c r="B44" s="6">
        <v>41465</v>
      </c>
      <c r="C44" s="19">
        <v>8.3948889564952847</v>
      </c>
      <c r="D44" s="3"/>
      <c r="E44" t="b">
        <f>_xlfn.XLOOKUP(PE_2[[#This Row],[STN]],SE_2[STN],SE_2[IdeaEligibility],"w/o disability",0)</f>
        <v>1</v>
      </c>
      <c r="F44" t="str">
        <f>_xlfn.XLOOKUP(PE_2[[#This Row],[STN]],SE_2[STN],SE_2[Ethnicity],"",0)</f>
        <v>White</v>
      </c>
    </row>
    <row r="45" spans="1:6" ht="14.45">
      <c r="A45" s="1">
        <v>22911190</v>
      </c>
      <c r="B45" s="6">
        <v>40881</v>
      </c>
      <c r="C45" s="19">
        <v>9.9925335988053767</v>
      </c>
      <c r="D45" s="3"/>
      <c r="E45" t="b">
        <f>_xlfn.XLOOKUP(PE_2[[#This Row],[STN]],SE_2[STN],SE_2[IdeaEligibility],"w/o disability",0)</f>
        <v>1</v>
      </c>
      <c r="F45" t="str">
        <f>_xlfn.XLOOKUP(PE_2[[#This Row],[STN]],SE_2[STN],SE_2[Ethnicity],"",0)</f>
        <v>White</v>
      </c>
    </row>
    <row r="46" spans="1:6" ht="14.45">
      <c r="A46" s="1">
        <v>22907202</v>
      </c>
      <c r="B46" s="6">
        <v>42704</v>
      </c>
      <c r="C46" s="19">
        <v>5.0009124087591239</v>
      </c>
      <c r="D46" s="3"/>
      <c r="E46" t="b">
        <f>_xlfn.XLOOKUP(PE_2[[#This Row],[STN]],SE_2[STN],SE_2[IdeaEligibility],"w/o disability",0)</f>
        <v>1</v>
      </c>
      <c r="F46" t="str">
        <f>_xlfn.XLOOKUP(PE_2[[#This Row],[STN]],SE_2[STN],SE_2[Ethnicity],"",0)</f>
        <v>White</v>
      </c>
    </row>
    <row r="47" spans="1:6" ht="14.45">
      <c r="A47" s="1">
        <v>22907679</v>
      </c>
      <c r="B47" s="6">
        <v>39412</v>
      </c>
      <c r="C47" s="19">
        <v>14.014418689541888</v>
      </c>
      <c r="D47" s="3"/>
      <c r="E47" t="b">
        <f>_xlfn.XLOOKUP(PE_2[[#This Row],[STN]],SE_2[STN],SE_2[IdeaEligibility],"w/o disability",0)</f>
        <v>1</v>
      </c>
      <c r="F47" t="str">
        <f>_xlfn.XLOOKUP(PE_2[[#This Row],[STN]],SE_2[STN],SE_2[Ethnicity],"",0)</f>
        <v>Hispanic Ethnicity and of any race</v>
      </c>
    </row>
    <row r="48" spans="1:6" ht="14.45">
      <c r="A48" s="1">
        <v>22908559</v>
      </c>
      <c r="B48" s="6">
        <v>40248</v>
      </c>
      <c r="C48" s="19">
        <v>11.72621492128679</v>
      </c>
      <c r="D48" s="3"/>
      <c r="E48" t="b">
        <f>_xlfn.XLOOKUP(PE_2[[#This Row],[STN]],SE_2[STN],SE_2[IdeaEligibility],"w/o disability",0)</f>
        <v>1</v>
      </c>
      <c r="F48" t="str">
        <f>_xlfn.XLOOKUP(PE_2[[#This Row],[STN]],SE_2[STN],SE_2[Ethnicity],"",0)</f>
        <v>White</v>
      </c>
    </row>
    <row r="49" spans="1:6" ht="14.45">
      <c r="A49" s="1">
        <v>22909528</v>
      </c>
      <c r="B49" s="6">
        <v>41971</v>
      </c>
      <c r="C49" s="19">
        <v>7.008898015058179</v>
      </c>
      <c r="D49" s="3"/>
      <c r="E49" t="b">
        <f>_xlfn.XLOOKUP(PE_2[[#This Row],[STN]],SE_2[STN],SE_2[IdeaEligibility],"w/o disability",0)</f>
        <v>1</v>
      </c>
      <c r="F49" t="str">
        <f>_xlfn.XLOOKUP(PE_2[[#This Row],[STN]],SE_2[STN],SE_2[Ethnicity],"",0)</f>
        <v>White</v>
      </c>
    </row>
    <row r="50" spans="1:6" ht="14.45">
      <c r="A50" s="1">
        <v>22909628</v>
      </c>
      <c r="B50" s="6">
        <v>40204</v>
      </c>
      <c r="C50" s="19">
        <v>11.846680355920602</v>
      </c>
      <c r="D50" s="3"/>
      <c r="E50" t="b">
        <f>_xlfn.XLOOKUP(PE_2[[#This Row],[STN]],SE_2[STN],SE_2[IdeaEligibility],"w/o disability",0)</f>
        <v>1</v>
      </c>
      <c r="F50" t="str">
        <f>_xlfn.XLOOKUP(PE_2[[#This Row],[STN]],SE_2[STN],SE_2[Ethnicity],"",0)</f>
        <v>White</v>
      </c>
    </row>
    <row r="51" spans="1:6" ht="14.45">
      <c r="A51" s="1">
        <v>22910276</v>
      </c>
      <c r="B51" s="6">
        <v>41577</v>
      </c>
      <c r="C51" s="19">
        <v>8.0882263462123518</v>
      </c>
      <c r="D51" s="3"/>
      <c r="E51" t="b">
        <f>_xlfn.XLOOKUP(PE_2[[#This Row],[STN]],SE_2[STN],SE_2[IdeaEligibility],"w/o disability",0)</f>
        <v>1</v>
      </c>
      <c r="F51" t="str">
        <f>_xlfn.XLOOKUP(PE_2[[#This Row],[STN]],SE_2[STN],SE_2[Ethnicity],"",0)</f>
        <v>White</v>
      </c>
    </row>
    <row r="52" spans="1:6" ht="14.45">
      <c r="A52" s="1">
        <v>22910543</v>
      </c>
      <c r="B52" s="6">
        <v>41729</v>
      </c>
      <c r="C52" s="19">
        <v>7.6714579055441474</v>
      </c>
      <c r="D52" s="3"/>
      <c r="E52" t="b">
        <f>_xlfn.XLOOKUP(PE_2[[#This Row],[STN]],SE_2[STN],SE_2[IdeaEligibility],"w/o disability",0)</f>
        <v>1</v>
      </c>
      <c r="F52" t="str">
        <f>_xlfn.XLOOKUP(PE_2[[#This Row],[STN]],SE_2[STN],SE_2[Ethnicity],"",0)</f>
        <v>White</v>
      </c>
    </row>
    <row r="53" spans="1:6" ht="14.45">
      <c r="A53" s="1">
        <v>22910742</v>
      </c>
      <c r="B53" s="6">
        <v>39285</v>
      </c>
      <c r="C53" s="19">
        <v>14.362109874064611</v>
      </c>
      <c r="D53" s="3"/>
      <c r="E53" t="b">
        <f>_xlfn.XLOOKUP(PE_2[[#This Row],[STN]],SE_2[STN],SE_2[IdeaEligibility],"w/o disability",0)</f>
        <v>1</v>
      </c>
      <c r="F53" t="str">
        <f>_xlfn.XLOOKUP(PE_2[[#This Row],[STN]],SE_2[STN],SE_2[Ethnicity],"",0)</f>
        <v>Hispanic Ethnicity and of any race</v>
      </c>
    </row>
    <row r="54" spans="1:6" ht="14.45">
      <c r="A54" s="1">
        <v>22910742</v>
      </c>
      <c r="B54" s="6">
        <v>41725</v>
      </c>
      <c r="C54" s="19">
        <v>7.6824093086926766</v>
      </c>
      <c r="D54" s="3"/>
      <c r="E54" t="b">
        <f>_xlfn.XLOOKUP(PE_2[[#This Row],[STN]],SE_2[STN],SE_2[IdeaEligibility],"w/o disability",0)</f>
        <v>1</v>
      </c>
      <c r="F54" t="str">
        <f>_xlfn.XLOOKUP(PE_2[[#This Row],[STN]],SE_2[STN],SE_2[Ethnicity],"",0)</f>
        <v>Hispanic Ethnicity and of any race</v>
      </c>
    </row>
    <row r="55" spans="1:6" ht="14.45">
      <c r="A55" s="1">
        <v>22915388</v>
      </c>
      <c r="B55" s="9">
        <v>40309</v>
      </c>
      <c r="C55" s="19">
        <v>11.559206023271731</v>
      </c>
      <c r="D55" s="3"/>
      <c r="E55" t="b">
        <f>_xlfn.XLOOKUP(PE_2[[#This Row],[STN]],SE_2[STN],SE_2[IdeaEligibility],"w/o disability",0)</f>
        <v>1</v>
      </c>
      <c r="F55" t="str">
        <f>_xlfn.XLOOKUP(PE_2[[#This Row],[STN]],SE_2[STN],SE_2[Ethnicity],"",0)</f>
        <v>White</v>
      </c>
    </row>
    <row r="56" spans="1:6" ht="14.45">
      <c r="A56" s="1">
        <v>22915388</v>
      </c>
      <c r="B56" s="6">
        <v>39477</v>
      </c>
      <c r="C56" s="19">
        <v>13.835745013687916</v>
      </c>
      <c r="D56" s="3"/>
      <c r="E56" t="b">
        <f>_xlfn.XLOOKUP(PE_2[[#This Row],[STN]],SE_2[STN],SE_2[IdeaEligibility],"w/o disability",0)</f>
        <v>1</v>
      </c>
      <c r="F56" t="str">
        <f>_xlfn.XLOOKUP(PE_2[[#This Row],[STN]],SE_2[STN],SE_2[Ethnicity],"",0)</f>
        <v>White</v>
      </c>
    </row>
    <row r="57" spans="1:6" ht="14.45">
      <c r="A57" s="1">
        <v>22915388</v>
      </c>
      <c r="B57" s="6">
        <v>39493</v>
      </c>
      <c r="C57" s="19">
        <v>13.791943684004693</v>
      </c>
      <c r="D57" s="3"/>
      <c r="E57" t="b">
        <f>_xlfn.XLOOKUP(PE_2[[#This Row],[STN]],SE_2[STN],SE_2[IdeaEligibility],"w/o disability",0)</f>
        <v>1</v>
      </c>
      <c r="F57" t="str">
        <f>_xlfn.XLOOKUP(PE_2[[#This Row],[STN]],SE_2[STN],SE_2[Ethnicity],"",0)</f>
        <v>White</v>
      </c>
    </row>
    <row r="58" spans="1:6" ht="14.45">
      <c r="A58" s="1">
        <v>22915388</v>
      </c>
      <c r="B58" s="6">
        <v>42279</v>
      </c>
      <c r="C58" s="19">
        <v>6.1650371529135706</v>
      </c>
      <c r="D58" s="3"/>
      <c r="E58" t="b">
        <f>_xlfn.XLOOKUP(PE_2[[#This Row],[STN]],SE_2[STN],SE_2[IdeaEligibility],"w/o disability",0)</f>
        <v>1</v>
      </c>
      <c r="F58" t="str">
        <f>_xlfn.XLOOKUP(PE_2[[#This Row],[STN]],SE_2[STN],SE_2[Ethnicity],"",0)</f>
        <v>White</v>
      </c>
    </row>
    <row r="59" spans="1:6" ht="14.45">
      <c r="A59" s="1">
        <v>22916047</v>
      </c>
      <c r="B59" s="6">
        <v>40022</v>
      </c>
      <c r="C59" s="19">
        <v>12.345619208087616</v>
      </c>
      <c r="D59" s="3"/>
      <c r="E59" t="b">
        <f>_xlfn.XLOOKUP(PE_2[[#This Row],[STN]],SE_2[STN],SE_2[IdeaEligibility],"w/o disability",0)</f>
        <v>1</v>
      </c>
      <c r="F59" t="str">
        <f>_xlfn.XLOOKUP(PE_2[[#This Row],[STN]],SE_2[STN],SE_2[Ethnicity],"",0)</f>
        <v>Black - African American</v>
      </c>
    </row>
    <row r="60" spans="1:6" ht="14.45">
      <c r="A60" s="1">
        <v>22916139</v>
      </c>
      <c r="B60" s="6">
        <v>42296</v>
      </c>
      <c r="C60" s="19">
        <v>6.1184982401251471</v>
      </c>
      <c r="D60" s="3"/>
      <c r="E60" t="b">
        <f>_xlfn.XLOOKUP(PE_2[[#This Row],[STN]],SE_2[STN],SE_2[IdeaEligibility],"w/o disability",0)</f>
        <v>1</v>
      </c>
      <c r="F60" t="str">
        <f>_xlfn.XLOOKUP(PE_2[[#This Row],[STN]],SE_2[STN],SE_2[Ethnicity],"",0)</f>
        <v>White</v>
      </c>
    </row>
    <row r="61" spans="1:6" ht="14.45">
      <c r="A61" s="1">
        <v>22916139</v>
      </c>
      <c r="B61" s="6">
        <v>40072</v>
      </c>
      <c r="C61" s="19">
        <v>12.208719460825611</v>
      </c>
      <c r="D61" s="3"/>
      <c r="E61" t="b">
        <f>_xlfn.XLOOKUP(PE_2[[#This Row],[STN]],SE_2[STN],SE_2[IdeaEligibility],"w/o disability",0)</f>
        <v>1</v>
      </c>
      <c r="F61" t="str">
        <f>_xlfn.XLOOKUP(PE_2[[#This Row],[STN]],SE_2[STN],SE_2[Ethnicity],"",0)</f>
        <v>White</v>
      </c>
    </row>
    <row r="62" spans="1:6" ht="14.45">
      <c r="A62" s="1">
        <v>22916139</v>
      </c>
      <c r="B62" s="6">
        <v>38148</v>
      </c>
      <c r="C62" s="19">
        <v>17.474372623574144</v>
      </c>
      <c r="D62" s="3"/>
      <c r="E62" t="b">
        <f>_xlfn.XLOOKUP(PE_2[[#This Row],[STN]],SE_2[STN],SE_2[IdeaEligibility],"w/o disability",0)</f>
        <v>1</v>
      </c>
      <c r="F62" t="str">
        <f>_xlfn.XLOOKUP(PE_2[[#This Row],[STN]],SE_2[STN],SE_2[Ethnicity],"",0)</f>
        <v>White</v>
      </c>
    </row>
    <row r="63" spans="1:6" ht="14.45">
      <c r="A63" s="1">
        <v>22916139</v>
      </c>
      <c r="B63" s="6">
        <v>40234</v>
      </c>
      <c r="C63" s="19">
        <v>11.764544832306639</v>
      </c>
      <c r="D63" s="3"/>
      <c r="E63" t="b">
        <f>_xlfn.XLOOKUP(PE_2[[#This Row],[STN]],SE_2[STN],SE_2[IdeaEligibility],"w/o disability",0)</f>
        <v>1</v>
      </c>
      <c r="F63" t="str">
        <f>_xlfn.XLOOKUP(PE_2[[#This Row],[STN]],SE_2[STN],SE_2[Ethnicity],"",0)</f>
        <v>White</v>
      </c>
    </row>
    <row r="64" spans="1:6" ht="14.45">
      <c r="A64" s="1">
        <v>22916139</v>
      </c>
      <c r="B64" s="6">
        <v>39110</v>
      </c>
      <c r="C64" s="19">
        <v>14.841211899981749</v>
      </c>
      <c r="D64" s="3"/>
      <c r="E64" t="b">
        <f>_xlfn.XLOOKUP(PE_2[[#This Row],[STN]],SE_2[STN],SE_2[IdeaEligibility],"w/o disability",0)</f>
        <v>1</v>
      </c>
      <c r="F64" t="str">
        <f>_xlfn.XLOOKUP(PE_2[[#This Row],[STN]],SE_2[STN],SE_2[Ethnicity],"",0)</f>
        <v>White</v>
      </c>
    </row>
    <row r="65" spans="1:6" ht="14.45">
      <c r="A65" s="1">
        <v>22917214</v>
      </c>
      <c r="B65" s="9">
        <v>38131</v>
      </c>
      <c r="C65" s="19">
        <v>17.520912547528518</v>
      </c>
      <c r="D65" s="3"/>
      <c r="E65" t="b">
        <f>_xlfn.XLOOKUP(PE_2[[#This Row],[STN]],SE_2[STN],SE_2[IdeaEligibility],"w/o disability",0)</f>
        <v>1</v>
      </c>
      <c r="F65" t="str">
        <f>_xlfn.XLOOKUP(PE_2[[#This Row],[STN]],SE_2[STN],SE_2[Ethnicity],"",0)</f>
        <v>Black - African American</v>
      </c>
    </row>
    <row r="66" spans="1:6" ht="14.45">
      <c r="A66" s="1">
        <v>22909529</v>
      </c>
      <c r="B66" s="6">
        <v>40704</v>
      </c>
      <c r="C66" s="19">
        <v>10.477103036336487</v>
      </c>
      <c r="D66" s="3"/>
      <c r="E66" t="b">
        <f>_xlfn.XLOOKUP(PE_2[[#This Row],[STN]],SE_2[STN],SE_2[IdeaEligibility],"w/o disability",0)</f>
        <v>1</v>
      </c>
      <c r="F66" t="str">
        <f>_xlfn.XLOOKUP(PE_2[[#This Row],[STN]],SE_2[STN],SE_2[Ethnicity],"",0)</f>
        <v>White</v>
      </c>
    </row>
    <row r="67" spans="1:6" ht="14.45">
      <c r="A67" s="1">
        <v>22910192</v>
      </c>
      <c r="B67" s="6">
        <v>41873</v>
      </c>
      <c r="C67" s="19">
        <v>7.2772073921971252</v>
      </c>
      <c r="D67" s="3"/>
      <c r="E67" t="b">
        <f>_xlfn.XLOOKUP(PE_2[[#This Row],[STN]],SE_2[STN],SE_2[IdeaEligibility],"w/o disability",0)</f>
        <v>1</v>
      </c>
      <c r="F67" t="str">
        <f>_xlfn.XLOOKUP(PE_2[[#This Row],[STN]],SE_2[STN],SE_2[Ethnicity],"",0)</f>
        <v>Black - African American</v>
      </c>
    </row>
    <row r="68" spans="1:6" ht="14.45">
      <c r="A68" s="1">
        <v>22910297</v>
      </c>
      <c r="B68" s="6">
        <v>39727</v>
      </c>
      <c r="C68" s="19">
        <v>13.151349237387564</v>
      </c>
      <c r="D68" s="3"/>
      <c r="E68" t="b">
        <f>_xlfn.XLOOKUP(PE_2[[#This Row],[STN]],SE_2[STN],SE_2[IdeaEligibility],"w/o disability",0)</f>
        <v>1</v>
      </c>
      <c r="F68" t="str">
        <f>_xlfn.XLOOKUP(PE_2[[#This Row],[STN]],SE_2[STN],SE_2[Ethnicity],"",0)</f>
        <v>White</v>
      </c>
    </row>
    <row r="69" spans="1:6" ht="14.45">
      <c r="A69" s="1">
        <v>22912065</v>
      </c>
      <c r="B69" s="6">
        <v>39703</v>
      </c>
      <c r="C69" s="19">
        <v>13.217051231912398</v>
      </c>
      <c r="D69" s="3"/>
      <c r="E69" t="b">
        <f>_xlfn.XLOOKUP(PE_2[[#This Row],[STN]],SE_2[STN],SE_2[IdeaEligibility],"w/o disability",0)</f>
        <v>1</v>
      </c>
      <c r="F69" t="str">
        <f>_xlfn.XLOOKUP(PE_2[[#This Row],[STN]],SE_2[STN],SE_2[Ethnicity],"",0)</f>
        <v>White</v>
      </c>
    </row>
    <row r="70" spans="1:6" ht="14.45">
      <c r="A70" s="1">
        <v>22912065</v>
      </c>
      <c r="B70" s="6">
        <v>40160</v>
      </c>
      <c r="C70" s="19">
        <v>11.967775905644482</v>
      </c>
      <c r="D70" s="3"/>
      <c r="E70" t="b">
        <f>_xlfn.XLOOKUP(PE_2[[#This Row],[STN]],SE_2[STN],SE_2[IdeaEligibility],"w/o disability",0)</f>
        <v>1</v>
      </c>
      <c r="F70" t="str">
        <f>_xlfn.XLOOKUP(PE_2[[#This Row],[STN]],SE_2[STN],SE_2[Ethnicity],"",0)</f>
        <v>White</v>
      </c>
    </row>
    <row r="71" spans="1:6" ht="14.45">
      <c r="A71" s="1">
        <v>22913061</v>
      </c>
      <c r="B71" s="9">
        <v>38477</v>
      </c>
      <c r="C71" s="19">
        <v>16.575616041230472</v>
      </c>
      <c r="D71" s="3"/>
      <c r="E71" t="b">
        <f>_xlfn.XLOOKUP(PE_2[[#This Row],[STN]],SE_2[STN],SE_2[IdeaEligibility],"w/o disability",0)</f>
        <v>1</v>
      </c>
      <c r="F71" t="str">
        <f>_xlfn.XLOOKUP(PE_2[[#This Row],[STN]],SE_2[STN],SE_2[Ethnicity],"",0)</f>
        <v>Black - African American</v>
      </c>
    </row>
    <row r="72" spans="1:6" ht="14.45">
      <c r="A72" s="1">
        <v>22913169</v>
      </c>
      <c r="B72" s="6">
        <v>40373</v>
      </c>
      <c r="C72" s="19">
        <v>11.383983572895277</v>
      </c>
      <c r="D72" s="3"/>
      <c r="E72" t="b">
        <f>_xlfn.XLOOKUP(PE_2[[#This Row],[STN]],SE_2[STN],SE_2[IdeaEligibility],"w/o disability",0)</f>
        <v>1</v>
      </c>
      <c r="F72" t="str">
        <f>_xlfn.XLOOKUP(PE_2[[#This Row],[STN]],SE_2[STN],SE_2[Ethnicity],"",0)</f>
        <v>White</v>
      </c>
    </row>
    <row r="73" spans="1:6" ht="14.45">
      <c r="A73" s="1">
        <v>22911265</v>
      </c>
      <c r="B73" s="6">
        <v>38666</v>
      </c>
      <c r="C73" s="19">
        <v>16.058141407634078</v>
      </c>
      <c r="D73" s="3"/>
      <c r="E73" t="b">
        <f>_xlfn.XLOOKUP(PE_2[[#This Row],[STN]],SE_2[STN],SE_2[IdeaEligibility],"w/o disability",0)</f>
        <v>1</v>
      </c>
      <c r="F73" t="str">
        <f>_xlfn.XLOOKUP(PE_2[[#This Row],[STN]],SE_2[STN],SE_2[Ethnicity],"",0)</f>
        <v>White</v>
      </c>
    </row>
    <row r="74" spans="1:6" ht="14.45">
      <c r="A74" s="1">
        <v>22912090</v>
      </c>
      <c r="B74" s="6">
        <v>40965</v>
      </c>
      <c r="C74" s="19">
        <v>9.7618395839036403</v>
      </c>
      <c r="D74" s="3"/>
      <c r="E74" t="b">
        <f>_xlfn.XLOOKUP(PE_2[[#This Row],[STN]],SE_2[STN],SE_2[IdeaEligibility],"w/o disability",0)</f>
        <v>1</v>
      </c>
      <c r="F74" t="str">
        <f>_xlfn.XLOOKUP(PE_2[[#This Row],[STN]],SE_2[STN],SE_2[Ethnicity],"",0)</f>
        <v>White</v>
      </c>
    </row>
    <row r="75" spans="1:6" ht="14.45">
      <c r="A75" s="1">
        <v>22911142</v>
      </c>
      <c r="B75" s="6">
        <v>42780</v>
      </c>
      <c r="C75" s="19">
        <v>4.7946330777656083</v>
      </c>
      <c r="D75" s="3"/>
      <c r="E75" t="b">
        <f>_xlfn.XLOOKUP(PE_2[[#This Row],[STN]],SE_2[STN],SE_2[IdeaEligibility],"w/o disability",0)</f>
        <v>1</v>
      </c>
      <c r="F75" t="str">
        <f>_xlfn.XLOOKUP(PE_2[[#This Row],[STN]],SE_2[STN],SE_2[Ethnicity],"",0)</f>
        <v>White</v>
      </c>
    </row>
    <row r="76" spans="1:6" ht="14.45">
      <c r="A76" s="1">
        <v>22911230</v>
      </c>
      <c r="B76" s="6">
        <v>40088</v>
      </c>
      <c r="C76" s="19">
        <v>12.16491154170177</v>
      </c>
      <c r="D76" s="3"/>
      <c r="E76" t="b">
        <f>_xlfn.XLOOKUP(PE_2[[#This Row],[STN]],SE_2[STN],SE_2[IdeaEligibility],"w/o disability",0)</f>
        <v>1</v>
      </c>
      <c r="F76" t="str">
        <f>_xlfn.XLOOKUP(PE_2[[#This Row],[STN]],SE_2[STN],SE_2[Ethnicity],"",0)</f>
        <v>Multiracial (two or more races)</v>
      </c>
    </row>
    <row r="77" spans="1:6" ht="14.45">
      <c r="A77" s="1">
        <v>22908518</v>
      </c>
      <c r="B77" s="6">
        <v>38319</v>
      </c>
      <c r="C77" s="19">
        <v>17.006235741444868</v>
      </c>
      <c r="D77" s="3"/>
      <c r="E77" t="b">
        <f>_xlfn.XLOOKUP(PE_2[[#This Row],[STN]],SE_2[STN],SE_2[IdeaEligibility],"w/o disability",0)</f>
        <v>1</v>
      </c>
      <c r="F77" t="str">
        <f>_xlfn.XLOOKUP(PE_2[[#This Row],[STN]],SE_2[STN],SE_2[Ethnicity],"",0)</f>
        <v>Black - African American</v>
      </c>
    </row>
    <row r="78" spans="1:6" ht="14.45">
      <c r="A78" s="1">
        <v>22908518</v>
      </c>
      <c r="B78" s="6">
        <v>41249</v>
      </c>
      <c r="C78" s="19">
        <v>8.9843963865316177</v>
      </c>
      <c r="D78" s="3"/>
      <c r="E78" t="b">
        <f>_xlfn.XLOOKUP(PE_2[[#This Row],[STN]],SE_2[STN],SE_2[IdeaEligibility],"w/o disability",0)</f>
        <v>1</v>
      </c>
      <c r="F78" t="str">
        <f>_xlfn.XLOOKUP(PE_2[[#This Row],[STN]],SE_2[STN],SE_2[Ethnicity],"",0)</f>
        <v>Black - African American</v>
      </c>
    </row>
    <row r="79" spans="1:6" ht="14.45">
      <c r="A79" s="1">
        <v>22908518</v>
      </c>
      <c r="B79" s="6">
        <v>40211</v>
      </c>
      <c r="C79" s="19">
        <v>11.827515400410677</v>
      </c>
      <c r="D79" s="3"/>
      <c r="E79" t="b">
        <f>_xlfn.XLOOKUP(PE_2[[#This Row],[STN]],SE_2[STN],SE_2[IdeaEligibility],"w/o disability",0)</f>
        <v>1</v>
      </c>
      <c r="F79" t="str">
        <f>_xlfn.XLOOKUP(PE_2[[#This Row],[STN]],SE_2[STN],SE_2[Ethnicity],"",0)</f>
        <v>Black - African American</v>
      </c>
    </row>
    <row r="80" spans="1:6" ht="14.45">
      <c r="A80" s="1">
        <v>22907200</v>
      </c>
      <c r="B80" s="6">
        <v>38699</v>
      </c>
      <c r="C80" s="19">
        <v>15.967788693831535</v>
      </c>
      <c r="D80" s="3"/>
      <c r="E80" t="b">
        <f>_xlfn.XLOOKUP(PE_2[[#This Row],[STN]],SE_2[STN],SE_2[IdeaEligibility],"w/o disability",0)</f>
        <v>1</v>
      </c>
      <c r="F80" t="str">
        <f>_xlfn.XLOOKUP(PE_2[[#This Row],[STN]],SE_2[STN],SE_2[Ethnicity],"",0)</f>
        <v>Black - African American</v>
      </c>
    </row>
    <row r="81" spans="1:6" ht="14.45">
      <c r="A81" s="1">
        <v>22909568</v>
      </c>
      <c r="B81" s="6">
        <v>41685</v>
      </c>
      <c r="C81" s="19">
        <v>7.7919233401779602</v>
      </c>
      <c r="D81" s="3"/>
      <c r="E81" t="b">
        <f>_xlfn.XLOOKUP(PE_2[[#This Row],[STN]],SE_2[STN],SE_2[IdeaEligibility],"w/o disability",0)</f>
        <v>1</v>
      </c>
      <c r="F81" t="str">
        <f>_xlfn.XLOOKUP(PE_2[[#This Row],[STN]],SE_2[STN],SE_2[Ethnicity],"",0)</f>
        <v>White</v>
      </c>
    </row>
    <row r="82" spans="1:6" ht="14.45">
      <c r="A82" s="1">
        <v>22911078</v>
      </c>
      <c r="B82" s="6">
        <v>39474</v>
      </c>
      <c r="C82" s="19">
        <v>13.84395776300352</v>
      </c>
      <c r="D82" s="3"/>
      <c r="E82" t="b">
        <f>_xlfn.XLOOKUP(PE_2[[#This Row],[STN]],SE_2[STN],SE_2[IdeaEligibility],"w/o disability",0)</f>
        <v>1</v>
      </c>
      <c r="F82" t="str">
        <f>_xlfn.XLOOKUP(PE_2[[#This Row],[STN]],SE_2[STN],SE_2[Ethnicity],"",0)</f>
        <v>Hispanic Ethnicity and of any race</v>
      </c>
    </row>
    <row r="83" spans="1:6" ht="14.45">
      <c r="A83" s="1">
        <v>22911078</v>
      </c>
      <c r="B83" s="6">
        <v>42560</v>
      </c>
      <c r="C83" s="19">
        <v>5.3950729927007304</v>
      </c>
      <c r="D83" s="3"/>
      <c r="E83" t="b">
        <f>_xlfn.XLOOKUP(PE_2[[#This Row],[STN]],SE_2[STN],SE_2[IdeaEligibility],"w/o disability",0)</f>
        <v>1</v>
      </c>
      <c r="F83" t="str">
        <f>_xlfn.XLOOKUP(PE_2[[#This Row],[STN]],SE_2[STN],SE_2[Ethnicity],"",0)</f>
        <v>Hispanic Ethnicity and of any race</v>
      </c>
    </row>
    <row r="84" spans="1:6" ht="14.45">
      <c r="A84" s="1">
        <v>22911078</v>
      </c>
      <c r="B84" s="9">
        <v>39944</v>
      </c>
      <c r="C84" s="19">
        <v>12.559182813816344</v>
      </c>
      <c r="D84" s="3"/>
      <c r="E84" t="b">
        <f>_xlfn.XLOOKUP(PE_2[[#This Row],[STN]],SE_2[STN],SE_2[IdeaEligibility],"w/o disability",0)</f>
        <v>1</v>
      </c>
      <c r="F84" t="str">
        <f>_xlfn.XLOOKUP(PE_2[[#This Row],[STN]],SE_2[STN],SE_2[Ethnicity],"",0)</f>
        <v>Hispanic Ethnicity and of any race</v>
      </c>
    </row>
    <row r="85" spans="1:6" ht="14.45">
      <c r="A85" s="1">
        <v>22911078</v>
      </c>
      <c r="B85" s="6">
        <v>39328</v>
      </c>
      <c r="C85" s="19">
        <v>14.244387661982113</v>
      </c>
      <c r="D85" s="3"/>
      <c r="E85" t="b">
        <f>_xlfn.XLOOKUP(PE_2[[#This Row],[STN]],SE_2[STN],SE_2[IdeaEligibility],"w/o disability",0)</f>
        <v>1</v>
      </c>
      <c r="F85" t="str">
        <f>_xlfn.XLOOKUP(PE_2[[#This Row],[STN]],SE_2[STN],SE_2[Ethnicity],"",0)</f>
        <v>Hispanic Ethnicity and of any race</v>
      </c>
    </row>
    <row r="86" spans="1:6" ht="14.45">
      <c r="A86" s="1">
        <v>22910125</v>
      </c>
      <c r="B86" s="9">
        <v>42131</v>
      </c>
      <c r="C86" s="19">
        <v>6.5701994524833793</v>
      </c>
      <c r="D86" s="3"/>
      <c r="E86" t="b">
        <f>_xlfn.XLOOKUP(PE_2[[#This Row],[STN]],SE_2[STN],SE_2[IdeaEligibility],"w/o disability",0)</f>
        <v>1</v>
      </c>
      <c r="F86" t="str">
        <f>_xlfn.XLOOKUP(PE_2[[#This Row],[STN]],SE_2[STN],SE_2[Ethnicity],"",0)</f>
        <v>White</v>
      </c>
    </row>
    <row r="87" spans="1:6" ht="14.45">
      <c r="A87" s="1">
        <v>22915531</v>
      </c>
      <c r="B87" s="6">
        <v>41365</v>
      </c>
      <c r="C87" s="19">
        <v>8.6686948585336179</v>
      </c>
      <c r="D87" s="3"/>
      <c r="E87" t="b">
        <f>_xlfn.XLOOKUP(PE_2[[#This Row],[STN]],SE_2[STN],SE_2[IdeaEligibility],"w/o disability",0)</f>
        <v>1</v>
      </c>
      <c r="F87" t="str">
        <f>_xlfn.XLOOKUP(PE_2[[#This Row],[STN]],SE_2[STN],SE_2[Ethnicity],"",0)</f>
        <v>White</v>
      </c>
    </row>
    <row r="88" spans="1:6" ht="14.45">
      <c r="A88" s="1">
        <v>22915531</v>
      </c>
      <c r="B88" s="9">
        <v>40675</v>
      </c>
      <c r="C88" s="19">
        <v>10.556495769039323</v>
      </c>
      <c r="D88" s="3"/>
      <c r="E88" t="b">
        <f>_xlfn.XLOOKUP(PE_2[[#This Row],[STN]],SE_2[STN],SE_2[IdeaEligibility],"w/o disability",0)</f>
        <v>1</v>
      </c>
      <c r="F88" t="str">
        <f>_xlfn.XLOOKUP(PE_2[[#This Row],[STN]],SE_2[STN],SE_2[Ethnicity],"",0)</f>
        <v>White</v>
      </c>
    </row>
    <row r="89" spans="1:6" ht="14.45">
      <c r="A89" s="1">
        <v>23315060</v>
      </c>
      <c r="B89" s="6">
        <v>40486</v>
      </c>
      <c r="C89" s="19">
        <v>11.07460643394935</v>
      </c>
      <c r="D89" s="3"/>
      <c r="E89" t="b">
        <f>_xlfn.XLOOKUP(PE_2[[#This Row],[STN]],SE_2[STN],SE_2[IdeaEligibility],"w/o disability",0)</f>
        <v>1</v>
      </c>
      <c r="F89" t="str">
        <f>_xlfn.XLOOKUP(PE_2[[#This Row],[STN]],SE_2[STN],SE_2[Ethnicity],"",0)</f>
        <v>Hispanic Ethnicity and of any race</v>
      </c>
    </row>
    <row r="90" spans="1:6" ht="14.45">
      <c r="A90" s="1">
        <v>23315060</v>
      </c>
      <c r="B90" s="6">
        <v>42186</v>
      </c>
      <c r="C90" s="19">
        <v>6.4196323816973013</v>
      </c>
      <c r="D90" s="3"/>
      <c r="E90" t="b">
        <f>_xlfn.XLOOKUP(PE_2[[#This Row],[STN]],SE_2[STN],SE_2[IdeaEligibility],"w/o disability",0)</f>
        <v>1</v>
      </c>
      <c r="F90" t="str">
        <f>_xlfn.XLOOKUP(PE_2[[#This Row],[STN]],SE_2[STN],SE_2[Ethnicity],"",0)</f>
        <v>Hispanic Ethnicity and of any race</v>
      </c>
    </row>
    <row r="91" spans="1:6" ht="14.45">
      <c r="A91" s="1">
        <v>22913292</v>
      </c>
      <c r="B91" s="6">
        <v>40737</v>
      </c>
      <c r="C91" s="19">
        <v>10.386759581881533</v>
      </c>
      <c r="D91" s="3"/>
      <c r="E91" t="b">
        <f>_xlfn.XLOOKUP(PE_2[[#This Row],[STN]],SE_2[STN],SE_2[IdeaEligibility],"w/o disability",0)</f>
        <v>1</v>
      </c>
      <c r="F91" t="str">
        <f>_xlfn.XLOOKUP(PE_2[[#This Row],[STN]],SE_2[STN],SE_2[Ethnicity],"",0)</f>
        <v>White</v>
      </c>
    </row>
    <row r="92" spans="1:6" ht="14.45">
      <c r="A92" s="1">
        <v>22913292</v>
      </c>
      <c r="B92" s="6">
        <v>38218</v>
      </c>
      <c r="C92" s="19">
        <v>17.282737642585552</v>
      </c>
      <c r="D92" s="3"/>
      <c r="E92" t="b">
        <f>_xlfn.XLOOKUP(PE_2[[#This Row],[STN]],SE_2[STN],SE_2[IdeaEligibility],"w/o disability",0)</f>
        <v>1</v>
      </c>
      <c r="F92" t="str">
        <f>_xlfn.XLOOKUP(PE_2[[#This Row],[STN]],SE_2[STN],SE_2[Ethnicity],"",0)</f>
        <v>White</v>
      </c>
    </row>
    <row r="93" spans="1:6" ht="14.45">
      <c r="A93" s="1">
        <v>22913292</v>
      </c>
      <c r="B93" s="6">
        <v>39506</v>
      </c>
      <c r="C93" s="19">
        <v>13.756355103637075</v>
      </c>
      <c r="D93" s="3"/>
      <c r="E93" t="b">
        <f>_xlfn.XLOOKUP(PE_2[[#This Row],[STN]],SE_2[STN],SE_2[IdeaEligibility],"w/o disability",0)</f>
        <v>1</v>
      </c>
      <c r="F93" t="str">
        <f>_xlfn.XLOOKUP(PE_2[[#This Row],[STN]],SE_2[STN],SE_2[Ethnicity],"",0)</f>
        <v>White</v>
      </c>
    </row>
    <row r="94" spans="1:6" ht="14.45">
      <c r="A94" s="1">
        <v>22913292</v>
      </c>
      <c r="B94" s="6">
        <v>40966</v>
      </c>
      <c r="C94" s="19">
        <v>9.7591021078565561</v>
      </c>
      <c r="D94" s="3"/>
      <c r="E94" t="b">
        <f>_xlfn.XLOOKUP(PE_2[[#This Row],[STN]],SE_2[STN],SE_2[IdeaEligibility],"w/o disability",0)</f>
        <v>1</v>
      </c>
      <c r="F94" t="str">
        <f>_xlfn.XLOOKUP(PE_2[[#This Row],[STN]],SE_2[STN],SE_2[Ethnicity],"",0)</f>
        <v>White</v>
      </c>
    </row>
    <row r="95" spans="1:6" ht="14.45">
      <c r="A95" s="1">
        <v>22913292</v>
      </c>
      <c r="B95" s="6">
        <v>40385</v>
      </c>
      <c r="C95" s="19">
        <v>11.351129363449692</v>
      </c>
      <c r="D95" s="3"/>
      <c r="E95" t="b">
        <f>_xlfn.XLOOKUP(PE_2[[#This Row],[STN]],SE_2[STN],SE_2[IdeaEligibility],"w/o disability",0)</f>
        <v>1</v>
      </c>
      <c r="F95" t="str">
        <f>_xlfn.XLOOKUP(PE_2[[#This Row],[STN]],SE_2[STN],SE_2[Ethnicity],"",0)</f>
        <v>White</v>
      </c>
    </row>
    <row r="96" spans="1:6" ht="14.45">
      <c r="A96" s="1">
        <v>22913406</v>
      </c>
      <c r="B96" s="6">
        <v>41991</v>
      </c>
      <c r="C96" s="19">
        <v>6.9541409993155376</v>
      </c>
      <c r="D96" s="3"/>
      <c r="E96" t="b">
        <f>_xlfn.XLOOKUP(PE_2[[#This Row],[STN]],SE_2[STN],SE_2[IdeaEligibility],"w/o disability",0)</f>
        <v>1</v>
      </c>
      <c r="F96" t="str">
        <f>_xlfn.XLOOKUP(PE_2[[#This Row],[STN]],SE_2[STN],SE_2[Ethnicity],"",0)</f>
        <v>White</v>
      </c>
    </row>
    <row r="97" spans="1:6" ht="14.45">
      <c r="A97" s="1">
        <v>22914277</v>
      </c>
      <c r="B97" s="6">
        <v>41189</v>
      </c>
      <c r="C97" s="19">
        <v>9.1486449493566937</v>
      </c>
      <c r="D97" s="3"/>
      <c r="E97" t="b">
        <f>_xlfn.XLOOKUP(PE_2[[#This Row],[STN]],SE_2[STN],SE_2[IdeaEligibility],"w/o disability",0)</f>
        <v>1</v>
      </c>
      <c r="F97" t="str">
        <f>_xlfn.XLOOKUP(PE_2[[#This Row],[STN]],SE_2[STN],SE_2[Ethnicity],"",0)</f>
        <v>Multiracial (two or more races)</v>
      </c>
    </row>
    <row r="98" spans="1:6" ht="14.45">
      <c r="A98" s="1">
        <v>22914277</v>
      </c>
      <c r="B98" s="6">
        <v>42272</v>
      </c>
      <c r="C98" s="19">
        <v>6.1842002346499809</v>
      </c>
      <c r="D98" s="3"/>
      <c r="E98" t="b">
        <f>_xlfn.XLOOKUP(PE_2[[#This Row],[STN]],SE_2[STN],SE_2[IdeaEligibility],"w/o disability",0)</f>
        <v>1</v>
      </c>
      <c r="F98" t="str">
        <f>_xlfn.XLOOKUP(PE_2[[#This Row],[STN]],SE_2[STN],SE_2[Ethnicity],"",0)</f>
        <v>Multiracial (two or more races)</v>
      </c>
    </row>
    <row r="99" spans="1:6" ht="14.45">
      <c r="A99" s="1">
        <v>22914277</v>
      </c>
      <c r="B99" s="6">
        <v>40530</v>
      </c>
      <c r="C99" s="19">
        <v>10.954140999315538</v>
      </c>
      <c r="D99" s="3"/>
      <c r="E99" t="b">
        <f>_xlfn.XLOOKUP(PE_2[[#This Row],[STN]],SE_2[STN],SE_2[IdeaEligibility],"w/o disability",0)</f>
        <v>1</v>
      </c>
      <c r="F99" t="str">
        <f>_xlfn.XLOOKUP(PE_2[[#This Row],[STN]],SE_2[STN],SE_2[Ethnicity],"",0)</f>
        <v>Multiracial (two or more races)</v>
      </c>
    </row>
    <row r="100" spans="1:6" ht="14.45">
      <c r="A100" s="1">
        <v>22914278</v>
      </c>
      <c r="B100" s="6">
        <v>39475</v>
      </c>
      <c r="C100" s="19">
        <v>13.841220179898318</v>
      </c>
      <c r="D100" s="3"/>
      <c r="E100" t="b">
        <f>_xlfn.XLOOKUP(PE_2[[#This Row],[STN]],SE_2[STN],SE_2[IdeaEligibility],"w/o disability",0)</f>
        <v>1</v>
      </c>
      <c r="F100" t="str">
        <f>_xlfn.XLOOKUP(PE_2[[#This Row],[STN]],SE_2[STN],SE_2[Ethnicity],"",0)</f>
        <v>Black - African American</v>
      </c>
    </row>
    <row r="101" spans="1:6" ht="14.45">
      <c r="A101" s="1">
        <v>22914393</v>
      </c>
      <c r="B101" s="6">
        <v>38283</v>
      </c>
      <c r="C101" s="19">
        <v>17.104790874524713</v>
      </c>
      <c r="D101" s="3"/>
      <c r="E101" t="b">
        <f>_xlfn.XLOOKUP(PE_2[[#This Row],[STN]],SE_2[STN],SE_2[IdeaEligibility],"w/o disability",0)</f>
        <v>1</v>
      </c>
      <c r="F101" t="str">
        <f>_xlfn.XLOOKUP(PE_2[[#This Row],[STN]],SE_2[STN],SE_2[Ethnicity],"",0)</f>
        <v>White</v>
      </c>
    </row>
    <row r="102" spans="1:6" ht="14.45">
      <c r="A102" s="1">
        <v>22914393</v>
      </c>
      <c r="B102" s="6">
        <v>39806</v>
      </c>
      <c r="C102" s="19">
        <v>12.935080172076653</v>
      </c>
      <c r="D102" s="3"/>
      <c r="E102" t="b">
        <f>_xlfn.XLOOKUP(PE_2[[#This Row],[STN]],SE_2[STN],SE_2[IdeaEligibility],"w/o disability",0)</f>
        <v>1</v>
      </c>
      <c r="F102" t="str">
        <f>_xlfn.XLOOKUP(PE_2[[#This Row],[STN]],SE_2[STN],SE_2[Ethnicity],"",0)</f>
        <v>White</v>
      </c>
    </row>
    <row r="103" spans="1:6" ht="14.45">
      <c r="A103" s="1">
        <v>22914393</v>
      </c>
      <c r="B103" s="6">
        <v>40845</v>
      </c>
      <c r="C103" s="19">
        <v>10.091090094574415</v>
      </c>
      <c r="D103" s="3"/>
      <c r="E103" t="b">
        <f>_xlfn.XLOOKUP(PE_2[[#This Row],[STN]],SE_2[STN],SE_2[IdeaEligibility],"w/o disability",0)</f>
        <v>1</v>
      </c>
      <c r="F103" t="str">
        <f>_xlfn.XLOOKUP(PE_2[[#This Row],[STN]],SE_2[STN],SE_2[Ethnicity],"",0)</f>
        <v>White</v>
      </c>
    </row>
    <row r="104" spans="1:6" ht="14.45">
      <c r="A104" s="1">
        <v>22914393</v>
      </c>
      <c r="B104" s="6">
        <v>39053</v>
      </c>
      <c r="C104" s="19">
        <v>14.997946611909651</v>
      </c>
      <c r="D104" s="3"/>
      <c r="E104" t="b">
        <f>_xlfn.XLOOKUP(PE_2[[#This Row],[STN]],SE_2[STN],SE_2[IdeaEligibility],"w/o disability",0)</f>
        <v>1</v>
      </c>
      <c r="F104" t="str">
        <f>_xlfn.XLOOKUP(PE_2[[#This Row],[STN]],SE_2[STN],SE_2[Ethnicity],"",0)</f>
        <v>White</v>
      </c>
    </row>
    <row r="105" spans="1:6" ht="14.45">
      <c r="A105" s="1">
        <v>22914393</v>
      </c>
      <c r="B105" s="6">
        <v>41228</v>
      </c>
      <c r="C105" s="19">
        <v>9.0418833835203944</v>
      </c>
      <c r="D105" s="3"/>
      <c r="E105" t="b">
        <f>_xlfn.XLOOKUP(PE_2[[#This Row],[STN]],SE_2[STN],SE_2[IdeaEligibility],"w/o disability",0)</f>
        <v>1</v>
      </c>
      <c r="F105" t="str">
        <f>_xlfn.XLOOKUP(PE_2[[#This Row],[STN]],SE_2[STN],SE_2[Ethnicity],"",0)</f>
        <v>White</v>
      </c>
    </row>
    <row r="106" spans="1:6" ht="14.45">
      <c r="A106" s="1">
        <v>22915003</v>
      </c>
      <c r="B106" s="6">
        <v>41117</v>
      </c>
      <c r="C106" s="19">
        <v>9.3457432247467835</v>
      </c>
      <c r="D106" s="3"/>
      <c r="E106" t="b">
        <f>_xlfn.XLOOKUP(PE_2[[#This Row],[STN]],SE_2[STN],SE_2[IdeaEligibility],"w/o disability",0)</f>
        <v>1</v>
      </c>
      <c r="F106" t="str">
        <f>_xlfn.XLOOKUP(PE_2[[#This Row],[STN]],SE_2[STN],SE_2[Ethnicity],"",0)</f>
        <v>White</v>
      </c>
    </row>
    <row r="107" spans="1:6" ht="14.45">
      <c r="A107" s="1">
        <v>22915105</v>
      </c>
      <c r="B107" s="6">
        <v>39897</v>
      </c>
      <c r="C107" s="19">
        <v>12.687868576242629</v>
      </c>
      <c r="D107" s="3"/>
      <c r="E107" t="b">
        <f>_xlfn.XLOOKUP(PE_2[[#This Row],[STN]],SE_2[STN],SE_2[IdeaEligibility],"w/o disability",0)</f>
        <v>1</v>
      </c>
      <c r="F107" t="str">
        <f>_xlfn.XLOOKUP(PE_2[[#This Row],[STN]],SE_2[STN],SE_2[Ethnicity],"",0)</f>
        <v>Multiracial (two or more races)</v>
      </c>
    </row>
    <row r="108" spans="1:6" ht="14.45">
      <c r="A108" s="1">
        <v>22915250</v>
      </c>
      <c r="B108" s="6">
        <v>40232</v>
      </c>
      <c r="C108" s="19">
        <v>11.770020533880903</v>
      </c>
      <c r="D108" s="3"/>
      <c r="E108" t="b">
        <f>_xlfn.XLOOKUP(PE_2[[#This Row],[STN]],SE_2[STN],SE_2[IdeaEligibility],"w/o disability",0)</f>
        <v>1</v>
      </c>
      <c r="F108" t="str">
        <f>_xlfn.XLOOKUP(PE_2[[#This Row],[STN]],SE_2[STN],SE_2[Ethnicity],"",0)</f>
        <v>Black - African American</v>
      </c>
    </row>
    <row r="109" spans="1:6" ht="14.45">
      <c r="A109" s="1">
        <v>22908746</v>
      </c>
      <c r="B109" s="6">
        <v>39722</v>
      </c>
      <c r="C109" s="19">
        <v>13.165037152913571</v>
      </c>
      <c r="D109" s="3"/>
      <c r="E109" t="b">
        <f>_xlfn.XLOOKUP(PE_2[[#This Row],[STN]],SE_2[STN],SE_2[IdeaEligibility],"w/o disability",0)</f>
        <v>1</v>
      </c>
      <c r="F109" t="str">
        <f>_xlfn.XLOOKUP(PE_2[[#This Row],[STN]],SE_2[STN],SE_2[Ethnicity],"",0)</f>
        <v>White</v>
      </c>
    </row>
    <row r="110" spans="1:6" ht="14.45">
      <c r="A110" s="1">
        <v>22910135</v>
      </c>
      <c r="B110" s="6">
        <v>39412</v>
      </c>
      <c r="C110" s="19">
        <v>14.014418689541888</v>
      </c>
      <c r="D110" s="3"/>
      <c r="E110" t="b">
        <f>_xlfn.XLOOKUP(PE_2[[#This Row],[STN]],SE_2[STN],SE_2[IdeaEligibility],"w/o disability",0)</f>
        <v>1</v>
      </c>
      <c r="F110" t="str">
        <f>_xlfn.XLOOKUP(PE_2[[#This Row],[STN]],SE_2[STN],SE_2[Ethnicity],"",0)</f>
        <v>White</v>
      </c>
    </row>
    <row r="111" spans="1:6" ht="14.45">
      <c r="A111" s="1">
        <v>22914003</v>
      </c>
      <c r="B111" s="6">
        <v>39002</v>
      </c>
      <c r="C111" s="19">
        <v>15.137577002053389</v>
      </c>
      <c r="D111" s="3"/>
      <c r="E111" t="b">
        <f>_xlfn.XLOOKUP(PE_2[[#This Row],[STN]],SE_2[STN],SE_2[IdeaEligibility],"w/o disability",0)</f>
        <v>1</v>
      </c>
      <c r="F111" t="str">
        <f>_xlfn.XLOOKUP(PE_2[[#This Row],[STN]],SE_2[STN],SE_2[Ethnicity],"",0)</f>
        <v>White</v>
      </c>
    </row>
    <row r="112" spans="1:6" ht="14.45">
      <c r="A112" s="1">
        <v>22914131</v>
      </c>
      <c r="B112" s="9">
        <v>42880</v>
      </c>
      <c r="C112" s="19">
        <v>4.5208105147864188</v>
      </c>
      <c r="D112" s="3"/>
      <c r="E112" t="b">
        <f>_xlfn.XLOOKUP(PE_2[[#This Row],[STN]],SE_2[STN],SE_2[IdeaEligibility],"w/o disability",0)</f>
        <v>1</v>
      </c>
      <c r="F112" t="str">
        <f>_xlfn.XLOOKUP(PE_2[[#This Row],[STN]],SE_2[STN],SE_2[Ethnicity],"",0)</f>
        <v>White</v>
      </c>
    </row>
    <row r="113" spans="1:6" ht="14.45">
      <c r="A113" s="1">
        <v>22915043</v>
      </c>
      <c r="B113" s="6">
        <v>39552</v>
      </c>
      <c r="C113" s="19">
        <v>13.63042628079781</v>
      </c>
      <c r="D113" s="3"/>
      <c r="E113" t="b">
        <f>_xlfn.XLOOKUP(PE_2[[#This Row],[STN]],SE_2[STN],SE_2[IdeaEligibility],"w/o disability",0)</f>
        <v>1</v>
      </c>
      <c r="F113" t="str">
        <f>_xlfn.XLOOKUP(PE_2[[#This Row],[STN]],SE_2[STN],SE_2[Ethnicity],"",0)</f>
        <v>Hispanic Ethnicity and of any race</v>
      </c>
    </row>
    <row r="114" spans="1:6" ht="14.45">
      <c r="A114" s="1">
        <v>22915109</v>
      </c>
      <c r="B114" s="6">
        <v>40564</v>
      </c>
      <c r="C114" s="19">
        <v>10.860378297660528</v>
      </c>
      <c r="D114" s="3"/>
      <c r="E114" t="b">
        <f>_xlfn.XLOOKUP(PE_2[[#This Row],[STN]],SE_2[STN],SE_2[IdeaEligibility],"w/o disability",0)</f>
        <v>1</v>
      </c>
      <c r="F114" t="str">
        <f>_xlfn.XLOOKUP(PE_2[[#This Row],[STN]],SE_2[STN],SE_2[Ethnicity],"",0)</f>
        <v>White</v>
      </c>
    </row>
    <row r="115" spans="1:6" ht="13.9">
      <c r="A115" s="3">
        <v>10522064</v>
      </c>
      <c r="B115" s="10">
        <v>38645</v>
      </c>
      <c r="C115" s="19">
        <v>16.11563858914479</v>
      </c>
      <c r="D115" s="3"/>
      <c r="E115" t="str">
        <f>_xlfn.XLOOKUP(PE_2[[#This Row],[STN]],SE_2[STN],SE_2[IdeaEligibility],"w/o disability",0)</f>
        <v>w/o disability</v>
      </c>
      <c r="F115" t="str">
        <f>_xlfn.XLOOKUP(PE_2[[#This Row],[STN]],SE_2[STN],SE_2[Ethnicity],"",0)</f>
        <v/>
      </c>
    </row>
    <row r="116" spans="1:6" ht="13.9">
      <c r="A116" s="3">
        <v>10522068</v>
      </c>
      <c r="B116" s="10">
        <v>39155</v>
      </c>
      <c r="C116" s="19">
        <v>14.718014236174485</v>
      </c>
      <c r="D116" s="3"/>
      <c r="E116" t="str">
        <f>_xlfn.XLOOKUP(PE_2[[#This Row],[STN]],SE_2[STN],SE_2[IdeaEligibility],"w/o disability",0)</f>
        <v>w/o disability</v>
      </c>
      <c r="F116" t="str">
        <f>_xlfn.XLOOKUP(PE_2[[#This Row],[STN]],SE_2[STN],SE_2[Ethnicity],"",0)</f>
        <v/>
      </c>
    </row>
    <row r="117" spans="1:6" ht="13.9">
      <c r="A117" s="3">
        <v>10522066</v>
      </c>
      <c r="B117" s="10">
        <v>38994</v>
      </c>
      <c r="C117" s="19">
        <v>15.159479808350445</v>
      </c>
      <c r="D117" s="3"/>
      <c r="E117" t="str">
        <f>_xlfn.XLOOKUP(PE_2[[#This Row],[STN]],SE_2[STN],SE_2[IdeaEligibility],"w/o disability",0)</f>
        <v>w/o disability</v>
      </c>
      <c r="F117" t="str">
        <f>_xlfn.XLOOKUP(PE_2[[#This Row],[STN]],SE_2[STN],SE_2[Ethnicity],"",0)</f>
        <v/>
      </c>
    </row>
    <row r="118" spans="1:6" ht="13.9">
      <c r="A118" s="3">
        <v>12122013</v>
      </c>
      <c r="B118" s="10">
        <v>39391</v>
      </c>
      <c r="C118" s="19">
        <v>14.071910932651944</v>
      </c>
      <c r="D118" s="3"/>
      <c r="E118" t="str">
        <f>_xlfn.XLOOKUP(PE_2[[#This Row],[STN]],SE_2[STN],SE_2[IdeaEligibility],"w/o disability",0)</f>
        <v>w/o disability</v>
      </c>
      <c r="F118" t="str">
        <f>_xlfn.XLOOKUP(PE_2[[#This Row],[STN]],SE_2[STN],SE_2[Ethnicity],"",0)</f>
        <v/>
      </c>
    </row>
    <row r="119" spans="1:6" ht="13.9">
      <c r="A119" s="3">
        <v>13322011</v>
      </c>
      <c r="B119" s="10">
        <v>39504</v>
      </c>
      <c r="C119" s="19">
        <v>13.761830269847477</v>
      </c>
      <c r="D119" s="3"/>
      <c r="E119" t="str">
        <f>_xlfn.XLOOKUP(PE_2[[#This Row],[STN]],SE_2[STN],SE_2[IdeaEligibility],"w/o disability",0)</f>
        <v>w/o disability</v>
      </c>
      <c r="F119" t="str">
        <f>_xlfn.XLOOKUP(PE_2[[#This Row],[STN]],SE_2[STN],SE_2[Ethnicity],"",0)</f>
        <v/>
      </c>
    </row>
    <row r="120" spans="1:6" ht="13.9">
      <c r="A120" s="3">
        <v>10522065</v>
      </c>
      <c r="B120" s="10">
        <v>38752</v>
      </c>
      <c r="C120" s="19">
        <v>15.822039698836413</v>
      </c>
      <c r="D120" s="3"/>
      <c r="E120" t="str">
        <f>_xlfn.XLOOKUP(PE_2[[#This Row],[STN]],SE_2[STN],SE_2[IdeaEligibility],"w/o disability",0)</f>
        <v>w/o disability</v>
      </c>
      <c r="F120" t="str">
        <f>_xlfn.XLOOKUP(PE_2[[#This Row],[STN]],SE_2[STN],SE_2[Ethnicity],"",0)</f>
        <v/>
      </c>
    </row>
    <row r="121" spans="1:6" ht="13.9">
      <c r="A121" s="3">
        <v>10522067</v>
      </c>
      <c r="B121" s="10">
        <v>38819</v>
      </c>
      <c r="C121" s="19">
        <v>15.638603696098563</v>
      </c>
      <c r="D121" s="3"/>
      <c r="E121" t="str">
        <f>_xlfn.XLOOKUP(PE_2[[#This Row],[STN]],SE_2[STN],SE_2[IdeaEligibility],"w/o disability",0)</f>
        <v>w/o disability</v>
      </c>
      <c r="F121" t="str">
        <f>_xlfn.XLOOKUP(PE_2[[#This Row],[STN]],SE_2[STN],SE_2[Ethnicity],"",0)</f>
        <v/>
      </c>
    </row>
    <row r="122" spans="1:6" ht="13.9">
      <c r="A122" s="3">
        <v>10522061</v>
      </c>
      <c r="B122" s="10">
        <v>38700</v>
      </c>
      <c r="C122" s="19">
        <v>15.965050732807216</v>
      </c>
      <c r="D122" s="3"/>
      <c r="E122" t="str">
        <f>_xlfn.XLOOKUP(PE_2[[#This Row],[STN]],SE_2[STN],SE_2[IdeaEligibility],"w/o disability",0)</f>
        <v>w/o disability</v>
      </c>
      <c r="F122" t="str">
        <f>_xlfn.XLOOKUP(PE_2[[#This Row],[STN]],SE_2[STN],SE_2[Ethnicity],"",0)</f>
        <v/>
      </c>
    </row>
    <row r="123" spans="1:6" ht="13.9">
      <c r="A123" s="3">
        <v>18919051</v>
      </c>
      <c r="B123" s="10">
        <v>39397</v>
      </c>
      <c r="C123" s="19">
        <v>14.055484577477642</v>
      </c>
      <c r="D123" s="3"/>
      <c r="E123" t="str">
        <f>_xlfn.XLOOKUP(PE_2[[#This Row],[STN]],SE_2[STN],SE_2[IdeaEligibility],"w/o disability",0)</f>
        <v>w/o disability</v>
      </c>
      <c r="F123" t="str">
        <f>_xlfn.XLOOKUP(PE_2[[#This Row],[STN]],SE_2[STN],SE_2[Ethnicity],"",0)</f>
        <v/>
      </c>
    </row>
    <row r="124" spans="1:6" ht="13.9">
      <c r="A124" s="5">
        <v>157519005</v>
      </c>
      <c r="B124" s="10">
        <v>39313</v>
      </c>
      <c r="C124" s="19">
        <v>14.285453549917868</v>
      </c>
      <c r="D124" s="3"/>
      <c r="E124" t="str">
        <f>_xlfn.XLOOKUP(PE_2[[#This Row],[STN]],SE_2[STN],SE_2[IdeaEligibility],"w/o disability",0)</f>
        <v>w/o disability</v>
      </c>
      <c r="F124" t="str">
        <f>_xlfn.XLOOKUP(PE_2[[#This Row],[STN]],SE_2[STN],SE_2[Ethnicity],"",0)</f>
        <v/>
      </c>
    </row>
    <row r="125" spans="1:6" ht="13.9">
      <c r="A125" s="3">
        <v>8119002</v>
      </c>
      <c r="B125" s="10">
        <v>38466</v>
      </c>
      <c r="C125" s="19">
        <v>16.605733612497986</v>
      </c>
      <c r="D125" s="3"/>
      <c r="E125" t="str">
        <f>_xlfn.XLOOKUP(PE_2[[#This Row],[STN]],SE_2[STN],SE_2[IdeaEligibility],"w/o disability",0)</f>
        <v>w/o disability</v>
      </c>
      <c r="F125" t="str">
        <f>_xlfn.XLOOKUP(PE_2[[#This Row],[STN]],SE_2[STN],SE_2[Ethnicity],"",0)</f>
        <v/>
      </c>
    </row>
    <row r="126" spans="1:6" ht="13.9">
      <c r="A126" s="3">
        <v>10522046</v>
      </c>
      <c r="B126" s="10">
        <v>38926</v>
      </c>
      <c r="C126" s="19">
        <v>15.345653661875428</v>
      </c>
      <c r="D126" s="3"/>
      <c r="E126" t="str">
        <f>_xlfn.XLOOKUP(PE_2[[#This Row],[STN]],SE_2[STN],SE_2[IdeaEligibility],"w/o disability",0)</f>
        <v>w/o disability</v>
      </c>
      <c r="F126" t="str">
        <f>_xlfn.XLOOKUP(PE_2[[#This Row],[STN]],SE_2[STN],SE_2[Ethnicity],"",0)</f>
        <v/>
      </c>
    </row>
    <row r="127" spans="1:6" ht="13.9">
      <c r="A127" s="3">
        <v>10522048</v>
      </c>
      <c r="B127" s="10">
        <v>39227</v>
      </c>
      <c r="C127" s="19">
        <v>14.520897974082862</v>
      </c>
      <c r="D127" s="3"/>
      <c r="E127" t="str">
        <f>_xlfn.XLOOKUP(PE_2[[#This Row],[STN]],SE_2[STN],SE_2[IdeaEligibility],"w/o disability",0)</f>
        <v>w/o disability</v>
      </c>
      <c r="F127" t="str">
        <f>_xlfn.XLOOKUP(PE_2[[#This Row],[STN]],SE_2[STN],SE_2[Ethnicity],"",0)</f>
        <v/>
      </c>
    </row>
    <row r="128" spans="1:6" ht="13.9">
      <c r="A128" s="3">
        <v>10522047</v>
      </c>
      <c r="B128" s="10">
        <v>38968</v>
      </c>
      <c r="C128" s="19">
        <v>15.230663928815879</v>
      </c>
      <c r="D128" s="3"/>
      <c r="E128" t="str">
        <f>_xlfn.XLOOKUP(PE_2[[#This Row],[STN]],SE_2[STN],SE_2[IdeaEligibility],"w/o disability",0)</f>
        <v>w/o disability</v>
      </c>
      <c r="F128" t="str">
        <f>_xlfn.XLOOKUP(PE_2[[#This Row],[STN]],SE_2[STN],SE_2[Ethnicity],"",0)</f>
        <v/>
      </c>
    </row>
    <row r="129" spans="1:6" ht="13.9">
      <c r="A129" s="3">
        <v>10522050</v>
      </c>
      <c r="B129" s="10">
        <v>38549</v>
      </c>
      <c r="C129" s="19">
        <v>16.378482847479464</v>
      </c>
      <c r="D129" s="3"/>
      <c r="E129" t="str">
        <f>_xlfn.XLOOKUP(PE_2[[#This Row],[STN]],SE_2[STN],SE_2[IdeaEligibility],"w/o disability",0)</f>
        <v>w/o disability</v>
      </c>
      <c r="F129" t="str">
        <f>_xlfn.XLOOKUP(PE_2[[#This Row],[STN]],SE_2[STN],SE_2[Ethnicity],"",0)</f>
        <v/>
      </c>
    </row>
    <row r="130" spans="1:6" ht="13.9">
      <c r="A130" s="3">
        <v>13322006</v>
      </c>
      <c r="B130" s="10">
        <v>39368</v>
      </c>
      <c r="C130" s="19">
        <v>14.134878627486769</v>
      </c>
      <c r="D130" s="3"/>
      <c r="E130" t="str">
        <f>_xlfn.XLOOKUP(PE_2[[#This Row],[STN]],SE_2[STN],SE_2[IdeaEligibility],"w/o disability",0)</f>
        <v>w/o disability</v>
      </c>
      <c r="F130" t="str">
        <f>_xlfn.XLOOKUP(PE_2[[#This Row],[STN]],SE_2[STN],SE_2[Ethnicity],"",0)</f>
        <v/>
      </c>
    </row>
    <row r="131" spans="1:6" ht="13.9">
      <c r="A131" s="3">
        <v>10522055</v>
      </c>
      <c r="B131" s="10">
        <v>38353</v>
      </c>
      <c r="C131" s="19">
        <v>16.915123208246094</v>
      </c>
      <c r="D131" s="3"/>
      <c r="E131" t="str">
        <f>_xlfn.XLOOKUP(PE_2[[#This Row],[STN]],SE_2[STN],SE_2[IdeaEligibility],"w/o disability",0)</f>
        <v>w/o disability</v>
      </c>
      <c r="F131" t="str">
        <f>_xlfn.XLOOKUP(PE_2[[#This Row],[STN]],SE_2[STN],SE_2[Ethnicity],"",0)</f>
        <v/>
      </c>
    </row>
    <row r="132" spans="1:6" ht="13.9">
      <c r="A132" s="3">
        <v>10522052</v>
      </c>
      <c r="B132" s="10">
        <v>38959</v>
      </c>
      <c r="C132" s="19">
        <v>15.255304585900069</v>
      </c>
      <c r="D132" s="3"/>
      <c r="E132" t="str">
        <f>_xlfn.XLOOKUP(PE_2[[#This Row],[STN]],SE_2[STN],SE_2[IdeaEligibility],"w/o disability",0)</f>
        <v>w/o disability</v>
      </c>
      <c r="F132" t="str">
        <f>_xlfn.XLOOKUP(PE_2[[#This Row],[STN]],SE_2[STN],SE_2[Ethnicity],"",0)</f>
        <v/>
      </c>
    </row>
    <row r="133" spans="1:6" ht="13.9">
      <c r="A133" s="3">
        <v>12119006</v>
      </c>
      <c r="B133" s="10">
        <v>38645</v>
      </c>
      <c r="C133" s="19">
        <v>16.11563858914479</v>
      </c>
      <c r="D133" s="3"/>
      <c r="E133" t="str">
        <f>_xlfn.XLOOKUP(PE_2[[#This Row],[STN]],SE_2[STN],SE_2[IdeaEligibility],"w/o disability",0)</f>
        <v>w/o disability</v>
      </c>
      <c r="F133" t="str">
        <f>_xlfn.XLOOKUP(PE_2[[#This Row],[STN]],SE_2[STN],SE_2[Ethnicity],"",0)</f>
        <v/>
      </c>
    </row>
    <row r="134" spans="1:6" ht="13.9">
      <c r="A134" s="3">
        <v>13322008</v>
      </c>
      <c r="B134" s="10">
        <v>39622</v>
      </c>
      <c r="C134" s="19">
        <v>13.438795463433712</v>
      </c>
      <c r="D134" s="3"/>
      <c r="E134" t="str">
        <f>_xlfn.XLOOKUP(PE_2[[#This Row],[STN]],SE_2[STN],SE_2[IdeaEligibility],"w/o disability",0)</f>
        <v>w/o disability</v>
      </c>
      <c r="F134" t="str">
        <f>_xlfn.XLOOKUP(PE_2[[#This Row],[STN]],SE_2[STN],SE_2[Ethnicity],"",0)</f>
        <v/>
      </c>
    </row>
    <row r="135" spans="1:6" ht="13.9">
      <c r="A135" s="3">
        <v>12119012</v>
      </c>
      <c r="B135" s="10">
        <v>38554</v>
      </c>
      <c r="C135" s="19">
        <v>16.364793042357867</v>
      </c>
      <c r="D135" s="3"/>
      <c r="E135" t="str">
        <f>_xlfn.XLOOKUP(PE_2[[#This Row],[STN]],SE_2[STN],SE_2[IdeaEligibility],"w/o disability",0)</f>
        <v>w/o disability</v>
      </c>
      <c r="F135" t="str">
        <f>_xlfn.XLOOKUP(PE_2[[#This Row],[STN]],SE_2[STN],SE_2[Ethnicity],"",0)</f>
        <v/>
      </c>
    </row>
    <row r="136" spans="1:6" ht="13.9">
      <c r="A136" s="3">
        <v>12119001</v>
      </c>
      <c r="B136" s="10">
        <v>39133</v>
      </c>
      <c r="C136" s="19">
        <v>14.778244205146926</v>
      </c>
      <c r="D136" s="3"/>
      <c r="E136" t="str">
        <f>_xlfn.XLOOKUP(PE_2[[#This Row],[STN]],SE_2[STN],SE_2[IdeaEligibility],"w/o disability",0)</f>
        <v>w/o disability</v>
      </c>
      <c r="F136" t="str">
        <f>_xlfn.XLOOKUP(PE_2[[#This Row],[STN]],SE_2[STN],SE_2[Ethnicity],"",0)</f>
        <v/>
      </c>
    </row>
    <row r="137" spans="1:6" ht="13.9">
      <c r="A137" s="3">
        <v>12119009</v>
      </c>
      <c r="B137" s="10">
        <v>38870</v>
      </c>
      <c r="C137" s="19">
        <v>15.498973305954825</v>
      </c>
      <c r="D137" s="3"/>
      <c r="E137" t="str">
        <f>_xlfn.XLOOKUP(PE_2[[#This Row],[STN]],SE_2[STN],SE_2[IdeaEligibility],"w/o disability",0)</f>
        <v>w/o disability</v>
      </c>
      <c r="F137" t="str">
        <f>_xlfn.XLOOKUP(PE_2[[#This Row],[STN]],SE_2[STN],SE_2[Ethnicity],"",0)</f>
        <v/>
      </c>
    </row>
    <row r="138" spans="1:6" ht="13.9">
      <c r="A138" s="3">
        <v>27519058</v>
      </c>
      <c r="B138" s="10">
        <v>39553</v>
      </c>
      <c r="C138" s="19">
        <v>13.627688697692609</v>
      </c>
      <c r="D138" s="3"/>
      <c r="E138" t="str">
        <f>_xlfn.XLOOKUP(PE_2[[#This Row],[STN]],SE_2[STN],SE_2[IdeaEligibility],"w/o disability",0)</f>
        <v>w/o disability</v>
      </c>
      <c r="F138" t="str">
        <f>_xlfn.XLOOKUP(PE_2[[#This Row],[STN]],SE_2[STN],SE_2[Ethnicity],"",0)</f>
        <v/>
      </c>
    </row>
    <row r="139" spans="1:6" ht="13.9">
      <c r="A139" s="5">
        <v>153919063</v>
      </c>
      <c r="B139" s="10">
        <v>39233</v>
      </c>
      <c r="C139" s="19">
        <v>14.504471618908561</v>
      </c>
      <c r="D139" s="3"/>
      <c r="E139" t="str">
        <f>_xlfn.XLOOKUP(PE_2[[#This Row],[STN]],SE_2[STN],SE_2[IdeaEligibility],"w/o disability",0)</f>
        <v>w/o disability</v>
      </c>
      <c r="F139" t="str">
        <f>_xlfn.XLOOKUP(PE_2[[#This Row],[STN]],SE_2[STN],SE_2[Ethnicity],"",0)</f>
        <v/>
      </c>
    </row>
    <row r="140" spans="1:6" ht="13.9">
      <c r="A140" s="3">
        <v>4319017</v>
      </c>
      <c r="B140" s="10">
        <v>39405</v>
      </c>
      <c r="C140" s="19">
        <v>14.033582770578573</v>
      </c>
      <c r="D140" s="3"/>
      <c r="E140" t="str">
        <f>_xlfn.XLOOKUP(PE_2[[#This Row],[STN]],SE_2[STN],SE_2[IdeaEligibility],"w/o disability",0)</f>
        <v>w/o disability</v>
      </c>
      <c r="F140" t="str">
        <f>_xlfn.XLOOKUP(PE_2[[#This Row],[STN]],SE_2[STN],SE_2[Ethnicity],"",0)</f>
        <v/>
      </c>
    </row>
    <row r="141" spans="1:6" ht="13.9">
      <c r="A141" s="3">
        <v>10522071</v>
      </c>
      <c r="B141" s="10">
        <v>38532</v>
      </c>
      <c r="C141" s="19">
        <v>16.425028184892899</v>
      </c>
      <c r="D141" s="3"/>
      <c r="E141" t="str">
        <f>_xlfn.XLOOKUP(PE_2[[#This Row],[STN]],SE_2[STN],SE_2[IdeaEligibility],"w/o disability",0)</f>
        <v>w/o disability</v>
      </c>
      <c r="F141" t="str">
        <f>_xlfn.XLOOKUP(PE_2[[#This Row],[STN]],SE_2[STN],SE_2[Ethnicity],"",0)</f>
        <v/>
      </c>
    </row>
    <row r="142" spans="1:6" ht="13.9">
      <c r="A142" s="3">
        <v>10522069</v>
      </c>
      <c r="B142" s="10">
        <v>38642</v>
      </c>
      <c r="C142" s="19">
        <v>16.123852472217749</v>
      </c>
      <c r="D142" s="3"/>
      <c r="E142" t="str">
        <f>_xlfn.XLOOKUP(PE_2[[#This Row],[STN]],SE_2[STN],SE_2[IdeaEligibility],"w/o disability",0)</f>
        <v>w/o disability</v>
      </c>
      <c r="F142" t="str">
        <f>_xlfn.XLOOKUP(PE_2[[#This Row],[STN]],SE_2[STN],SE_2[Ethnicity],"",0)</f>
        <v/>
      </c>
    </row>
    <row r="143" spans="1:6" ht="13.9">
      <c r="A143" s="3">
        <v>10523006</v>
      </c>
      <c r="B143" s="10">
        <v>39601</v>
      </c>
      <c r="C143" s="19">
        <v>13.496284708642941</v>
      </c>
      <c r="D143" s="3"/>
      <c r="E143" t="str">
        <f>_xlfn.XLOOKUP(PE_2[[#This Row],[STN]],SE_2[STN],SE_2[IdeaEligibility],"w/o disability",0)</f>
        <v>w/o disability</v>
      </c>
      <c r="F143" t="str">
        <f>_xlfn.XLOOKUP(PE_2[[#This Row],[STN]],SE_2[STN],SE_2[Ethnicity],"",0)</f>
        <v/>
      </c>
    </row>
    <row r="144" spans="1:6" ht="13.9">
      <c r="A144" s="3">
        <v>27319106</v>
      </c>
      <c r="B144" s="10">
        <v>39421</v>
      </c>
      <c r="C144" s="19">
        <v>13.989779156780434</v>
      </c>
      <c r="D144" s="3"/>
      <c r="E144" t="str">
        <f>_xlfn.XLOOKUP(PE_2[[#This Row],[STN]],SE_2[STN],SE_2[IdeaEligibility],"w/o disability",0)</f>
        <v>w/o disability</v>
      </c>
      <c r="F144" t="str">
        <f>_xlfn.XLOOKUP(PE_2[[#This Row],[STN]],SE_2[STN],SE_2[Ethnicity],"",0)</f>
        <v/>
      </c>
    </row>
    <row r="145" spans="1:6" ht="13.9">
      <c r="A145" s="3">
        <v>10523007</v>
      </c>
      <c r="B145" s="10">
        <v>39083</v>
      </c>
      <c r="C145" s="19">
        <v>14.915130498266107</v>
      </c>
      <c r="D145" s="3"/>
      <c r="E145" t="str">
        <f>_xlfn.XLOOKUP(PE_2[[#This Row],[STN]],SE_2[STN],SE_2[IdeaEligibility],"w/o disability",0)</f>
        <v>w/o disability</v>
      </c>
      <c r="F145" t="str">
        <f>_xlfn.XLOOKUP(PE_2[[#This Row],[STN]],SE_2[STN],SE_2[Ethnicity],"",0)</f>
        <v/>
      </c>
    </row>
    <row r="146" spans="1:6" ht="13.9">
      <c r="A146" s="3">
        <v>24919069</v>
      </c>
      <c r="B146" s="10">
        <v>39631</v>
      </c>
      <c r="C146" s="19">
        <v>13.414157215486899</v>
      </c>
      <c r="D146" s="3"/>
      <c r="E146" t="str">
        <f>_xlfn.XLOOKUP(PE_2[[#This Row],[STN]],SE_2[STN],SE_2[IdeaEligibility],"w/o disability",0)</f>
        <v>w/o disability</v>
      </c>
      <c r="F146" t="str">
        <f>_xlfn.XLOOKUP(PE_2[[#This Row],[STN]],SE_2[STN],SE_2[Ethnicity],"",0)</f>
        <v/>
      </c>
    </row>
    <row r="147" spans="1:6" ht="13.9">
      <c r="A147" s="3">
        <v>12619014</v>
      </c>
      <c r="B147" s="10">
        <v>39016</v>
      </c>
      <c r="C147" s="19">
        <v>15.099247091033538</v>
      </c>
      <c r="D147" s="3"/>
      <c r="E147" t="str">
        <f>_xlfn.XLOOKUP(PE_2[[#This Row],[STN]],SE_2[STN],SE_2[IdeaEligibility],"w/o disability",0)</f>
        <v>w/o disability</v>
      </c>
      <c r="F147" t="str">
        <f>_xlfn.XLOOKUP(PE_2[[#This Row],[STN]],SE_2[STN],SE_2[Ethnicity],"",0)</f>
        <v/>
      </c>
    </row>
    <row r="148" spans="1:6" ht="13.9">
      <c r="A148" s="3">
        <v>10523003</v>
      </c>
      <c r="B148" s="10">
        <v>38475</v>
      </c>
      <c r="C148" s="19">
        <v>16.581091963279111</v>
      </c>
      <c r="D148" s="3"/>
      <c r="E148" t="str">
        <f>_xlfn.XLOOKUP(PE_2[[#This Row],[STN]],SE_2[STN],SE_2[IdeaEligibility],"w/o disability",0)</f>
        <v>w/o disability</v>
      </c>
      <c r="F148" t="str">
        <f>_xlfn.XLOOKUP(PE_2[[#This Row],[STN]],SE_2[STN],SE_2[Ethnicity],"",0)</f>
        <v/>
      </c>
    </row>
    <row r="149" spans="1:6" ht="13.9">
      <c r="A149" s="3">
        <v>13719030</v>
      </c>
      <c r="B149" s="10">
        <v>39587</v>
      </c>
      <c r="C149" s="19">
        <v>13.534610872115762</v>
      </c>
      <c r="D149" s="3"/>
      <c r="E149" t="str">
        <f>_xlfn.XLOOKUP(PE_2[[#This Row],[STN]],SE_2[STN],SE_2[IdeaEligibility],"w/o disability",0)</f>
        <v>w/o disability</v>
      </c>
      <c r="F149" t="str">
        <f>_xlfn.XLOOKUP(PE_2[[#This Row],[STN]],SE_2[STN],SE_2[Ethnicity],"",0)</f>
        <v/>
      </c>
    </row>
    <row r="150" spans="1:6" ht="13.9">
      <c r="A150" s="3">
        <v>24019001</v>
      </c>
      <c r="B150" s="10">
        <v>38990</v>
      </c>
      <c r="C150" s="19">
        <v>15.170431211498974</v>
      </c>
      <c r="D150" s="3"/>
      <c r="E150" t="str">
        <f>_xlfn.XLOOKUP(PE_2[[#This Row],[STN]],SE_2[STN],SE_2[IdeaEligibility],"w/o disability",0)</f>
        <v>w/o disability</v>
      </c>
      <c r="F150" t="str">
        <f>_xlfn.XLOOKUP(PE_2[[#This Row],[STN]],SE_2[STN],SE_2[Ethnicity],"",0)</f>
        <v/>
      </c>
    </row>
    <row r="151" spans="1:6" ht="13.9">
      <c r="A151" s="3">
        <v>10523002</v>
      </c>
      <c r="B151" s="10">
        <v>39716</v>
      </c>
      <c r="C151" s="19">
        <v>13.181462651544779</v>
      </c>
      <c r="D151" s="3"/>
      <c r="E151" t="str">
        <f>_xlfn.XLOOKUP(PE_2[[#This Row],[STN]],SE_2[STN],SE_2[IdeaEligibility],"w/o disability",0)</f>
        <v>w/o disability</v>
      </c>
      <c r="F151" t="str">
        <f>_xlfn.XLOOKUP(PE_2[[#This Row],[STN]],SE_2[STN],SE_2[Ethnicity],"",0)</f>
        <v/>
      </c>
    </row>
    <row r="152" spans="1:6" ht="13.9">
      <c r="A152" s="3">
        <v>13619076</v>
      </c>
      <c r="B152" s="10">
        <v>39427</v>
      </c>
      <c r="C152" s="19">
        <v>13.973352801606133</v>
      </c>
      <c r="D152" s="3"/>
      <c r="E152" t="str">
        <f>_xlfn.XLOOKUP(PE_2[[#This Row],[STN]],SE_2[STN],SE_2[IdeaEligibility],"w/o disability",0)</f>
        <v>w/o disability</v>
      </c>
      <c r="F152" t="str">
        <f>_xlfn.XLOOKUP(PE_2[[#This Row],[STN]],SE_2[STN],SE_2[Ethnicity],"",0)</f>
        <v/>
      </c>
    </row>
    <row r="153" spans="1:6" ht="13.9">
      <c r="A153" s="5">
        <v>153919065</v>
      </c>
      <c r="B153" s="10">
        <v>38851</v>
      </c>
      <c r="C153" s="19">
        <v>15.550992470910336</v>
      </c>
      <c r="D153" s="3"/>
      <c r="E153" t="str">
        <f>_xlfn.XLOOKUP(PE_2[[#This Row],[STN]],SE_2[STN],SE_2[IdeaEligibility],"w/o disability",0)</f>
        <v>w/o disability</v>
      </c>
      <c r="F153" t="str">
        <f>_xlfn.XLOOKUP(PE_2[[#This Row],[STN]],SE_2[STN],SE_2[Ethnicity],"",0)</f>
        <v/>
      </c>
    </row>
    <row r="154" spans="1:6" ht="13.9">
      <c r="A154" s="3">
        <v>10523001</v>
      </c>
      <c r="B154" s="10">
        <v>38671</v>
      </c>
      <c r="C154" s="19">
        <v>16.044451602512481</v>
      </c>
      <c r="D154" s="3"/>
      <c r="E154" t="str">
        <f>_xlfn.XLOOKUP(PE_2[[#This Row],[STN]],SE_2[STN],SE_2[IdeaEligibility],"w/o disability",0)</f>
        <v>w/o disability</v>
      </c>
      <c r="F154" t="str">
        <f>_xlfn.XLOOKUP(PE_2[[#This Row],[STN]],SE_2[STN],SE_2[Ethnicity],"",0)</f>
        <v/>
      </c>
    </row>
    <row r="155" spans="1:6" ht="13.9">
      <c r="A155" s="3">
        <v>10523004</v>
      </c>
      <c r="B155" s="10">
        <v>38609</v>
      </c>
      <c r="C155" s="19">
        <v>16.214205186020294</v>
      </c>
      <c r="D155" s="3"/>
      <c r="E155" t="str">
        <f>_xlfn.XLOOKUP(PE_2[[#This Row],[STN]],SE_2[STN],SE_2[IdeaEligibility],"w/o disability",0)</f>
        <v>w/o disability</v>
      </c>
      <c r="F155" t="str">
        <f>_xlfn.XLOOKUP(PE_2[[#This Row],[STN]],SE_2[STN],SE_2[Ethnicity],"",0)</f>
        <v/>
      </c>
    </row>
    <row r="156" spans="1:6" ht="13.9">
      <c r="A156" s="3">
        <v>10523012</v>
      </c>
      <c r="B156" s="10">
        <v>38673</v>
      </c>
      <c r="C156" s="19">
        <v>16.038975680463842</v>
      </c>
      <c r="D156" s="3"/>
      <c r="E156" t="str">
        <f>_xlfn.XLOOKUP(PE_2[[#This Row],[STN]],SE_2[STN],SE_2[IdeaEligibility],"w/o disability",0)</f>
        <v>w/o disability</v>
      </c>
      <c r="F156" t="str">
        <f>_xlfn.XLOOKUP(PE_2[[#This Row],[STN]],SE_2[STN],SE_2[Ethnicity],"",0)</f>
        <v/>
      </c>
    </row>
    <row r="157" spans="1:6" ht="13.9">
      <c r="A157" s="3">
        <v>12919021</v>
      </c>
      <c r="B157" s="10">
        <v>38505</v>
      </c>
      <c r="C157" s="19">
        <v>16.498953132549524</v>
      </c>
      <c r="D157" s="3"/>
      <c r="E157" t="str">
        <f>_xlfn.XLOOKUP(PE_2[[#This Row],[STN]],SE_2[STN],SE_2[IdeaEligibility],"w/o disability",0)</f>
        <v>w/o disability</v>
      </c>
      <c r="F157" t="str">
        <f>_xlfn.XLOOKUP(PE_2[[#This Row],[STN]],SE_2[STN],SE_2[Ethnicity],"",0)</f>
        <v/>
      </c>
    </row>
    <row r="158" spans="1:6" ht="13.9">
      <c r="A158" s="3">
        <v>24019013</v>
      </c>
      <c r="B158" s="10">
        <v>38697</v>
      </c>
      <c r="C158" s="19">
        <v>15.973264615880174</v>
      </c>
      <c r="D158" s="3"/>
      <c r="E158" t="str">
        <f>_xlfn.XLOOKUP(PE_2[[#This Row],[STN]],SE_2[STN],SE_2[IdeaEligibility],"w/o disability",0)</f>
        <v>w/o disability</v>
      </c>
      <c r="F158" t="str">
        <f>_xlfn.XLOOKUP(PE_2[[#This Row],[STN]],SE_2[STN],SE_2[Ethnicity],"",0)</f>
        <v/>
      </c>
    </row>
    <row r="159" spans="1:6" ht="13.9">
      <c r="A159" s="3">
        <v>4319038</v>
      </c>
      <c r="B159" s="10">
        <v>39407</v>
      </c>
      <c r="C159" s="19">
        <v>14.028107318853806</v>
      </c>
      <c r="D159" s="3"/>
      <c r="E159" t="str">
        <f>_xlfn.XLOOKUP(PE_2[[#This Row],[STN]],SE_2[STN],SE_2[IdeaEligibility],"w/o disability",0)</f>
        <v>w/o disability</v>
      </c>
      <c r="F159" t="str">
        <f>_xlfn.XLOOKUP(PE_2[[#This Row],[STN]],SE_2[STN],SE_2[Ethnicity],"",0)</f>
        <v/>
      </c>
    </row>
    <row r="160" spans="1:6" ht="13.9">
      <c r="A160" s="3">
        <v>10523008</v>
      </c>
      <c r="B160" s="10">
        <v>38765</v>
      </c>
      <c r="C160" s="19">
        <v>15.786447638603697</v>
      </c>
      <c r="D160" s="3"/>
      <c r="E160" t="str">
        <f>_xlfn.XLOOKUP(PE_2[[#This Row],[STN]],SE_2[STN],SE_2[IdeaEligibility],"w/o disability",0)</f>
        <v>w/o disability</v>
      </c>
      <c r="F160" t="str">
        <f>_xlfn.XLOOKUP(PE_2[[#This Row],[STN]],SE_2[STN],SE_2[Ethnicity],"",0)</f>
        <v/>
      </c>
    </row>
    <row r="161" spans="1:6" ht="13.9">
      <c r="A161" s="3">
        <v>12619024</v>
      </c>
      <c r="B161" s="10">
        <v>38733</v>
      </c>
      <c r="C161" s="19">
        <v>15.874058863791923</v>
      </c>
      <c r="D161" s="3"/>
      <c r="E161" t="str">
        <f>_xlfn.XLOOKUP(PE_2[[#This Row],[STN]],SE_2[STN],SE_2[IdeaEligibility],"w/o disability",0)</f>
        <v>w/o disability</v>
      </c>
      <c r="F161" t="str">
        <f>_xlfn.XLOOKUP(PE_2[[#This Row],[STN]],SE_2[STN],SE_2[Ethnicity],"",0)</f>
        <v/>
      </c>
    </row>
    <row r="162" spans="1:6" ht="13.9">
      <c r="A162" s="3">
        <v>27319126</v>
      </c>
      <c r="B162" s="10">
        <v>39440</v>
      </c>
      <c r="C162" s="19">
        <v>13.937762365395146</v>
      </c>
      <c r="D162" s="3"/>
      <c r="E162" t="str">
        <f>_xlfn.XLOOKUP(PE_2[[#This Row],[STN]],SE_2[STN],SE_2[IdeaEligibility],"w/o disability",0)</f>
        <v>w/o disability</v>
      </c>
      <c r="F162" t="str">
        <f>_xlfn.XLOOKUP(PE_2[[#This Row],[STN]],SE_2[STN],SE_2[Ethnicity],"",0)</f>
        <v/>
      </c>
    </row>
    <row r="163" spans="1:6" ht="13.9">
      <c r="A163" s="3">
        <v>10523014</v>
      </c>
      <c r="B163" s="10">
        <v>38728</v>
      </c>
      <c r="C163" s="19">
        <v>15.887748117727584</v>
      </c>
      <c r="D163" s="3"/>
      <c r="E163" t="str">
        <f>_xlfn.XLOOKUP(PE_2[[#This Row],[STN]],SE_2[STN],SE_2[IdeaEligibility],"w/o disability",0)</f>
        <v>w/o disability</v>
      </c>
      <c r="F163" t="str">
        <f>_xlfn.XLOOKUP(PE_2[[#This Row],[STN]],SE_2[STN],SE_2[Ethnicity],"",0)</f>
        <v/>
      </c>
    </row>
    <row r="164" spans="1:6" ht="13.9">
      <c r="A164" s="3">
        <v>10523009</v>
      </c>
      <c r="B164" s="10">
        <v>38971</v>
      </c>
      <c r="C164" s="19">
        <v>15.222450376454484</v>
      </c>
      <c r="D164" s="3"/>
      <c r="E164" t="str">
        <f>_xlfn.XLOOKUP(PE_2[[#This Row],[STN]],SE_2[STN],SE_2[IdeaEligibility],"w/o disability",0)</f>
        <v>w/o disability</v>
      </c>
      <c r="F164" t="str">
        <f>_xlfn.XLOOKUP(PE_2[[#This Row],[STN]],SE_2[STN],SE_2[Ethnicity],"",0)</f>
        <v/>
      </c>
    </row>
    <row r="165" spans="1:6" ht="13.9">
      <c r="A165" s="3">
        <v>10523011</v>
      </c>
      <c r="B165" s="10">
        <v>39031</v>
      </c>
      <c r="C165" s="19">
        <v>15.058179329226558</v>
      </c>
      <c r="D165" s="3"/>
      <c r="E165" t="str">
        <f>_xlfn.XLOOKUP(PE_2[[#This Row],[STN]],SE_2[STN],SE_2[IdeaEligibility],"w/o disability",0)</f>
        <v>w/o disability</v>
      </c>
      <c r="F165" t="str">
        <f>_xlfn.XLOOKUP(PE_2[[#This Row],[STN]],SE_2[STN],SE_2[Ethnicity],"",0)</f>
        <v/>
      </c>
    </row>
    <row r="166" spans="1:6" ht="13.9">
      <c r="A166" s="3">
        <v>13719090</v>
      </c>
      <c r="B166" s="10">
        <v>39607</v>
      </c>
      <c r="C166" s="19">
        <v>13.479859210011734</v>
      </c>
      <c r="D166" s="3"/>
      <c r="E166" t="str">
        <f>_xlfn.XLOOKUP(PE_2[[#This Row],[STN]],SE_2[STN],SE_2[IdeaEligibility],"w/o disability",0)</f>
        <v>w/o disability</v>
      </c>
      <c r="F166" t="str">
        <f>_xlfn.XLOOKUP(PE_2[[#This Row],[STN]],SE_2[STN],SE_2[Ethnicity],"",0)</f>
        <v/>
      </c>
    </row>
    <row r="167" spans="1:6" ht="13.9">
      <c r="A167" s="3">
        <v>12119019</v>
      </c>
      <c r="B167" s="10">
        <v>38756</v>
      </c>
      <c r="C167" s="19">
        <v>15.811088295687885</v>
      </c>
      <c r="D167" s="3"/>
      <c r="E167" t="str">
        <f>_xlfn.XLOOKUP(PE_2[[#This Row],[STN]],SE_2[STN],SE_2[IdeaEligibility],"w/o disability",0)</f>
        <v>w/o disability</v>
      </c>
      <c r="F167" t="str">
        <f>_xlfn.XLOOKUP(PE_2[[#This Row],[STN]],SE_2[STN],SE_2[Ethnicity],"",0)</f>
        <v/>
      </c>
    </row>
    <row r="168" spans="1:6" ht="13.9">
      <c r="A168" s="3">
        <v>12619026</v>
      </c>
      <c r="B168" s="10">
        <v>38398</v>
      </c>
      <c r="C168" s="19">
        <v>16.791914962151715</v>
      </c>
      <c r="D168" s="3"/>
      <c r="E168" t="str">
        <f>_xlfn.XLOOKUP(PE_2[[#This Row],[STN]],SE_2[STN],SE_2[IdeaEligibility],"w/o disability",0)</f>
        <v>w/o disability</v>
      </c>
      <c r="F168" t="str">
        <f>_xlfn.XLOOKUP(PE_2[[#This Row],[STN]],SE_2[STN],SE_2[Ethnicity],"",0)</f>
        <v/>
      </c>
    </row>
    <row r="169" spans="1:6" ht="13.9">
      <c r="A169" s="3">
        <v>13319019</v>
      </c>
      <c r="B169" s="10">
        <v>39128</v>
      </c>
      <c r="C169" s="19">
        <v>14.791932834458844</v>
      </c>
      <c r="D169" s="3"/>
      <c r="E169" t="str">
        <f>_xlfn.XLOOKUP(PE_2[[#This Row],[STN]],SE_2[STN],SE_2[IdeaEligibility],"w/o disability",0)</f>
        <v>w/o disability</v>
      </c>
      <c r="F169" t="str">
        <f>_xlfn.XLOOKUP(PE_2[[#This Row],[STN]],SE_2[STN],SE_2[Ethnicity],"",0)</f>
        <v/>
      </c>
    </row>
    <row r="170" spans="1:6" ht="13.9">
      <c r="A170" s="3">
        <v>12619027</v>
      </c>
      <c r="B170" s="10">
        <v>39088</v>
      </c>
      <c r="C170" s="19">
        <v>14.901441868954189</v>
      </c>
      <c r="D170" s="3"/>
      <c r="E170" t="str">
        <f>_xlfn.XLOOKUP(PE_2[[#This Row],[STN]],SE_2[STN],SE_2[IdeaEligibility],"w/o disability",0)</f>
        <v>w/o disability</v>
      </c>
      <c r="F170" t="str">
        <f>_xlfn.XLOOKUP(PE_2[[#This Row],[STN]],SE_2[STN],SE_2[Ethnicity],"",0)</f>
        <v/>
      </c>
    </row>
    <row r="171" spans="1:6" ht="13.9">
      <c r="A171" s="3">
        <v>10523016</v>
      </c>
      <c r="B171" s="10">
        <v>39093</v>
      </c>
      <c r="C171" s="19">
        <v>14.88775323964227</v>
      </c>
      <c r="D171" s="3"/>
      <c r="E171" t="str">
        <f>_xlfn.XLOOKUP(PE_2[[#This Row],[STN]],SE_2[STN],SE_2[IdeaEligibility],"w/o disability",0)</f>
        <v>w/o disability</v>
      </c>
      <c r="F171" t="str">
        <f>_xlfn.XLOOKUP(PE_2[[#This Row],[STN]],SE_2[STN],SE_2[Ethnicity],"",0)</f>
        <v/>
      </c>
    </row>
    <row r="172" spans="1:6" ht="13.9">
      <c r="A172" s="3">
        <v>10523015</v>
      </c>
      <c r="B172" s="10">
        <v>38766</v>
      </c>
      <c r="C172" s="19">
        <v>15.783709787816564</v>
      </c>
      <c r="D172" s="3"/>
      <c r="E172" t="str">
        <f>_xlfn.XLOOKUP(PE_2[[#This Row],[STN]],SE_2[STN],SE_2[IdeaEligibility],"w/o disability",0)</f>
        <v>w/o disability</v>
      </c>
      <c r="F172" t="str">
        <f>_xlfn.XLOOKUP(PE_2[[#This Row],[STN]],SE_2[STN],SE_2[Ethnicity],"",0)</f>
        <v/>
      </c>
    </row>
    <row r="173" spans="1:6" ht="13.9">
      <c r="A173" s="3">
        <v>10523018</v>
      </c>
      <c r="B173" s="10">
        <v>39057</v>
      </c>
      <c r="C173" s="19">
        <v>14.986995208761122</v>
      </c>
      <c r="D173" s="3"/>
      <c r="E173" t="str">
        <f>_xlfn.XLOOKUP(PE_2[[#This Row],[STN]],SE_2[STN],SE_2[IdeaEligibility],"w/o disability",0)</f>
        <v>w/o disability</v>
      </c>
      <c r="F173" t="str">
        <f>_xlfn.XLOOKUP(PE_2[[#This Row],[STN]],SE_2[STN],SE_2[Ethnicity],"",0)</f>
        <v/>
      </c>
    </row>
    <row r="174" spans="1:6" ht="13.9">
      <c r="A174" s="3">
        <v>10523020</v>
      </c>
      <c r="B174" s="10">
        <v>38765</v>
      </c>
      <c r="C174" s="19">
        <v>15.786447638603697</v>
      </c>
      <c r="D174" s="3"/>
      <c r="E174" t="str">
        <f>_xlfn.XLOOKUP(PE_2[[#This Row],[STN]],SE_2[STN],SE_2[IdeaEligibility],"w/o disability",0)</f>
        <v>w/o disability</v>
      </c>
      <c r="F174" t="str">
        <f>_xlfn.XLOOKUP(PE_2[[#This Row],[STN]],SE_2[STN],SE_2[Ethnicity],"",0)</f>
        <v/>
      </c>
    </row>
    <row r="175" spans="1:6" ht="13.9">
      <c r="A175" s="3">
        <v>10523021</v>
      </c>
      <c r="B175" s="10">
        <v>39439</v>
      </c>
      <c r="C175" s="19">
        <v>13.94050009125753</v>
      </c>
      <c r="D175" s="3"/>
      <c r="E175" t="str">
        <f>_xlfn.XLOOKUP(PE_2[[#This Row],[STN]],SE_2[STN],SE_2[IdeaEligibility],"w/o disability",0)</f>
        <v>w/o disability</v>
      </c>
      <c r="F175" t="str">
        <f>_xlfn.XLOOKUP(PE_2[[#This Row],[STN]],SE_2[STN],SE_2[Ethnicity],"",0)</f>
        <v/>
      </c>
    </row>
    <row r="176" spans="1:6" ht="13.9">
      <c r="A176" s="3">
        <v>13319018</v>
      </c>
      <c r="B176" s="10">
        <v>38144</v>
      </c>
      <c r="C176" s="19">
        <v>17.485323193916351</v>
      </c>
      <c r="D176" s="3"/>
      <c r="E176" t="str">
        <f>_xlfn.XLOOKUP(PE_2[[#This Row],[STN]],SE_2[STN],SE_2[IdeaEligibility],"w/o disability",0)</f>
        <v>w/o disability</v>
      </c>
      <c r="F176" t="str">
        <f>_xlfn.XLOOKUP(PE_2[[#This Row],[STN]],SE_2[STN],SE_2[Ethnicity],"",0)</f>
        <v/>
      </c>
    </row>
    <row r="177" spans="1:6" ht="13.9">
      <c r="A177" s="3">
        <v>10523032</v>
      </c>
      <c r="B177" s="10">
        <v>38672</v>
      </c>
      <c r="C177" s="19">
        <v>16.041713641488162</v>
      </c>
      <c r="D177" s="3"/>
      <c r="E177" t="str">
        <f>_xlfn.XLOOKUP(PE_2[[#This Row],[STN]],SE_2[STN],SE_2[IdeaEligibility],"w/o disability",0)</f>
        <v>w/o disability</v>
      </c>
      <c r="F177" t="str">
        <f>_xlfn.XLOOKUP(PE_2[[#This Row],[STN]],SE_2[STN],SE_2[Ethnicity],"",0)</f>
        <v/>
      </c>
    </row>
    <row r="178" spans="1:6" ht="13.9">
      <c r="A178" s="3">
        <v>10523031</v>
      </c>
      <c r="B178" s="10">
        <v>39255</v>
      </c>
      <c r="C178" s="19">
        <v>14.444241649936121</v>
      </c>
      <c r="D178" s="3"/>
      <c r="E178" t="str">
        <f>_xlfn.XLOOKUP(PE_2[[#This Row],[STN]],SE_2[STN],SE_2[IdeaEligibility],"w/o disability",0)</f>
        <v>w/o disability</v>
      </c>
      <c r="F178" t="str">
        <f>_xlfn.XLOOKUP(PE_2[[#This Row],[STN]],SE_2[STN],SE_2[Ethnicity],"",0)</f>
        <v/>
      </c>
    </row>
    <row r="179" spans="1:6" ht="13.9">
      <c r="A179" s="3">
        <v>10523029</v>
      </c>
      <c r="B179" s="10">
        <v>38749</v>
      </c>
      <c r="C179" s="19">
        <v>15.83025325119781</v>
      </c>
      <c r="D179" s="3"/>
      <c r="E179" t="str">
        <f>_xlfn.XLOOKUP(PE_2[[#This Row],[STN]],SE_2[STN],SE_2[IdeaEligibility],"w/o disability",0)</f>
        <v>w/o disability</v>
      </c>
      <c r="F179" t="str">
        <f>_xlfn.XLOOKUP(PE_2[[#This Row],[STN]],SE_2[STN],SE_2[Ethnicity],"",0)</f>
        <v/>
      </c>
    </row>
    <row r="180" spans="1:6" ht="13.9">
      <c r="A180" s="3">
        <v>10523033</v>
      </c>
      <c r="B180" s="10">
        <v>39206</v>
      </c>
      <c r="C180" s="19">
        <v>14.578390217192918</v>
      </c>
      <c r="D180" s="3"/>
      <c r="E180" t="str">
        <f>_xlfn.XLOOKUP(PE_2[[#This Row],[STN]],SE_2[STN],SE_2[IdeaEligibility],"w/o disability",0)</f>
        <v>w/o disability</v>
      </c>
      <c r="F180" t="str">
        <f>_xlfn.XLOOKUP(PE_2[[#This Row],[STN]],SE_2[STN],SE_2[Ethnicity],"",0)</f>
        <v/>
      </c>
    </row>
    <row r="181" spans="1:6" ht="13.9">
      <c r="A181" s="3">
        <v>10523022</v>
      </c>
      <c r="B181" s="10">
        <v>38965</v>
      </c>
      <c r="C181" s="19">
        <v>15.238877481177276</v>
      </c>
      <c r="D181" s="3"/>
      <c r="E181" t="str">
        <f>_xlfn.XLOOKUP(PE_2[[#This Row],[STN]],SE_2[STN],SE_2[IdeaEligibility],"w/o disability",0)</f>
        <v>w/o disability</v>
      </c>
      <c r="F181" t="str">
        <f>_xlfn.XLOOKUP(PE_2[[#This Row],[STN]],SE_2[STN],SE_2[Ethnicity],"",0)</f>
        <v/>
      </c>
    </row>
    <row r="182" spans="1:6" ht="13.9">
      <c r="A182" s="3">
        <v>10523028</v>
      </c>
      <c r="B182" s="10">
        <v>38718</v>
      </c>
      <c r="C182" s="19">
        <v>15.915126625598905</v>
      </c>
      <c r="D182" s="3"/>
      <c r="E182" t="str">
        <f>_xlfn.XLOOKUP(PE_2[[#This Row],[STN]],SE_2[STN],SE_2[IdeaEligibility],"w/o disability",0)</f>
        <v>w/o disability</v>
      </c>
      <c r="F182" t="str">
        <f>_xlfn.XLOOKUP(PE_2[[#This Row],[STN]],SE_2[STN],SE_2[Ethnicity],"",0)</f>
        <v/>
      </c>
    </row>
    <row r="183" spans="1:6" ht="13.9">
      <c r="A183" s="3">
        <v>10523025</v>
      </c>
      <c r="B183" s="10">
        <v>39519</v>
      </c>
      <c r="C183" s="19">
        <v>13.720766523269457</v>
      </c>
      <c r="D183" s="3"/>
      <c r="E183" t="str">
        <f>_xlfn.XLOOKUP(PE_2[[#This Row],[STN]],SE_2[STN],SE_2[IdeaEligibility],"w/o disability",0)</f>
        <v>w/o disability</v>
      </c>
      <c r="F183" t="str">
        <f>_xlfn.XLOOKUP(PE_2[[#This Row],[STN]],SE_2[STN],SE_2[Ethnicity],"",0)</f>
        <v/>
      </c>
    </row>
    <row r="184" spans="1:6" ht="13.9">
      <c r="A184" s="3">
        <v>10523023</v>
      </c>
      <c r="B184" s="10">
        <v>39022</v>
      </c>
      <c r="C184" s="19">
        <v>15.082819986310746</v>
      </c>
      <c r="D184" s="3"/>
      <c r="E184" t="str">
        <f>_xlfn.XLOOKUP(PE_2[[#This Row],[STN]],SE_2[STN],SE_2[IdeaEligibility],"w/o disability",0)</f>
        <v>w/o disability</v>
      </c>
      <c r="F184" t="str">
        <f>_xlfn.XLOOKUP(PE_2[[#This Row],[STN]],SE_2[STN],SE_2[Ethnicity],"",0)</f>
        <v/>
      </c>
    </row>
    <row r="185" spans="1:6" ht="13.9">
      <c r="A185" s="3">
        <v>10523027</v>
      </c>
      <c r="B185" s="10">
        <v>39156</v>
      </c>
      <c r="C185" s="19">
        <v>14.715276510312101</v>
      </c>
      <c r="D185" s="3"/>
      <c r="E185" t="str">
        <f>_xlfn.XLOOKUP(PE_2[[#This Row],[STN]],SE_2[STN],SE_2[IdeaEligibility],"w/o disability",0)</f>
        <v>w/o disability</v>
      </c>
      <c r="F185" t="str">
        <f>_xlfn.XLOOKUP(PE_2[[#This Row],[STN]],SE_2[STN],SE_2[Ethnicity],"",0)</f>
        <v/>
      </c>
    </row>
    <row r="186" spans="1:6" ht="13.9">
      <c r="A186" s="3">
        <v>10523019</v>
      </c>
      <c r="B186" s="10">
        <v>38968</v>
      </c>
      <c r="C186" s="19">
        <v>15.230663928815879</v>
      </c>
      <c r="D186" s="3"/>
      <c r="E186" t="str">
        <f>_xlfn.XLOOKUP(PE_2[[#This Row],[STN]],SE_2[STN],SE_2[IdeaEligibility],"w/o disability",0)</f>
        <v>w/o disability</v>
      </c>
      <c r="F186" t="str">
        <f>_xlfn.XLOOKUP(PE_2[[#This Row],[STN]],SE_2[STN],SE_2[Ethnicity],"",0)</f>
        <v/>
      </c>
    </row>
    <row r="187" spans="1:6" ht="13.9">
      <c r="A187" s="3">
        <v>12919025</v>
      </c>
      <c r="B187" s="10">
        <v>39116</v>
      </c>
      <c r="C187" s="19">
        <v>14.824785544807447</v>
      </c>
      <c r="D187" s="3"/>
      <c r="E187" t="str">
        <f>_xlfn.XLOOKUP(PE_2[[#This Row],[STN]],SE_2[STN],SE_2[IdeaEligibility],"w/o disability",0)</f>
        <v>w/o disability</v>
      </c>
      <c r="F187" t="str">
        <f>_xlfn.XLOOKUP(PE_2[[#This Row],[STN]],SE_2[STN],SE_2[Ethnicity],"",0)</f>
        <v/>
      </c>
    </row>
    <row r="188" spans="1:6" ht="13.9">
      <c r="A188" s="3">
        <v>22912052</v>
      </c>
      <c r="B188" s="10">
        <v>39180</v>
      </c>
      <c r="C188" s="19">
        <v>14.649571089614893</v>
      </c>
      <c r="D188" s="3"/>
      <c r="E188" t="str">
        <f>_xlfn.XLOOKUP(PE_2[[#This Row],[STN]],SE_2[STN],SE_2[IdeaEligibility],"w/o disability",0)</f>
        <v>w/o disability</v>
      </c>
      <c r="F188" t="str">
        <f>_xlfn.XLOOKUP(PE_2[[#This Row],[STN]],SE_2[STN],SE_2[Ethnicity],"",0)</f>
        <v/>
      </c>
    </row>
    <row r="189" spans="1:6" ht="13.9">
      <c r="A189" s="3">
        <v>22912269</v>
      </c>
      <c r="B189" s="10">
        <v>39058</v>
      </c>
      <c r="C189" s="19">
        <v>14.984257357973991</v>
      </c>
      <c r="D189" s="3"/>
      <c r="E189" t="str">
        <f>_xlfn.XLOOKUP(PE_2[[#This Row],[STN]],SE_2[STN],SE_2[IdeaEligibility],"w/o disability",0)</f>
        <v>w/o disability</v>
      </c>
      <c r="F189" t="str">
        <f>_xlfn.XLOOKUP(PE_2[[#This Row],[STN]],SE_2[STN],SE_2[Ethnicity],"",0)</f>
        <v/>
      </c>
    </row>
    <row r="190" spans="1:6" ht="13.9">
      <c r="A190" s="3">
        <v>8313141</v>
      </c>
      <c r="B190" s="10">
        <v>39117</v>
      </c>
      <c r="C190" s="19">
        <v>14.822047818945064</v>
      </c>
      <c r="D190" s="3"/>
      <c r="E190" t="str">
        <f>_xlfn.XLOOKUP(PE_2[[#This Row],[STN]],SE_2[STN],SE_2[IdeaEligibility],"w/o disability",0)</f>
        <v>w/o disability</v>
      </c>
      <c r="F190" t="str">
        <f>_xlfn.XLOOKUP(PE_2[[#This Row],[STN]],SE_2[STN],SE_2[Ethnicity],"",0)</f>
        <v/>
      </c>
    </row>
    <row r="191" spans="1:6" ht="13.9">
      <c r="A191" s="3">
        <v>13611591</v>
      </c>
      <c r="B191" s="10">
        <v>38874</v>
      </c>
      <c r="C191" s="19">
        <v>15.488021902806297</v>
      </c>
      <c r="D191" s="3"/>
      <c r="E191" t="str">
        <f>_xlfn.XLOOKUP(PE_2[[#This Row],[STN]],SE_2[STN],SE_2[IdeaEligibility],"w/o disability",0)</f>
        <v>w/o disability</v>
      </c>
      <c r="F191" t="str">
        <f>_xlfn.XLOOKUP(PE_2[[#This Row],[STN]],SE_2[STN],SE_2[Ethnicity],"",0)</f>
        <v/>
      </c>
    </row>
    <row r="192" spans="1:6" ht="13.9">
      <c r="A192" s="3">
        <v>14911580</v>
      </c>
      <c r="B192" s="10">
        <v>38736</v>
      </c>
      <c r="C192" s="19">
        <v>15.865845311430528</v>
      </c>
      <c r="D192" s="3"/>
      <c r="E192" t="str">
        <f>_xlfn.XLOOKUP(PE_2[[#This Row],[STN]],SE_2[STN],SE_2[IdeaEligibility],"w/o disability",0)</f>
        <v>w/o disability</v>
      </c>
      <c r="F192" t="str">
        <f>_xlfn.XLOOKUP(PE_2[[#This Row],[STN]],SE_2[STN],SE_2[Ethnicity],"",0)</f>
        <v/>
      </c>
    </row>
    <row r="193" spans="1:6" ht="13.9">
      <c r="A193" s="3">
        <v>14911583</v>
      </c>
      <c r="B193" s="10">
        <v>38761</v>
      </c>
      <c r="C193" s="19">
        <v>15.797399041752225</v>
      </c>
      <c r="D193" s="3"/>
      <c r="E193" t="str">
        <f>_xlfn.XLOOKUP(PE_2[[#This Row],[STN]],SE_2[STN],SE_2[IdeaEligibility],"w/o disability",0)</f>
        <v>w/o disability</v>
      </c>
      <c r="F193" t="str">
        <f>_xlfn.XLOOKUP(PE_2[[#This Row],[STN]],SE_2[STN],SE_2[Ethnicity],"",0)</f>
        <v/>
      </c>
    </row>
    <row r="194" spans="1:6" ht="13.9">
      <c r="A194" s="3">
        <v>13711539</v>
      </c>
      <c r="B194" s="10">
        <v>39143</v>
      </c>
      <c r="C194" s="19">
        <v>14.750866946523089</v>
      </c>
      <c r="D194" s="3"/>
      <c r="E194" t="str">
        <f>_xlfn.XLOOKUP(PE_2[[#This Row],[STN]],SE_2[STN],SE_2[IdeaEligibility],"w/o disability",0)</f>
        <v>w/o disability</v>
      </c>
      <c r="F194" t="str">
        <f>_xlfn.XLOOKUP(PE_2[[#This Row],[STN]],SE_2[STN],SE_2[Ethnicity],"",0)</f>
        <v/>
      </c>
    </row>
    <row r="195" spans="1:6" ht="13.9">
      <c r="A195" s="3">
        <v>13711542</v>
      </c>
      <c r="B195" s="10">
        <v>38715</v>
      </c>
      <c r="C195" s="19">
        <v>15.923981317442422</v>
      </c>
      <c r="D195" s="3"/>
      <c r="E195" t="str">
        <f>_xlfn.XLOOKUP(PE_2[[#This Row],[STN]],SE_2[STN],SE_2[IdeaEligibility],"w/o disability",0)</f>
        <v>w/o disability</v>
      </c>
      <c r="F195" t="str">
        <f>_xlfn.XLOOKUP(PE_2[[#This Row],[STN]],SE_2[STN],SE_2[Ethnicity],"",0)</f>
        <v/>
      </c>
    </row>
    <row r="196" spans="1:6" ht="13.9">
      <c r="A196" s="3">
        <v>18911577</v>
      </c>
      <c r="B196" s="10">
        <v>38703</v>
      </c>
      <c r="C196" s="19">
        <v>15.956836849734255</v>
      </c>
      <c r="D196" s="3"/>
      <c r="E196" t="str">
        <f>_xlfn.XLOOKUP(PE_2[[#This Row],[STN]],SE_2[STN],SE_2[IdeaEligibility],"w/o disability",0)</f>
        <v>w/o disability</v>
      </c>
      <c r="F196" t="str">
        <f>_xlfn.XLOOKUP(PE_2[[#This Row],[STN]],SE_2[STN],SE_2[Ethnicity],"",0)</f>
        <v/>
      </c>
    </row>
    <row r="197" spans="1:6" ht="13.9">
      <c r="A197" s="3">
        <v>13713514</v>
      </c>
      <c r="B197" s="10">
        <v>39237</v>
      </c>
      <c r="C197" s="19">
        <v>14.493520715459026</v>
      </c>
      <c r="D197" s="3"/>
      <c r="E197" t="str">
        <f>_xlfn.XLOOKUP(PE_2[[#This Row],[STN]],SE_2[STN],SE_2[IdeaEligibility],"w/o disability",0)</f>
        <v>w/o disability</v>
      </c>
      <c r="F197" t="str">
        <f>_xlfn.XLOOKUP(PE_2[[#This Row],[STN]],SE_2[STN],SE_2[Ethnicity],"",0)</f>
        <v/>
      </c>
    </row>
    <row r="198" spans="1:6" ht="13.9">
      <c r="A198" s="3">
        <v>32912006</v>
      </c>
      <c r="B198" s="10">
        <v>38716</v>
      </c>
      <c r="C198" s="19">
        <v>15.921243356418103</v>
      </c>
      <c r="D198" s="3"/>
      <c r="E198" t="str">
        <f>_xlfn.XLOOKUP(PE_2[[#This Row],[STN]],SE_2[STN],SE_2[IdeaEligibility],"w/o disability",0)</f>
        <v>w/o disability</v>
      </c>
      <c r="F198" t="str">
        <f>_xlfn.XLOOKUP(PE_2[[#This Row],[STN]],SE_2[STN],SE_2[Ethnicity],"",0)</f>
        <v/>
      </c>
    </row>
    <row r="199" spans="1:6" ht="13.9">
      <c r="A199" s="5">
        <v>522713006</v>
      </c>
      <c r="B199" s="10">
        <v>39226</v>
      </c>
      <c r="C199" s="19">
        <v>14.523635699945245</v>
      </c>
      <c r="D199" s="3"/>
      <c r="E199" t="str">
        <f>_xlfn.XLOOKUP(PE_2[[#This Row],[STN]],SE_2[STN],SE_2[IdeaEligibility],"w/o disability",0)</f>
        <v>w/o disability</v>
      </c>
      <c r="F199" t="str">
        <f>_xlfn.XLOOKUP(PE_2[[#This Row],[STN]],SE_2[STN],SE_2[Ethnicity],"",0)</f>
        <v/>
      </c>
    </row>
    <row r="200" spans="1:6" ht="13.9">
      <c r="A200" s="5">
        <v>649113123</v>
      </c>
      <c r="B200" s="10">
        <v>38967</v>
      </c>
      <c r="C200" s="19">
        <v>15.233401779603012</v>
      </c>
      <c r="D200" s="3"/>
      <c r="E200" t="str">
        <f>_xlfn.XLOOKUP(PE_2[[#This Row],[STN]],SE_2[STN],SE_2[IdeaEligibility],"w/o disability",0)</f>
        <v>w/o disability</v>
      </c>
      <c r="F200" t="str">
        <f>_xlfn.XLOOKUP(PE_2[[#This Row],[STN]],SE_2[STN],SE_2[Ethnicity],"",0)</f>
        <v/>
      </c>
    </row>
    <row r="201" spans="1:6" ht="13.9">
      <c r="A201" s="3">
        <v>8312156</v>
      </c>
      <c r="B201" s="10">
        <v>38904</v>
      </c>
      <c r="C201" s="19">
        <v>15.405886379192333</v>
      </c>
      <c r="D201" s="3"/>
      <c r="E201" t="str">
        <f>_xlfn.XLOOKUP(PE_2[[#This Row],[STN]],SE_2[STN],SE_2[IdeaEligibility],"w/o disability",0)</f>
        <v>w/o disability</v>
      </c>
      <c r="F201" t="str">
        <f>_xlfn.XLOOKUP(PE_2[[#This Row],[STN]],SE_2[STN],SE_2[Ethnicity],"",0)</f>
        <v/>
      </c>
    </row>
    <row r="202" spans="1:6" ht="13.9">
      <c r="A202" s="5">
        <v>153913055</v>
      </c>
      <c r="B202" s="10">
        <v>39062</v>
      </c>
      <c r="C202" s="19">
        <v>14.973305954825461</v>
      </c>
      <c r="D202" s="3"/>
      <c r="E202" t="str">
        <f>_xlfn.XLOOKUP(PE_2[[#This Row],[STN]],SE_2[STN],SE_2[IdeaEligibility],"w/o disability",0)</f>
        <v>w/o disability</v>
      </c>
      <c r="F202" t="str">
        <f>_xlfn.XLOOKUP(PE_2[[#This Row],[STN]],SE_2[STN],SE_2[Ethnicity],"",0)</f>
        <v/>
      </c>
    </row>
    <row r="203" spans="1:6" ht="13.9">
      <c r="A203" s="3">
        <v>18911563</v>
      </c>
      <c r="B203" s="10">
        <v>38406</v>
      </c>
      <c r="C203" s="19">
        <v>16.770011273957159</v>
      </c>
      <c r="D203" s="3"/>
      <c r="E203" t="str">
        <f>_xlfn.XLOOKUP(PE_2[[#This Row],[STN]],SE_2[STN],SE_2[IdeaEligibility],"w/o disability",0)</f>
        <v>w/o disability</v>
      </c>
      <c r="F203" t="str">
        <f>_xlfn.XLOOKUP(PE_2[[#This Row],[STN]],SE_2[STN],SE_2[Ethnicity],"",0)</f>
        <v/>
      </c>
    </row>
    <row r="204" spans="1:6" ht="13.9">
      <c r="A204" s="3">
        <v>18911565</v>
      </c>
      <c r="B204" s="10">
        <v>39120</v>
      </c>
      <c r="C204" s="19">
        <v>14.813834641357913</v>
      </c>
      <c r="D204" s="3"/>
      <c r="E204" t="str">
        <f>_xlfn.XLOOKUP(PE_2[[#This Row],[STN]],SE_2[STN],SE_2[IdeaEligibility],"w/o disability",0)</f>
        <v>w/o disability</v>
      </c>
      <c r="F204" t="str">
        <f>_xlfn.XLOOKUP(PE_2[[#This Row],[STN]],SE_2[STN],SE_2[Ethnicity],"",0)</f>
        <v/>
      </c>
    </row>
    <row r="205" spans="1:6" ht="13.9">
      <c r="A205" s="3">
        <v>22913357</v>
      </c>
      <c r="B205" s="10">
        <v>39501</v>
      </c>
      <c r="C205" s="19">
        <v>13.770043019163081</v>
      </c>
      <c r="D205" s="3"/>
      <c r="E205" t="str">
        <f>_xlfn.XLOOKUP(PE_2[[#This Row],[STN]],SE_2[STN],SE_2[IdeaEligibility],"w/o disability",0)</f>
        <v>w/o disability</v>
      </c>
      <c r="F205" t="str">
        <f>_xlfn.XLOOKUP(PE_2[[#This Row],[STN]],SE_2[STN],SE_2[Ethnicity],"",0)</f>
        <v/>
      </c>
    </row>
    <row r="206" spans="1:6" ht="13.9">
      <c r="A206" s="3">
        <v>21311561</v>
      </c>
      <c r="B206" s="10">
        <v>38999</v>
      </c>
      <c r="C206" s="19">
        <v>15.145790554414784</v>
      </c>
      <c r="D206" s="3"/>
      <c r="E206" t="str">
        <f>_xlfn.XLOOKUP(PE_2[[#This Row],[STN]],SE_2[STN],SE_2[IdeaEligibility],"w/o disability",0)</f>
        <v>w/o disability</v>
      </c>
      <c r="F206" t="str">
        <f>_xlfn.XLOOKUP(PE_2[[#This Row],[STN]],SE_2[STN],SE_2[Ethnicity],"",0)</f>
        <v/>
      </c>
    </row>
    <row r="207" spans="1:6" ht="13.9">
      <c r="A207" s="3">
        <v>31812027</v>
      </c>
      <c r="B207" s="10">
        <v>39479</v>
      </c>
      <c r="C207" s="19">
        <v>13.830269847477513</v>
      </c>
      <c r="D207" s="3"/>
      <c r="E207" t="str">
        <f>_xlfn.XLOOKUP(PE_2[[#This Row],[STN]],SE_2[STN],SE_2[IdeaEligibility],"w/o disability",0)</f>
        <v>w/o disability</v>
      </c>
      <c r="F207" t="str">
        <f>_xlfn.XLOOKUP(PE_2[[#This Row],[STN]],SE_2[STN],SE_2[Ethnicity],"",0)</f>
        <v/>
      </c>
    </row>
    <row r="208" spans="1:6" ht="13.9">
      <c r="A208" s="3">
        <v>21712117</v>
      </c>
      <c r="B208" s="10">
        <v>39247</v>
      </c>
      <c r="C208" s="19">
        <v>14.466143456835189</v>
      </c>
      <c r="D208" s="3"/>
      <c r="E208" t="str">
        <f>_xlfn.XLOOKUP(PE_2[[#This Row],[STN]],SE_2[STN],SE_2[IdeaEligibility],"w/o disability",0)</f>
        <v>w/o disability</v>
      </c>
      <c r="F208" t="str">
        <f>_xlfn.XLOOKUP(PE_2[[#This Row],[STN]],SE_2[STN],SE_2[Ethnicity],"",0)</f>
        <v/>
      </c>
    </row>
    <row r="209" spans="1:6" ht="13.9">
      <c r="A209" s="5">
        <v>236912071</v>
      </c>
      <c r="B209" s="10">
        <v>38854</v>
      </c>
      <c r="C209" s="19">
        <v>15.542778918548938</v>
      </c>
      <c r="D209" s="3"/>
      <c r="E209" t="str">
        <f>_xlfn.XLOOKUP(PE_2[[#This Row],[STN]],SE_2[STN],SE_2[IdeaEligibility],"w/o disability",0)</f>
        <v>w/o disability</v>
      </c>
      <c r="F209" t="str">
        <f>_xlfn.XLOOKUP(PE_2[[#This Row],[STN]],SE_2[STN],SE_2[Ethnicity],"",0)</f>
        <v/>
      </c>
    </row>
    <row r="210" spans="1:6" ht="13.9">
      <c r="A210" s="5">
        <v>361313056</v>
      </c>
      <c r="B210" s="10">
        <v>38684</v>
      </c>
      <c r="C210" s="19">
        <v>16.008858109196328</v>
      </c>
      <c r="D210" s="3"/>
      <c r="E210" t="str">
        <f>_xlfn.XLOOKUP(PE_2[[#This Row],[STN]],SE_2[STN],SE_2[IdeaEligibility],"w/o disability",0)</f>
        <v>w/o disability</v>
      </c>
      <c r="F210" t="str">
        <f>_xlfn.XLOOKUP(PE_2[[#This Row],[STN]],SE_2[STN],SE_2[Ethnicity],"",0)</f>
        <v/>
      </c>
    </row>
    <row r="211" spans="1:6" ht="13.9">
      <c r="A211" s="3">
        <v>25313535</v>
      </c>
      <c r="B211" s="10">
        <v>39422</v>
      </c>
      <c r="C211" s="19">
        <v>13.987041430918051</v>
      </c>
      <c r="D211" s="3"/>
      <c r="E211" t="str">
        <f>_xlfn.XLOOKUP(PE_2[[#This Row],[STN]],SE_2[STN],SE_2[IdeaEligibility],"w/o disability",0)</f>
        <v>w/o disability</v>
      </c>
      <c r="F211" t="str">
        <f>_xlfn.XLOOKUP(PE_2[[#This Row],[STN]],SE_2[STN],SE_2[Ethnicity],"",0)</f>
        <v/>
      </c>
    </row>
    <row r="212" spans="1:6" ht="13.9">
      <c r="A212" s="5">
        <v>153913054</v>
      </c>
      <c r="B212" s="10">
        <v>39154</v>
      </c>
      <c r="C212" s="19">
        <v>14.720751962036868</v>
      </c>
      <c r="D212" s="3"/>
      <c r="E212" t="str">
        <f>_xlfn.XLOOKUP(PE_2[[#This Row],[STN]],SE_2[STN],SE_2[IdeaEligibility],"w/o disability",0)</f>
        <v>w/o disability</v>
      </c>
      <c r="F212" t="str">
        <f>_xlfn.XLOOKUP(PE_2[[#This Row],[STN]],SE_2[STN],SE_2[Ethnicity],"",0)</f>
        <v/>
      </c>
    </row>
    <row r="213" spans="1:6" ht="13.9">
      <c r="A213" s="3">
        <v>20511575</v>
      </c>
      <c r="B213" s="10">
        <v>38748</v>
      </c>
      <c r="C213" s="19">
        <v>15.832991101984941</v>
      </c>
      <c r="D213" s="3"/>
      <c r="E213" t="str">
        <f>_xlfn.XLOOKUP(PE_2[[#This Row],[STN]],SE_2[STN],SE_2[IdeaEligibility],"w/o disability",0)</f>
        <v>w/o disability</v>
      </c>
      <c r="F213" t="str">
        <f>_xlfn.XLOOKUP(PE_2[[#This Row],[STN]],SE_2[STN],SE_2[Ethnicity],"",0)</f>
        <v/>
      </c>
    </row>
    <row r="214" spans="1:6" ht="13.9">
      <c r="A214" s="3">
        <v>21711577</v>
      </c>
      <c r="B214" s="10">
        <v>38788</v>
      </c>
      <c r="C214" s="19">
        <v>15.723477070499658</v>
      </c>
      <c r="D214" s="3"/>
      <c r="E214" t="str">
        <f>_xlfn.XLOOKUP(PE_2[[#This Row],[STN]],SE_2[STN],SE_2[IdeaEligibility],"w/o disability",0)</f>
        <v>w/o disability</v>
      </c>
      <c r="F214" t="str">
        <f>_xlfn.XLOOKUP(PE_2[[#This Row],[STN]],SE_2[STN],SE_2[Ethnicity],"",0)</f>
        <v/>
      </c>
    </row>
    <row r="215" spans="1:6" ht="13.9">
      <c r="A215" s="3">
        <v>16211570</v>
      </c>
      <c r="B215" s="10">
        <v>38740</v>
      </c>
      <c r="C215" s="19">
        <v>15.854893908282</v>
      </c>
      <c r="D215" s="3"/>
      <c r="E215" t="str">
        <f>_xlfn.XLOOKUP(PE_2[[#This Row],[STN]],SE_2[STN],SE_2[IdeaEligibility],"w/o disability",0)</f>
        <v>w/o disability</v>
      </c>
      <c r="F215" t="str">
        <f>_xlfn.XLOOKUP(PE_2[[#This Row],[STN]],SE_2[STN],SE_2[Ethnicity],"",0)</f>
        <v/>
      </c>
    </row>
    <row r="216" spans="1:6" ht="13.9">
      <c r="A216" s="3">
        <v>22912247</v>
      </c>
      <c r="B216" s="10">
        <v>39655</v>
      </c>
      <c r="C216" s="19">
        <v>13.348455220962066</v>
      </c>
      <c r="D216" s="3"/>
      <c r="E216" t="str">
        <f>_xlfn.XLOOKUP(PE_2[[#This Row],[STN]],SE_2[STN],SE_2[IdeaEligibility],"w/o disability",0)</f>
        <v>w/o disability</v>
      </c>
      <c r="F216" t="str">
        <f>_xlfn.XLOOKUP(PE_2[[#This Row],[STN]],SE_2[STN],SE_2[Ethnicity],"",0)</f>
        <v/>
      </c>
    </row>
    <row r="217" spans="1:6" ht="13.9">
      <c r="A217" s="5">
        <v>153913056</v>
      </c>
      <c r="B217" s="10">
        <v>38935</v>
      </c>
      <c r="C217" s="19">
        <v>15.321013004791238</v>
      </c>
      <c r="D217" s="3"/>
      <c r="E217" t="str">
        <f>_xlfn.XLOOKUP(PE_2[[#This Row],[STN]],SE_2[STN],SE_2[IdeaEligibility],"w/o disability",0)</f>
        <v>w/o disability</v>
      </c>
      <c r="F217" t="str">
        <f>_xlfn.XLOOKUP(PE_2[[#This Row],[STN]],SE_2[STN],SE_2[Ethnicity],"",0)</f>
        <v/>
      </c>
    </row>
    <row r="218" spans="1:6" ht="13.9">
      <c r="A218" s="5">
        <v>509212106</v>
      </c>
      <c r="B218" s="10">
        <v>39121</v>
      </c>
      <c r="C218" s="19">
        <v>14.811096915495529</v>
      </c>
      <c r="D218" s="3"/>
      <c r="E218" t="str">
        <f>_xlfn.XLOOKUP(PE_2[[#This Row],[STN]],SE_2[STN],SE_2[IdeaEligibility],"w/o disability",0)</f>
        <v>w/o disability</v>
      </c>
      <c r="F218" t="str">
        <f>_xlfn.XLOOKUP(PE_2[[#This Row],[STN]],SE_2[STN],SE_2[Ethnicity],"",0)</f>
        <v/>
      </c>
    </row>
    <row r="219" spans="1:6" ht="13.9">
      <c r="A219" s="3">
        <v>17811575</v>
      </c>
      <c r="B219" s="10">
        <v>38794</v>
      </c>
      <c r="C219" s="19">
        <v>15.707049965776864</v>
      </c>
      <c r="D219" s="3"/>
      <c r="E219" t="str">
        <f>_xlfn.XLOOKUP(PE_2[[#This Row],[STN]],SE_2[STN],SE_2[IdeaEligibility],"w/o disability",0)</f>
        <v>w/o disability</v>
      </c>
      <c r="F219" t="str">
        <f>_xlfn.XLOOKUP(PE_2[[#This Row],[STN]],SE_2[STN],SE_2[Ethnicity],"",0)</f>
        <v/>
      </c>
    </row>
    <row r="220" spans="1:6" ht="13.9">
      <c r="A220" s="3">
        <v>17811583</v>
      </c>
      <c r="B220" s="10">
        <v>38611</v>
      </c>
      <c r="C220" s="19">
        <v>16.208729263971655</v>
      </c>
      <c r="D220" s="3"/>
      <c r="E220" t="str">
        <f>_xlfn.XLOOKUP(PE_2[[#This Row],[STN]],SE_2[STN],SE_2[IdeaEligibility],"w/o disability",0)</f>
        <v>w/o disability</v>
      </c>
      <c r="F220" t="str">
        <f>_xlfn.XLOOKUP(PE_2[[#This Row],[STN]],SE_2[STN],SE_2[Ethnicity],"",0)</f>
        <v/>
      </c>
    </row>
    <row r="221" spans="1:6" ht="13.9">
      <c r="A221" s="3">
        <v>17811590</v>
      </c>
      <c r="B221" s="10">
        <v>38702</v>
      </c>
      <c r="C221" s="19">
        <v>15.959574810758575</v>
      </c>
      <c r="D221" s="3"/>
      <c r="E221" t="str">
        <f>_xlfn.XLOOKUP(PE_2[[#This Row],[STN]],SE_2[STN],SE_2[IdeaEligibility],"w/o disability",0)</f>
        <v>w/o disability</v>
      </c>
      <c r="F221" t="str">
        <f>_xlfn.XLOOKUP(PE_2[[#This Row],[STN]],SE_2[STN],SE_2[Ethnicity],"",0)</f>
        <v/>
      </c>
    </row>
    <row r="222" spans="1:6" ht="13.9">
      <c r="A222" s="3">
        <v>27011617</v>
      </c>
      <c r="B222" s="10">
        <v>38889</v>
      </c>
      <c r="C222" s="19">
        <v>15.446954140999315</v>
      </c>
      <c r="D222" s="3"/>
      <c r="E222" t="str">
        <f>_xlfn.XLOOKUP(PE_2[[#This Row],[STN]],SE_2[STN],SE_2[IdeaEligibility],"w/o disability",0)</f>
        <v>w/o disability</v>
      </c>
      <c r="F222" t="str">
        <f>_xlfn.XLOOKUP(PE_2[[#This Row],[STN]],SE_2[STN],SE_2[Ethnicity],"",0)</f>
        <v/>
      </c>
    </row>
    <row r="223" spans="1:6" ht="13.9">
      <c r="A223" s="3">
        <v>27011618</v>
      </c>
      <c r="B223" s="10">
        <v>38889</v>
      </c>
      <c r="C223" s="19">
        <v>15.446954140999315</v>
      </c>
      <c r="D223" s="3"/>
      <c r="E223" t="str">
        <f>_xlfn.XLOOKUP(PE_2[[#This Row],[STN]],SE_2[STN],SE_2[IdeaEligibility],"w/o disability",0)</f>
        <v>w/o disability</v>
      </c>
      <c r="F223" t="str">
        <f>_xlfn.XLOOKUP(PE_2[[#This Row],[STN]],SE_2[STN],SE_2[Ethnicity],"",0)</f>
        <v/>
      </c>
    </row>
    <row r="224" spans="1:6" ht="13.9">
      <c r="A224" s="3">
        <v>27311571</v>
      </c>
      <c r="B224" s="10">
        <v>38617</v>
      </c>
      <c r="C224" s="19">
        <v>16.192301497825735</v>
      </c>
      <c r="D224" s="3"/>
      <c r="E224" t="str">
        <f>_xlfn.XLOOKUP(PE_2[[#This Row],[STN]],SE_2[STN],SE_2[IdeaEligibility],"w/o disability",0)</f>
        <v>w/o disability</v>
      </c>
      <c r="F224" t="str">
        <f>_xlfn.XLOOKUP(PE_2[[#This Row],[STN]],SE_2[STN],SE_2[Ethnicity],"",0)</f>
        <v/>
      </c>
    </row>
    <row r="225" spans="1:6" ht="13.9">
      <c r="A225" s="5">
        <v>255111212</v>
      </c>
      <c r="B225" s="10">
        <v>39216</v>
      </c>
      <c r="C225" s="19">
        <v>14.551012958569082</v>
      </c>
      <c r="D225" s="3"/>
      <c r="E225" t="str">
        <f>_xlfn.XLOOKUP(PE_2[[#This Row],[STN]],SE_2[STN],SE_2[IdeaEligibility],"w/o disability",0)</f>
        <v>w/o disability</v>
      </c>
      <c r="F225" t="str">
        <f>_xlfn.XLOOKUP(PE_2[[#This Row],[STN]],SE_2[STN],SE_2[Ethnicity],"",0)</f>
        <v/>
      </c>
    </row>
    <row r="226" spans="1:6" ht="13.9">
      <c r="A226" s="3">
        <v>27311559</v>
      </c>
      <c r="B226" s="10">
        <v>38756</v>
      </c>
      <c r="C226" s="19">
        <v>15.811088295687885</v>
      </c>
      <c r="D226" s="3"/>
      <c r="E226" t="str">
        <f>_xlfn.XLOOKUP(PE_2[[#This Row],[STN]],SE_2[STN],SE_2[IdeaEligibility],"w/o disability",0)</f>
        <v>w/o disability</v>
      </c>
      <c r="F226" t="str">
        <f>_xlfn.XLOOKUP(PE_2[[#This Row],[STN]],SE_2[STN],SE_2[Ethnicity],"",0)</f>
        <v/>
      </c>
    </row>
    <row r="227" spans="1:6" ht="13.9">
      <c r="A227" s="3">
        <v>27011622</v>
      </c>
      <c r="B227" s="10">
        <v>38679</v>
      </c>
      <c r="C227" s="19">
        <v>16.022547914317926</v>
      </c>
      <c r="D227" s="3"/>
      <c r="E227" t="str">
        <f>_xlfn.XLOOKUP(PE_2[[#This Row],[STN]],SE_2[STN],SE_2[IdeaEligibility],"w/o disability",0)</f>
        <v>w/o disability</v>
      </c>
      <c r="F227" t="str">
        <f>_xlfn.XLOOKUP(PE_2[[#This Row],[STN]],SE_2[STN],SE_2[Ethnicity],"",0)</f>
        <v/>
      </c>
    </row>
    <row r="228" spans="1:6" ht="13.9">
      <c r="A228" s="3">
        <v>27311566</v>
      </c>
      <c r="B228" s="10">
        <v>38610</v>
      </c>
      <c r="C228" s="19">
        <v>16.211467224995975</v>
      </c>
      <c r="D228" s="3"/>
      <c r="E228" t="str">
        <f>_xlfn.XLOOKUP(PE_2[[#This Row],[STN]],SE_2[STN],SE_2[IdeaEligibility],"w/o disability",0)</f>
        <v>w/o disability</v>
      </c>
      <c r="F228" t="str">
        <f>_xlfn.XLOOKUP(PE_2[[#This Row],[STN]],SE_2[STN],SE_2[Ethnicity],"",0)</f>
        <v/>
      </c>
    </row>
    <row r="229" spans="1:6" ht="13.9">
      <c r="A229" s="3">
        <v>22913238</v>
      </c>
      <c r="B229" s="10">
        <v>39477</v>
      </c>
      <c r="C229" s="19">
        <v>13.835745013687916</v>
      </c>
      <c r="D229" s="3"/>
      <c r="E229" t="str">
        <f>_xlfn.XLOOKUP(PE_2[[#This Row],[STN]],SE_2[STN],SE_2[IdeaEligibility],"w/o disability",0)</f>
        <v>w/o disability</v>
      </c>
      <c r="F229" t="str">
        <f>_xlfn.XLOOKUP(PE_2[[#This Row],[STN]],SE_2[STN],SE_2[Ethnicity],"",0)</f>
        <v/>
      </c>
    </row>
    <row r="230" spans="1:6" ht="13.9">
      <c r="A230" s="3">
        <v>17812140</v>
      </c>
      <c r="B230" s="10">
        <v>37888</v>
      </c>
      <c r="C230" s="19">
        <v>18.186887608069167</v>
      </c>
      <c r="D230" s="3"/>
      <c r="E230" t="str">
        <f>_xlfn.XLOOKUP(PE_2[[#This Row],[STN]],SE_2[STN],SE_2[IdeaEligibility],"w/o disability",0)</f>
        <v>w/o disability</v>
      </c>
      <c r="F230" t="str">
        <f>_xlfn.XLOOKUP(PE_2[[#This Row],[STN]],SE_2[STN],SE_2[Ethnicity],"",0)</f>
        <v/>
      </c>
    </row>
    <row r="231" spans="1:6" ht="13.9">
      <c r="A231" s="3">
        <v>22913138</v>
      </c>
      <c r="B231" s="10">
        <v>39477</v>
      </c>
      <c r="C231" s="19">
        <v>13.835745013687916</v>
      </c>
      <c r="D231" s="3"/>
      <c r="E231" t="str">
        <f>_xlfn.XLOOKUP(PE_2[[#This Row],[STN]],SE_2[STN],SE_2[IdeaEligibility],"w/o disability",0)</f>
        <v>w/o disability</v>
      </c>
      <c r="F231" t="str">
        <f>_xlfn.XLOOKUP(PE_2[[#This Row],[STN]],SE_2[STN],SE_2[Ethnicity],"",0)</f>
        <v/>
      </c>
    </row>
    <row r="232" spans="1:6" ht="13.9">
      <c r="A232" s="5">
        <v>135112079</v>
      </c>
      <c r="B232" s="10">
        <v>38984</v>
      </c>
      <c r="C232" s="19">
        <v>15.186858316221766</v>
      </c>
      <c r="D232" s="3"/>
      <c r="E232" t="str">
        <f>_xlfn.XLOOKUP(PE_2[[#This Row],[STN]],SE_2[STN],SE_2[IdeaEligibility],"w/o disability",0)</f>
        <v>w/o disability</v>
      </c>
      <c r="F232" t="str">
        <f>_xlfn.XLOOKUP(PE_2[[#This Row],[STN]],SE_2[STN],SE_2[Ethnicity],"",0)</f>
        <v/>
      </c>
    </row>
    <row r="233" spans="1:6" ht="13.9">
      <c r="A233" s="3" t="s">
        <v>633</v>
      </c>
      <c r="B233" s="10">
        <v>38667</v>
      </c>
      <c r="C233" s="19">
        <v>16.055403446609759</v>
      </c>
      <c r="D233" s="3"/>
      <c r="E233" t="str">
        <f>_xlfn.XLOOKUP(PE_2[[#This Row],[STN]],SE_2[STN],SE_2[IdeaEligibility],"w/o disability",0)</f>
        <v>w/o disability</v>
      </c>
      <c r="F233" t="str">
        <f>_xlfn.XLOOKUP(PE_2[[#This Row],[STN]],SE_2[STN],SE_2[Ethnicity],"",0)</f>
        <v/>
      </c>
    </row>
    <row r="234" spans="1:6" ht="13.9">
      <c r="A234" s="3">
        <v>25311556</v>
      </c>
      <c r="B234" s="10">
        <v>38642</v>
      </c>
      <c r="C234" s="19">
        <v>16.123852472217749</v>
      </c>
      <c r="D234" s="3"/>
      <c r="E234" t="str">
        <f>_xlfn.XLOOKUP(PE_2[[#This Row],[STN]],SE_2[STN],SE_2[IdeaEligibility],"w/o disability",0)</f>
        <v>w/o disability</v>
      </c>
      <c r="F234" t="str">
        <f>_xlfn.XLOOKUP(PE_2[[#This Row],[STN]],SE_2[STN],SE_2[Ethnicity],"",0)</f>
        <v/>
      </c>
    </row>
    <row r="235" spans="1:6" ht="13.9">
      <c r="A235" s="3">
        <v>13611587</v>
      </c>
      <c r="B235" s="10">
        <v>38957</v>
      </c>
      <c r="C235" s="19">
        <v>15.260780287474333</v>
      </c>
      <c r="D235" s="3"/>
      <c r="E235" t="str">
        <f>_xlfn.XLOOKUP(PE_2[[#This Row],[STN]],SE_2[STN],SE_2[IdeaEligibility],"w/o disability",0)</f>
        <v>w/o disability</v>
      </c>
      <c r="F235" t="str">
        <f>_xlfn.XLOOKUP(PE_2[[#This Row],[STN]],SE_2[STN],SE_2[Ethnicity],"",0)</f>
        <v/>
      </c>
    </row>
    <row r="236" spans="1:6" ht="13.9">
      <c r="A236" s="3">
        <v>22913131</v>
      </c>
      <c r="B236" s="10">
        <v>39379</v>
      </c>
      <c r="C236" s="19">
        <v>14.104763643000549</v>
      </c>
      <c r="D236" s="3"/>
      <c r="E236" t="str">
        <f>_xlfn.XLOOKUP(PE_2[[#This Row],[STN]],SE_2[STN],SE_2[IdeaEligibility],"w/o disability",0)</f>
        <v>w/o disability</v>
      </c>
      <c r="F236" t="str">
        <f>_xlfn.XLOOKUP(PE_2[[#This Row],[STN]],SE_2[STN],SE_2[Ethnicity],"",0)</f>
        <v/>
      </c>
    </row>
    <row r="237" spans="1:6" ht="13.9">
      <c r="A237" s="3">
        <v>70913087</v>
      </c>
      <c r="B237" s="10">
        <v>39484</v>
      </c>
      <c r="C237" s="19">
        <v>13.816581931951506</v>
      </c>
      <c r="D237" s="3"/>
      <c r="E237" t="str">
        <f>_xlfn.XLOOKUP(PE_2[[#This Row],[STN]],SE_2[STN],SE_2[IdeaEligibility],"w/o disability",0)</f>
        <v>w/o disability</v>
      </c>
      <c r="F237" t="str">
        <f>_xlfn.XLOOKUP(PE_2[[#This Row],[STN]],SE_2[STN],SE_2[Ethnicity],"",0)</f>
        <v/>
      </c>
    </row>
    <row r="238" spans="1:6" ht="13.9">
      <c r="A238" s="3">
        <v>21312019</v>
      </c>
      <c r="B238" s="10">
        <v>39129</v>
      </c>
      <c r="C238" s="19">
        <v>14.789195108596459</v>
      </c>
      <c r="D238" s="3"/>
      <c r="E238" t="str">
        <f>_xlfn.XLOOKUP(PE_2[[#This Row],[STN]],SE_2[STN],SE_2[IdeaEligibility],"w/o disability",0)</f>
        <v>w/o disability</v>
      </c>
      <c r="F238" t="str">
        <f>_xlfn.XLOOKUP(PE_2[[#This Row],[STN]],SE_2[STN],SE_2[Ethnicity],"",0)</f>
        <v/>
      </c>
    </row>
    <row r="239" spans="1:6" ht="13.9">
      <c r="A239" s="3">
        <v>25713516</v>
      </c>
      <c r="B239" s="10">
        <v>39412</v>
      </c>
      <c r="C239" s="19">
        <v>14.014418689541888</v>
      </c>
      <c r="D239" s="3"/>
      <c r="E239" t="str">
        <f>_xlfn.XLOOKUP(PE_2[[#This Row],[STN]],SE_2[STN],SE_2[IdeaEligibility],"w/o disability",0)</f>
        <v>w/o disability</v>
      </c>
      <c r="F239" t="str">
        <f>_xlfn.XLOOKUP(PE_2[[#This Row],[STN]],SE_2[STN],SE_2[Ethnicity],"",0)</f>
        <v/>
      </c>
    </row>
    <row r="240" spans="1:6" ht="13.9">
      <c r="A240" s="5">
        <v>835312105</v>
      </c>
      <c r="B240" s="10">
        <v>39105</v>
      </c>
      <c r="C240" s="19">
        <v>14.854900529293667</v>
      </c>
      <c r="D240" s="3"/>
      <c r="E240" t="str">
        <f>_xlfn.XLOOKUP(PE_2[[#This Row],[STN]],SE_2[STN],SE_2[IdeaEligibility],"w/o disability",0)</f>
        <v>w/o disability</v>
      </c>
      <c r="F240" t="str">
        <f>_xlfn.XLOOKUP(PE_2[[#This Row],[STN]],SE_2[STN],SE_2[Ethnicity],"",0)</f>
        <v/>
      </c>
    </row>
    <row r="241" spans="1:6" ht="13.9">
      <c r="A241" s="3">
        <v>13711500</v>
      </c>
      <c r="B241" s="10">
        <v>38898</v>
      </c>
      <c r="C241" s="19">
        <v>15.422313483915127</v>
      </c>
      <c r="D241" s="3"/>
      <c r="E241" t="str">
        <f>_xlfn.XLOOKUP(PE_2[[#This Row],[STN]],SE_2[STN],SE_2[IdeaEligibility],"w/o disability",0)</f>
        <v>w/o disability</v>
      </c>
      <c r="F241" t="str">
        <f>_xlfn.XLOOKUP(PE_2[[#This Row],[STN]],SE_2[STN],SE_2[Ethnicity],"",0)</f>
        <v/>
      </c>
    </row>
    <row r="242" spans="1:6" ht="13.9">
      <c r="A242" s="3">
        <v>27011609</v>
      </c>
      <c r="B242" s="10">
        <v>38738</v>
      </c>
      <c r="C242" s="19">
        <v>15.860369609856264</v>
      </c>
      <c r="D242" s="3"/>
      <c r="E242" t="str">
        <f>_xlfn.XLOOKUP(PE_2[[#This Row],[STN]],SE_2[STN],SE_2[IdeaEligibility],"w/o disability",0)</f>
        <v>w/o disability</v>
      </c>
      <c r="F242" t="str">
        <f>_xlfn.XLOOKUP(PE_2[[#This Row],[STN]],SE_2[STN],SE_2[Ethnicity],"",0)</f>
        <v/>
      </c>
    </row>
    <row r="243" spans="1:6" ht="13.9">
      <c r="A243" s="3">
        <v>17812138</v>
      </c>
      <c r="B243" s="10">
        <v>38881</v>
      </c>
      <c r="C243" s="19">
        <v>15.468856947296372</v>
      </c>
      <c r="D243" s="3"/>
      <c r="E243" t="str">
        <f>_xlfn.XLOOKUP(PE_2[[#This Row],[STN]],SE_2[STN],SE_2[IdeaEligibility],"w/o disability",0)</f>
        <v>w/o disability</v>
      </c>
      <c r="F243" t="str">
        <f>_xlfn.XLOOKUP(PE_2[[#This Row],[STN]],SE_2[STN],SE_2[Ethnicity],"",0)</f>
        <v/>
      </c>
    </row>
    <row r="244" spans="1:6" ht="13.9">
      <c r="A244" s="5">
        <v>529013867</v>
      </c>
      <c r="B244" s="10">
        <v>38272</v>
      </c>
      <c r="C244" s="19">
        <v>17.134904942965779</v>
      </c>
      <c r="D244" s="3"/>
      <c r="E244" t="str">
        <f>_xlfn.XLOOKUP(PE_2[[#This Row],[STN]],SE_2[STN],SE_2[IdeaEligibility],"w/o disability",0)</f>
        <v>w/o disability</v>
      </c>
      <c r="F244" t="str">
        <f>_xlfn.XLOOKUP(PE_2[[#This Row],[STN]],SE_2[STN],SE_2[Ethnicity],"",0)</f>
        <v/>
      </c>
    </row>
    <row r="245" spans="1:6" ht="13.9">
      <c r="A245" s="5">
        <v>255201218</v>
      </c>
      <c r="B245" s="10">
        <v>38980</v>
      </c>
      <c r="C245" s="19">
        <v>15.197809719370294</v>
      </c>
      <c r="D245" s="3"/>
      <c r="E245" t="str">
        <f>_xlfn.XLOOKUP(PE_2[[#This Row],[STN]],SE_2[STN],SE_2[IdeaEligibility],"w/o disability",0)</f>
        <v>w/o disability</v>
      </c>
      <c r="F245" t="str">
        <f>_xlfn.XLOOKUP(PE_2[[#This Row],[STN]],SE_2[STN],SE_2[Ethnicity],"",0)</f>
        <v/>
      </c>
    </row>
    <row r="246" spans="1:6" ht="13.9">
      <c r="A246" s="3">
        <v>17813544</v>
      </c>
      <c r="B246" s="10">
        <v>39545</v>
      </c>
      <c r="C246" s="19">
        <v>13.64958936253422</v>
      </c>
      <c r="D246" s="3"/>
      <c r="E246" t="str">
        <f>_xlfn.XLOOKUP(PE_2[[#This Row],[STN]],SE_2[STN],SE_2[IdeaEligibility],"w/o disability",0)</f>
        <v>w/o disability</v>
      </c>
      <c r="F246" t="str">
        <f>_xlfn.XLOOKUP(PE_2[[#This Row],[STN]],SE_2[STN],SE_2[Ethnicity],"",0)</f>
        <v/>
      </c>
    </row>
    <row r="247" spans="1:6" ht="13.9">
      <c r="A247" s="3">
        <v>16114078</v>
      </c>
      <c r="B247" s="10">
        <v>39645</v>
      </c>
      <c r="C247" s="19">
        <v>13.37583105201408</v>
      </c>
      <c r="D247" s="3"/>
      <c r="E247" t="str">
        <f>_xlfn.XLOOKUP(PE_2[[#This Row],[STN]],SE_2[STN],SE_2[IdeaEligibility],"w/o disability",0)</f>
        <v>w/o disability</v>
      </c>
      <c r="F247" t="str">
        <f>_xlfn.XLOOKUP(PE_2[[#This Row],[STN]],SE_2[STN],SE_2[Ethnicity],"",0)</f>
        <v/>
      </c>
    </row>
    <row r="248" spans="1:6" ht="13.9">
      <c r="A248" s="3">
        <v>27314053</v>
      </c>
      <c r="B248" s="10">
        <v>39609</v>
      </c>
      <c r="C248" s="19">
        <v>13.474384043801329</v>
      </c>
      <c r="D248" s="3"/>
      <c r="E248" t="str">
        <f>_xlfn.XLOOKUP(PE_2[[#This Row],[STN]],SE_2[STN],SE_2[IdeaEligibility],"w/o disability",0)</f>
        <v>w/o disability</v>
      </c>
      <c r="F248" t="str">
        <f>_xlfn.XLOOKUP(PE_2[[#This Row],[STN]],SE_2[STN],SE_2[Ethnicity],"",0)</f>
        <v/>
      </c>
    </row>
    <row r="249" spans="1:6" ht="13.9">
      <c r="A249" s="3">
        <v>13813003</v>
      </c>
      <c r="B249" s="10">
        <v>39227</v>
      </c>
      <c r="C249" s="19">
        <v>14.520897974082862</v>
      </c>
      <c r="D249" s="3"/>
      <c r="E249" t="str">
        <f>_xlfn.XLOOKUP(PE_2[[#This Row],[STN]],SE_2[STN],SE_2[IdeaEligibility],"w/o disability",0)</f>
        <v>w/o disability</v>
      </c>
      <c r="F249" t="str">
        <f>_xlfn.XLOOKUP(PE_2[[#This Row],[STN]],SE_2[STN],SE_2[Ethnicity],"",0)</f>
        <v/>
      </c>
    </row>
    <row r="250" spans="1:6" ht="13.9">
      <c r="A250" s="5">
        <v>255201227</v>
      </c>
      <c r="B250" s="10">
        <v>39078</v>
      </c>
      <c r="C250" s="19">
        <v>14.929500342231348</v>
      </c>
      <c r="D250" s="3"/>
      <c r="E250" t="str">
        <f>_xlfn.XLOOKUP(PE_2[[#This Row],[STN]],SE_2[STN],SE_2[IdeaEligibility],"w/o disability",0)</f>
        <v>w/o disability</v>
      </c>
      <c r="F250" t="str">
        <f>_xlfn.XLOOKUP(PE_2[[#This Row],[STN]],SE_2[STN],SE_2[Ethnicity],"",0)</f>
        <v/>
      </c>
    </row>
    <row r="251" spans="1:6" ht="13.9">
      <c r="A251" s="5">
        <v>255201226</v>
      </c>
      <c r="B251" s="10">
        <v>39079</v>
      </c>
      <c r="C251" s="19">
        <v>14.926762491444217</v>
      </c>
      <c r="D251" s="3"/>
      <c r="E251" t="str">
        <f>_xlfn.XLOOKUP(PE_2[[#This Row],[STN]],SE_2[STN],SE_2[IdeaEligibility],"w/o disability",0)</f>
        <v>w/o disability</v>
      </c>
      <c r="F251" t="str">
        <f>_xlfn.XLOOKUP(PE_2[[#This Row],[STN]],SE_2[STN],SE_2[Ethnicity],"",0)</f>
        <v/>
      </c>
    </row>
    <row r="252" spans="1:6" ht="13.9">
      <c r="A252" s="3">
        <v>17813064</v>
      </c>
      <c r="B252" s="10">
        <v>39597</v>
      </c>
      <c r="C252" s="19">
        <v>13.507235041063748</v>
      </c>
      <c r="D252" s="3"/>
      <c r="E252" t="str">
        <f>_xlfn.XLOOKUP(PE_2[[#This Row],[STN]],SE_2[STN],SE_2[IdeaEligibility],"w/o disability",0)</f>
        <v>w/o disability</v>
      </c>
      <c r="F252" t="str">
        <f>_xlfn.XLOOKUP(PE_2[[#This Row],[STN]],SE_2[STN],SE_2[Ethnicity],"",0)</f>
        <v/>
      </c>
    </row>
    <row r="253" spans="1:6" ht="13.9">
      <c r="A253" s="5">
        <v>255201228</v>
      </c>
      <c r="B253" s="10">
        <v>39069</v>
      </c>
      <c r="C253" s="19">
        <v>14.954140999315538</v>
      </c>
      <c r="D253" s="3"/>
      <c r="E253" t="str">
        <f>_xlfn.XLOOKUP(PE_2[[#This Row],[STN]],SE_2[STN],SE_2[IdeaEligibility],"w/o disability",0)</f>
        <v>w/o disability</v>
      </c>
      <c r="F253" t="str">
        <f>_xlfn.XLOOKUP(PE_2[[#This Row],[STN]],SE_2[STN],SE_2[Ethnicity],"",0)</f>
        <v/>
      </c>
    </row>
    <row r="254" spans="1:6" ht="13.9">
      <c r="A254" s="3">
        <v>24913045</v>
      </c>
      <c r="B254" s="10">
        <v>39381</v>
      </c>
      <c r="C254" s="19">
        <v>14.099288191275781</v>
      </c>
      <c r="D254" s="3"/>
      <c r="E254" t="str">
        <f>_xlfn.XLOOKUP(PE_2[[#This Row],[STN]],SE_2[STN],SE_2[IdeaEligibility],"w/o disability",0)</f>
        <v>w/o disability</v>
      </c>
      <c r="F254" t="str">
        <f>_xlfn.XLOOKUP(PE_2[[#This Row],[STN]],SE_2[STN],SE_2[Ethnicity],"",0)</f>
        <v/>
      </c>
    </row>
    <row r="255" spans="1:6" ht="13.9">
      <c r="A255" s="3">
        <v>25713029</v>
      </c>
      <c r="B255" s="10">
        <v>39247</v>
      </c>
      <c r="C255" s="19">
        <v>14.466143456835189</v>
      </c>
      <c r="D255" s="3"/>
      <c r="E255" t="str">
        <f>_xlfn.XLOOKUP(PE_2[[#This Row],[STN]],SE_2[STN],SE_2[IdeaEligibility],"w/o disability",0)</f>
        <v>w/o disability</v>
      </c>
      <c r="F255" t="str">
        <f>_xlfn.XLOOKUP(PE_2[[#This Row],[STN]],SE_2[STN],SE_2[Ethnicity],"",0)</f>
        <v/>
      </c>
    </row>
    <row r="256" spans="1:6" ht="13.9">
      <c r="A256" s="3">
        <v>27314048</v>
      </c>
      <c r="B256" s="10">
        <v>39409</v>
      </c>
      <c r="C256" s="19">
        <v>14.022631867129039</v>
      </c>
      <c r="D256" s="3"/>
      <c r="E256" t="str">
        <f>_xlfn.XLOOKUP(PE_2[[#This Row],[STN]],SE_2[STN],SE_2[IdeaEligibility],"w/o disability",0)</f>
        <v>w/o disability</v>
      </c>
      <c r="F256" t="str">
        <f>_xlfn.XLOOKUP(PE_2[[#This Row],[STN]],SE_2[STN],SE_2[Ethnicity],"",0)</f>
        <v/>
      </c>
    </row>
    <row r="257" spans="1:6" ht="13.9">
      <c r="A257" s="5">
        <v>255201238</v>
      </c>
      <c r="B257" s="10">
        <v>38649</v>
      </c>
      <c r="C257" s="19">
        <v>16.104686745047513</v>
      </c>
      <c r="D257" s="3"/>
      <c r="E257" t="str">
        <f>_xlfn.XLOOKUP(PE_2[[#This Row],[STN]],SE_2[STN],SE_2[IdeaEligibility],"w/o disability",0)</f>
        <v>w/o disability</v>
      </c>
      <c r="F257" t="str">
        <f>_xlfn.XLOOKUP(PE_2[[#This Row],[STN]],SE_2[STN],SE_2[Ethnicity],"",0)</f>
        <v/>
      </c>
    </row>
    <row r="258" spans="1:6" ht="13.9">
      <c r="A258" s="3">
        <v>13713518</v>
      </c>
      <c r="B258" s="10">
        <v>39312</v>
      </c>
      <c r="C258" s="19">
        <v>14.288191275780253</v>
      </c>
      <c r="D258" s="3"/>
      <c r="E258" t="str">
        <f>_xlfn.XLOOKUP(PE_2[[#This Row],[STN]],SE_2[STN],SE_2[IdeaEligibility],"w/o disability",0)</f>
        <v>w/o disability</v>
      </c>
      <c r="F258" t="str">
        <f>_xlfn.XLOOKUP(PE_2[[#This Row],[STN]],SE_2[STN],SE_2[Ethnicity],"",0)</f>
        <v/>
      </c>
    </row>
    <row r="259" spans="1:6" ht="13.9">
      <c r="A259" s="5">
        <v>153913036</v>
      </c>
      <c r="B259" s="10">
        <v>39220</v>
      </c>
      <c r="C259" s="19">
        <v>14.540062055119549</v>
      </c>
      <c r="D259" s="3"/>
      <c r="E259" t="str">
        <f>_xlfn.XLOOKUP(PE_2[[#This Row],[STN]],SE_2[STN],SE_2[IdeaEligibility],"w/o disability",0)</f>
        <v>w/o disability</v>
      </c>
      <c r="F259" t="str">
        <f>_xlfn.XLOOKUP(PE_2[[#This Row],[STN]],SE_2[STN],SE_2[Ethnicity],"",0)</f>
        <v/>
      </c>
    </row>
    <row r="260" spans="1:6" ht="13.9">
      <c r="A260" s="3">
        <v>9213014</v>
      </c>
      <c r="B260" s="10">
        <v>39386</v>
      </c>
      <c r="C260" s="19">
        <v>14.085599561963862</v>
      </c>
      <c r="D260" s="3"/>
      <c r="E260" t="str">
        <f>_xlfn.XLOOKUP(PE_2[[#This Row],[STN]],SE_2[STN],SE_2[IdeaEligibility],"w/o disability",0)</f>
        <v>w/o disability</v>
      </c>
      <c r="F260" t="str">
        <f>_xlfn.XLOOKUP(PE_2[[#This Row],[STN]],SE_2[STN],SE_2[Ethnicity],"",0)</f>
        <v/>
      </c>
    </row>
    <row r="261" spans="1:6" ht="13.9">
      <c r="A261" s="5">
        <v>153913004</v>
      </c>
      <c r="B261" s="10">
        <v>39172</v>
      </c>
      <c r="C261" s="19">
        <v>14.671472896513963</v>
      </c>
      <c r="D261" s="3"/>
      <c r="E261" t="str">
        <f>_xlfn.XLOOKUP(PE_2[[#This Row],[STN]],SE_2[STN],SE_2[IdeaEligibility],"w/o disability",0)</f>
        <v>w/o disability</v>
      </c>
      <c r="F261" t="str">
        <f>_xlfn.XLOOKUP(PE_2[[#This Row],[STN]],SE_2[STN],SE_2[Ethnicity],"",0)</f>
        <v/>
      </c>
    </row>
    <row r="262" spans="1:6" ht="13.9">
      <c r="A262" s="5">
        <v>153913039</v>
      </c>
      <c r="B262" s="10">
        <v>39227</v>
      </c>
      <c r="C262" s="19">
        <v>14.520897974082862</v>
      </c>
      <c r="D262" s="3"/>
      <c r="E262" t="str">
        <f>_xlfn.XLOOKUP(PE_2[[#This Row],[STN]],SE_2[STN],SE_2[IdeaEligibility],"w/o disability",0)</f>
        <v>w/o disability</v>
      </c>
      <c r="F262" t="str">
        <f>_xlfn.XLOOKUP(PE_2[[#This Row],[STN]],SE_2[STN],SE_2[Ethnicity],"",0)</f>
        <v/>
      </c>
    </row>
    <row r="263" spans="1:6" ht="13.9">
      <c r="A263" s="5">
        <v>153913002</v>
      </c>
      <c r="B263" s="10">
        <v>39076</v>
      </c>
      <c r="C263" s="19">
        <v>14.934976043805612</v>
      </c>
      <c r="D263" s="3"/>
      <c r="E263" t="str">
        <f>_xlfn.XLOOKUP(PE_2[[#This Row],[STN]],SE_2[STN],SE_2[IdeaEligibility],"w/o disability",0)</f>
        <v>w/o disability</v>
      </c>
      <c r="F263" t="str">
        <f>_xlfn.XLOOKUP(PE_2[[#This Row],[STN]],SE_2[STN],SE_2[Ethnicity],"",0)</f>
        <v/>
      </c>
    </row>
    <row r="264" spans="1:6" ht="13.9">
      <c r="A264" s="5">
        <v>153913029</v>
      </c>
      <c r="B264" s="10">
        <v>39234</v>
      </c>
      <c r="C264" s="19">
        <v>14.501733893046177</v>
      </c>
      <c r="D264" s="3"/>
      <c r="E264" t="str">
        <f>_xlfn.XLOOKUP(PE_2[[#This Row],[STN]],SE_2[STN],SE_2[IdeaEligibility],"w/o disability",0)</f>
        <v>w/o disability</v>
      </c>
      <c r="F264" t="str">
        <f>_xlfn.XLOOKUP(PE_2[[#This Row],[STN]],SE_2[STN],SE_2[Ethnicity],"",0)</f>
        <v/>
      </c>
    </row>
    <row r="265" spans="1:6" ht="13.9">
      <c r="A265" s="3">
        <v>27013503</v>
      </c>
      <c r="B265" s="10">
        <v>39225</v>
      </c>
      <c r="C265" s="19">
        <v>14.52637342580763</v>
      </c>
      <c r="D265" s="3"/>
      <c r="E265" t="str">
        <f>_xlfn.XLOOKUP(PE_2[[#This Row],[STN]],SE_2[STN],SE_2[IdeaEligibility],"w/o disability",0)</f>
        <v>w/o disability</v>
      </c>
      <c r="F265" t="str">
        <f>_xlfn.XLOOKUP(PE_2[[#This Row],[STN]],SE_2[STN],SE_2[Ethnicity],"",0)</f>
        <v/>
      </c>
    </row>
    <row r="266" spans="1:6" ht="13.9">
      <c r="A266" s="5">
        <v>153913005</v>
      </c>
      <c r="B266" s="10">
        <v>39013</v>
      </c>
      <c r="C266" s="19">
        <v>15.107460643394935</v>
      </c>
      <c r="D266" s="3"/>
      <c r="E266" t="str">
        <f>_xlfn.XLOOKUP(PE_2[[#This Row],[STN]],SE_2[STN],SE_2[IdeaEligibility],"w/o disability",0)</f>
        <v>w/o disability</v>
      </c>
      <c r="F266" t="str">
        <f>_xlfn.XLOOKUP(PE_2[[#This Row],[STN]],SE_2[STN],SE_2[Ethnicity],"",0)</f>
        <v/>
      </c>
    </row>
    <row r="267" spans="1:6" ht="13.9">
      <c r="A267" s="3">
        <v>24114123</v>
      </c>
      <c r="B267" s="10">
        <v>39412</v>
      </c>
      <c r="C267" s="19">
        <v>14.014418689541888</v>
      </c>
      <c r="D267" s="3"/>
      <c r="E267" t="str">
        <f>_xlfn.XLOOKUP(PE_2[[#This Row],[STN]],SE_2[STN],SE_2[IdeaEligibility],"w/o disability",0)</f>
        <v>w/o disability</v>
      </c>
      <c r="F267" t="str">
        <f>_xlfn.XLOOKUP(PE_2[[#This Row],[STN]],SE_2[STN],SE_2[Ethnicity],"",0)</f>
        <v/>
      </c>
    </row>
    <row r="268" spans="1:6" ht="13.9">
      <c r="A268" s="3">
        <v>24914055</v>
      </c>
      <c r="B268" s="10">
        <v>39569</v>
      </c>
      <c r="C268" s="19">
        <v>13.583887368009385</v>
      </c>
      <c r="D268" s="3"/>
      <c r="E268" t="str">
        <f>_xlfn.XLOOKUP(PE_2[[#This Row],[STN]],SE_2[STN],SE_2[IdeaEligibility],"w/o disability",0)</f>
        <v>w/o disability</v>
      </c>
      <c r="F268" t="str">
        <f>_xlfn.XLOOKUP(PE_2[[#This Row],[STN]],SE_2[STN],SE_2[Ethnicity],"",0)</f>
        <v/>
      </c>
    </row>
    <row r="269" spans="1:6" ht="13.9">
      <c r="A269" s="3">
        <v>15714036</v>
      </c>
      <c r="B269" s="10">
        <v>39026</v>
      </c>
      <c r="C269" s="19">
        <v>15.071868583162217</v>
      </c>
      <c r="D269" s="3"/>
      <c r="E269" t="str">
        <f>_xlfn.XLOOKUP(PE_2[[#This Row],[STN]],SE_2[STN],SE_2[IdeaEligibility],"w/o disability",0)</f>
        <v>w/o disability</v>
      </c>
      <c r="F269" t="str">
        <f>_xlfn.XLOOKUP(PE_2[[#This Row],[STN]],SE_2[STN],SE_2[Ethnicity],"",0)</f>
        <v/>
      </c>
    </row>
    <row r="270" spans="1:6" ht="13.9">
      <c r="A270" s="3">
        <v>15714038</v>
      </c>
      <c r="B270" s="10">
        <v>39380</v>
      </c>
      <c r="C270" s="19">
        <v>14.102025917138164</v>
      </c>
      <c r="D270" s="3"/>
      <c r="E270" t="str">
        <f>_xlfn.XLOOKUP(PE_2[[#This Row],[STN]],SE_2[STN],SE_2[IdeaEligibility],"w/o disability",0)</f>
        <v>w/o disability</v>
      </c>
      <c r="F270" t="str">
        <f>_xlfn.XLOOKUP(PE_2[[#This Row],[STN]],SE_2[STN],SE_2[Ethnicity],"",0)</f>
        <v/>
      </c>
    </row>
    <row r="271" spans="1:6" ht="13.9">
      <c r="A271" s="3">
        <v>15714035</v>
      </c>
      <c r="B271" s="10">
        <v>39464</v>
      </c>
      <c r="C271" s="19">
        <v>13.871333594055534</v>
      </c>
      <c r="D271" s="3"/>
      <c r="E271" t="str">
        <f>_xlfn.XLOOKUP(PE_2[[#This Row],[STN]],SE_2[STN],SE_2[IdeaEligibility],"w/o disability",0)</f>
        <v>w/o disability</v>
      </c>
      <c r="F271" t="str">
        <f>_xlfn.XLOOKUP(PE_2[[#This Row],[STN]],SE_2[STN],SE_2[Ethnicity],"",0)</f>
        <v/>
      </c>
    </row>
    <row r="272" spans="1:6" ht="13.9">
      <c r="A272" s="3">
        <v>17814062</v>
      </c>
      <c r="B272" s="10">
        <v>39367</v>
      </c>
      <c r="C272" s="19">
        <v>14.137616353349152</v>
      </c>
      <c r="D272" s="3"/>
      <c r="E272" t="str">
        <f>_xlfn.XLOOKUP(PE_2[[#This Row],[STN]],SE_2[STN],SE_2[IdeaEligibility],"w/o disability",0)</f>
        <v>w/o disability</v>
      </c>
      <c r="F272" t="str">
        <f>_xlfn.XLOOKUP(PE_2[[#This Row],[STN]],SE_2[STN],SE_2[Ethnicity],"",0)</f>
        <v/>
      </c>
    </row>
    <row r="273" spans="1:6" ht="13.9">
      <c r="A273" s="3">
        <v>21713539</v>
      </c>
      <c r="B273" s="10">
        <v>39623</v>
      </c>
      <c r="C273" s="19">
        <v>13.43605788032851</v>
      </c>
      <c r="D273" s="3"/>
      <c r="E273" t="str">
        <f>_xlfn.XLOOKUP(PE_2[[#This Row],[STN]],SE_2[STN],SE_2[IdeaEligibility],"w/o disability",0)</f>
        <v>w/o disability</v>
      </c>
      <c r="F273" t="str">
        <f>_xlfn.XLOOKUP(PE_2[[#This Row],[STN]],SE_2[STN],SE_2[Ethnicity],"",0)</f>
        <v/>
      </c>
    </row>
    <row r="274" spans="1:6" ht="13.9">
      <c r="A274" s="3">
        <v>27513513</v>
      </c>
      <c r="B274" s="10">
        <v>39121</v>
      </c>
      <c r="C274" s="19">
        <v>14.811096915495529</v>
      </c>
      <c r="D274" s="3"/>
      <c r="E274" t="str">
        <f>_xlfn.XLOOKUP(PE_2[[#This Row],[STN]],SE_2[STN],SE_2[IdeaEligibility],"w/o disability",0)</f>
        <v>w/o disability</v>
      </c>
      <c r="F274" t="str">
        <f>_xlfn.XLOOKUP(PE_2[[#This Row],[STN]],SE_2[STN],SE_2[Ethnicity],"",0)</f>
        <v/>
      </c>
    </row>
    <row r="275" spans="1:6" ht="13.9">
      <c r="A275" s="5">
        <v>153913037</v>
      </c>
      <c r="B275" s="10">
        <v>39378</v>
      </c>
      <c r="C275" s="19">
        <v>14.107501368862932</v>
      </c>
      <c r="D275" s="3"/>
      <c r="E275" t="str">
        <f>_xlfn.XLOOKUP(PE_2[[#This Row],[STN]],SE_2[STN],SE_2[IdeaEligibility],"w/o disability",0)</f>
        <v>w/o disability</v>
      </c>
      <c r="F275" t="str">
        <f>_xlfn.XLOOKUP(PE_2[[#This Row],[STN]],SE_2[STN],SE_2[Ethnicity],"",0)</f>
        <v/>
      </c>
    </row>
    <row r="276" spans="1:6" ht="13.9">
      <c r="A276" s="3">
        <v>27314055</v>
      </c>
      <c r="B276" s="10">
        <v>39388</v>
      </c>
      <c r="C276" s="19">
        <v>14.080124110239096</v>
      </c>
      <c r="D276" s="3"/>
      <c r="E276" t="str">
        <f>_xlfn.XLOOKUP(PE_2[[#This Row],[STN]],SE_2[STN],SE_2[IdeaEligibility],"w/o disability",0)</f>
        <v>w/o disability</v>
      </c>
      <c r="F276" t="str">
        <f>_xlfn.XLOOKUP(PE_2[[#This Row],[STN]],SE_2[STN],SE_2[Ethnicity],"",0)</f>
        <v/>
      </c>
    </row>
    <row r="277" spans="1:6" ht="13.9">
      <c r="A277" s="5">
        <v>159082812</v>
      </c>
      <c r="B277" s="10">
        <v>38885</v>
      </c>
      <c r="C277" s="19">
        <v>15.457905544147843</v>
      </c>
      <c r="D277" s="3"/>
      <c r="E277" t="str">
        <f>_xlfn.XLOOKUP(PE_2[[#This Row],[STN]],SE_2[STN],SE_2[IdeaEligibility],"w/o disability",0)</f>
        <v>w/o disability</v>
      </c>
      <c r="F277" t="str">
        <f>_xlfn.XLOOKUP(PE_2[[#This Row],[STN]],SE_2[STN],SE_2[Ethnicity],"",0)</f>
        <v/>
      </c>
    </row>
    <row r="278" spans="1:6" ht="13.9">
      <c r="A278" s="3">
        <v>17814066</v>
      </c>
      <c r="B278" s="10">
        <v>39663</v>
      </c>
      <c r="C278" s="19">
        <v>13.326554556120454</v>
      </c>
      <c r="D278" s="3"/>
      <c r="E278" t="str">
        <f>_xlfn.XLOOKUP(PE_2[[#This Row],[STN]],SE_2[STN],SE_2[IdeaEligibility],"w/o disability",0)</f>
        <v>w/o disability</v>
      </c>
      <c r="F278" t="str">
        <f>_xlfn.XLOOKUP(PE_2[[#This Row],[STN]],SE_2[STN],SE_2[Ethnicity],"",0)</f>
        <v/>
      </c>
    </row>
    <row r="279" spans="1:6" ht="13.9">
      <c r="A279" s="3" t="s">
        <v>634</v>
      </c>
      <c r="B279" s="10">
        <v>38820</v>
      </c>
      <c r="C279" s="19">
        <v>15.635865845311431</v>
      </c>
      <c r="D279" s="3"/>
      <c r="E279" t="str">
        <f>_xlfn.XLOOKUP(PE_2[[#This Row],[STN]],SE_2[STN],SE_2[IdeaEligibility],"w/o disability",0)</f>
        <v>w/o disability</v>
      </c>
      <c r="F279" t="str">
        <f>_xlfn.XLOOKUP(PE_2[[#This Row],[STN]],SE_2[STN],SE_2[Ethnicity],"",0)</f>
        <v/>
      </c>
    </row>
    <row r="280" spans="1:6" ht="13.9">
      <c r="A280" s="3">
        <v>13713516</v>
      </c>
      <c r="B280" s="10">
        <v>39465</v>
      </c>
      <c r="C280" s="19">
        <v>13.868596010950332</v>
      </c>
      <c r="D280" s="3"/>
      <c r="E280" t="str">
        <f>_xlfn.XLOOKUP(PE_2[[#This Row],[STN]],SE_2[STN],SE_2[IdeaEligibility],"w/o disability",0)</f>
        <v>w/o disability</v>
      </c>
      <c r="F280" t="str">
        <f>_xlfn.XLOOKUP(PE_2[[#This Row],[STN]],SE_2[STN],SE_2[Ethnicity],"",0)</f>
        <v/>
      </c>
    </row>
    <row r="281" spans="1:6" ht="13.9">
      <c r="A281" s="3">
        <v>17814067</v>
      </c>
      <c r="B281" s="10">
        <v>39328</v>
      </c>
      <c r="C281" s="19">
        <v>14.244387661982113</v>
      </c>
      <c r="D281" s="3"/>
      <c r="E281" t="str">
        <f>_xlfn.XLOOKUP(PE_2[[#This Row],[STN]],SE_2[STN],SE_2[IdeaEligibility],"w/o disability",0)</f>
        <v>w/o disability</v>
      </c>
      <c r="F281" t="str">
        <f>_xlfn.XLOOKUP(PE_2[[#This Row],[STN]],SE_2[STN],SE_2[Ethnicity],"",0)</f>
        <v/>
      </c>
    </row>
    <row r="282" spans="1:6" ht="13.9">
      <c r="A282" s="3">
        <v>27013510</v>
      </c>
      <c r="B282" s="10">
        <v>39148</v>
      </c>
      <c r="C282" s="19">
        <v>14.737178317211171</v>
      </c>
      <c r="D282" s="3"/>
      <c r="E282" t="str">
        <f>_xlfn.XLOOKUP(PE_2[[#This Row],[STN]],SE_2[STN],SE_2[IdeaEligibility],"w/o disability",0)</f>
        <v>w/o disability</v>
      </c>
      <c r="F282" t="str">
        <f>_xlfn.XLOOKUP(PE_2[[#This Row],[STN]],SE_2[STN],SE_2[Ethnicity],"",0)</f>
        <v/>
      </c>
    </row>
    <row r="283" spans="1:6" ht="13.9">
      <c r="A283" s="3">
        <v>25713014</v>
      </c>
      <c r="B283" s="10">
        <v>39492</v>
      </c>
      <c r="C283" s="19">
        <v>13.794681267109894</v>
      </c>
      <c r="D283" s="3"/>
      <c r="E283" t="str">
        <f>_xlfn.XLOOKUP(PE_2[[#This Row],[STN]],SE_2[STN],SE_2[IdeaEligibility],"w/o disability",0)</f>
        <v>w/o disability</v>
      </c>
      <c r="F283" t="str">
        <f>_xlfn.XLOOKUP(PE_2[[#This Row],[STN]],SE_2[STN],SE_2[Ethnicity],"",0)</f>
        <v/>
      </c>
    </row>
    <row r="284" spans="1:6" ht="13.9">
      <c r="A284" s="3">
        <v>27313502</v>
      </c>
      <c r="B284" s="10">
        <v>39141</v>
      </c>
      <c r="C284" s="19">
        <v>14.756342398247856</v>
      </c>
      <c r="D284" s="3"/>
      <c r="E284" t="str">
        <f>_xlfn.XLOOKUP(PE_2[[#This Row],[STN]],SE_2[STN],SE_2[IdeaEligibility],"w/o disability",0)</f>
        <v>w/o disability</v>
      </c>
      <c r="F284" t="str">
        <f>_xlfn.XLOOKUP(PE_2[[#This Row],[STN]],SE_2[STN],SE_2[Ethnicity],"",0)</f>
        <v/>
      </c>
    </row>
    <row r="285" spans="1:6" ht="13.9">
      <c r="A285" s="3">
        <v>27513507</v>
      </c>
      <c r="B285" s="10">
        <v>39175</v>
      </c>
      <c r="C285" s="19">
        <v>14.663259718926811</v>
      </c>
      <c r="D285" s="3"/>
      <c r="E285" t="str">
        <f>_xlfn.XLOOKUP(PE_2[[#This Row],[STN]],SE_2[STN],SE_2[IdeaEligibility],"w/o disability",0)</f>
        <v>w/o disability</v>
      </c>
      <c r="F285" t="str">
        <f>_xlfn.XLOOKUP(PE_2[[#This Row],[STN]],SE_2[STN],SE_2[Ethnicity],"",0)</f>
        <v/>
      </c>
    </row>
    <row r="286" spans="1:6" ht="13.9">
      <c r="A286" s="3" t="s">
        <v>635</v>
      </c>
      <c r="B286" s="10">
        <v>39148</v>
      </c>
      <c r="C286" s="19">
        <v>14.737178317211171</v>
      </c>
      <c r="D286" s="3"/>
      <c r="E286" t="str">
        <f>_xlfn.XLOOKUP(PE_2[[#This Row],[STN]],SE_2[STN],SE_2[IdeaEligibility],"w/o disability",0)</f>
        <v>w/o disability</v>
      </c>
      <c r="F286" t="str">
        <f>_xlfn.XLOOKUP(PE_2[[#This Row],[STN]],SE_2[STN],SE_2[Ethnicity],"",0)</f>
        <v/>
      </c>
    </row>
    <row r="287" spans="1:6" ht="13.9">
      <c r="A287" s="3">
        <v>26513503</v>
      </c>
      <c r="B287" s="10">
        <v>39120</v>
      </c>
      <c r="C287" s="19">
        <v>14.813834641357913</v>
      </c>
      <c r="D287" s="3"/>
      <c r="E287" t="str">
        <f>_xlfn.XLOOKUP(PE_2[[#This Row],[STN]],SE_2[STN],SE_2[IdeaEligibility],"w/o disability",0)</f>
        <v>w/o disability</v>
      </c>
      <c r="F287" t="str">
        <f>_xlfn.XLOOKUP(PE_2[[#This Row],[STN]],SE_2[STN],SE_2[Ethnicity],"",0)</f>
        <v/>
      </c>
    </row>
    <row r="288" spans="1:6" ht="13.9">
      <c r="A288" s="3">
        <v>19713031</v>
      </c>
      <c r="B288" s="10">
        <v>39132</v>
      </c>
      <c r="C288" s="19">
        <v>14.780981931009309</v>
      </c>
      <c r="D288" s="3"/>
      <c r="E288" t="str">
        <f>_xlfn.XLOOKUP(PE_2[[#This Row],[STN]],SE_2[STN],SE_2[IdeaEligibility],"w/o disability",0)</f>
        <v>w/o disability</v>
      </c>
      <c r="F288" t="str">
        <f>_xlfn.XLOOKUP(PE_2[[#This Row],[STN]],SE_2[STN],SE_2[Ethnicity],"",0)</f>
        <v/>
      </c>
    </row>
    <row r="289" spans="1:6" ht="13.9">
      <c r="A289" s="3">
        <v>27314032</v>
      </c>
      <c r="B289" s="10">
        <v>39450</v>
      </c>
      <c r="C289" s="19">
        <v>13.909659757528354</v>
      </c>
      <c r="D289" s="3"/>
      <c r="E289" t="str">
        <f>_xlfn.XLOOKUP(PE_2[[#This Row],[STN]],SE_2[STN],SE_2[IdeaEligibility],"w/o disability",0)</f>
        <v>w/o disability</v>
      </c>
      <c r="F289" t="str">
        <f>_xlfn.XLOOKUP(PE_2[[#This Row],[STN]],SE_2[STN],SE_2[Ethnicity],"",0)</f>
        <v/>
      </c>
    </row>
    <row r="290" spans="1:6" ht="13.9">
      <c r="A290" s="3">
        <v>18914022</v>
      </c>
      <c r="B290" s="10">
        <v>39546</v>
      </c>
      <c r="C290" s="19">
        <v>13.646851779429019</v>
      </c>
      <c r="D290" s="3"/>
      <c r="E290" t="str">
        <f>_xlfn.XLOOKUP(PE_2[[#This Row],[STN]],SE_2[STN],SE_2[IdeaEligibility],"w/o disability",0)</f>
        <v>w/o disability</v>
      </c>
      <c r="F290" t="str">
        <f>_xlfn.XLOOKUP(PE_2[[#This Row],[STN]],SE_2[STN],SE_2[Ethnicity],"",0)</f>
        <v/>
      </c>
    </row>
    <row r="291" spans="1:6" ht="13.9">
      <c r="A291" s="3">
        <v>24113073</v>
      </c>
      <c r="B291" s="10">
        <v>39423</v>
      </c>
      <c r="C291" s="19">
        <v>13.984303705055668</v>
      </c>
      <c r="D291" s="3"/>
      <c r="E291" t="str">
        <f>_xlfn.XLOOKUP(PE_2[[#This Row],[STN]],SE_2[STN],SE_2[IdeaEligibility],"w/o disability",0)</f>
        <v>w/o disability</v>
      </c>
      <c r="F291" t="str">
        <f>_xlfn.XLOOKUP(PE_2[[#This Row],[STN]],SE_2[STN],SE_2[Ethnicity],"",0)</f>
        <v/>
      </c>
    </row>
    <row r="292" spans="1:6" ht="13.9">
      <c r="A292" s="3">
        <v>18913502</v>
      </c>
      <c r="B292" s="10">
        <v>39280</v>
      </c>
      <c r="C292" s="19">
        <v>14.375798503376529</v>
      </c>
      <c r="D292" s="3"/>
      <c r="E292" t="str">
        <f>_xlfn.XLOOKUP(PE_2[[#This Row],[STN]],SE_2[STN],SE_2[IdeaEligibility],"w/o disability",0)</f>
        <v>w/o disability</v>
      </c>
      <c r="F292" t="str">
        <f>_xlfn.XLOOKUP(PE_2[[#This Row],[STN]],SE_2[STN],SE_2[Ethnicity],"",0)</f>
        <v/>
      </c>
    </row>
    <row r="293" spans="1:6" ht="13.9">
      <c r="A293" s="3">
        <v>17814025</v>
      </c>
      <c r="B293" s="10">
        <v>39445</v>
      </c>
      <c r="C293" s="19">
        <v>13.924073736083228</v>
      </c>
      <c r="D293" s="3"/>
      <c r="E293" t="str">
        <f>_xlfn.XLOOKUP(PE_2[[#This Row],[STN]],SE_2[STN],SE_2[IdeaEligibility],"w/o disability",0)</f>
        <v>w/o disability</v>
      </c>
      <c r="F293" t="str">
        <f>_xlfn.XLOOKUP(PE_2[[#This Row],[STN]],SE_2[STN],SE_2[Ethnicity],"",0)</f>
        <v/>
      </c>
    </row>
    <row r="294" spans="1:6" ht="13.9">
      <c r="A294" s="3">
        <v>22113506</v>
      </c>
      <c r="B294" s="10">
        <v>39092</v>
      </c>
      <c r="C294" s="19">
        <v>14.890490965504656</v>
      </c>
      <c r="D294" s="3"/>
      <c r="E294" t="str">
        <f>_xlfn.XLOOKUP(PE_2[[#This Row],[STN]],SE_2[STN],SE_2[IdeaEligibility],"w/o disability",0)</f>
        <v>w/o disability</v>
      </c>
      <c r="F294" t="str">
        <f>_xlfn.XLOOKUP(PE_2[[#This Row],[STN]],SE_2[STN],SE_2[Ethnicity],"",0)</f>
        <v/>
      </c>
    </row>
    <row r="295" spans="1:6" ht="13.9">
      <c r="A295" s="3">
        <v>17814027</v>
      </c>
      <c r="B295" s="10">
        <v>39493</v>
      </c>
      <c r="C295" s="19">
        <v>13.791943684004693</v>
      </c>
      <c r="D295" s="3"/>
      <c r="E295" t="str">
        <f>_xlfn.XLOOKUP(PE_2[[#This Row],[STN]],SE_2[STN],SE_2[IdeaEligibility],"w/o disability",0)</f>
        <v>w/o disability</v>
      </c>
      <c r="F295" t="str">
        <f>_xlfn.XLOOKUP(PE_2[[#This Row],[STN]],SE_2[STN],SE_2[Ethnicity],"",0)</f>
        <v/>
      </c>
    </row>
    <row r="296" spans="1:6" ht="13.9">
      <c r="A296" s="3">
        <v>24113503</v>
      </c>
      <c r="B296" s="10">
        <v>39518</v>
      </c>
      <c r="C296" s="19">
        <v>13.723504106374659</v>
      </c>
      <c r="D296" s="3"/>
      <c r="E296" t="str">
        <f>_xlfn.XLOOKUP(PE_2[[#This Row],[STN]],SE_2[STN],SE_2[IdeaEligibility],"w/o disability",0)</f>
        <v>w/o disability</v>
      </c>
      <c r="F296" t="str">
        <f>_xlfn.XLOOKUP(PE_2[[#This Row],[STN]],SE_2[STN],SE_2[Ethnicity],"",0)</f>
        <v/>
      </c>
    </row>
    <row r="297" spans="1:6" ht="13.9">
      <c r="A297" s="3">
        <v>27013532</v>
      </c>
      <c r="B297" s="10">
        <v>39145</v>
      </c>
      <c r="C297" s="19">
        <v>14.745391494798321</v>
      </c>
      <c r="D297" s="3"/>
      <c r="E297" t="str">
        <f>_xlfn.XLOOKUP(PE_2[[#This Row],[STN]],SE_2[STN],SE_2[IdeaEligibility],"w/o disability",0)</f>
        <v>w/o disability</v>
      </c>
      <c r="F297" t="str">
        <f>_xlfn.XLOOKUP(PE_2[[#This Row],[STN]],SE_2[STN],SE_2[Ethnicity],"",0)</f>
        <v/>
      </c>
    </row>
    <row r="298" spans="1:6" ht="13.9">
      <c r="A298" s="3">
        <v>25713502</v>
      </c>
      <c r="B298" s="10">
        <v>38988</v>
      </c>
      <c r="C298" s="19">
        <v>15.175906913073238</v>
      </c>
      <c r="D298" s="3"/>
      <c r="E298" t="str">
        <f>_xlfn.XLOOKUP(PE_2[[#This Row],[STN]],SE_2[STN],SE_2[IdeaEligibility],"w/o disability",0)</f>
        <v>w/o disability</v>
      </c>
      <c r="F298" t="str">
        <f>_xlfn.XLOOKUP(PE_2[[#This Row],[STN]],SE_2[STN],SE_2[Ethnicity],"",0)</f>
        <v/>
      </c>
    </row>
    <row r="299" spans="1:6" ht="13.9">
      <c r="A299" s="3">
        <v>23913518</v>
      </c>
      <c r="B299" s="10">
        <v>39133</v>
      </c>
      <c r="C299" s="19">
        <v>14.778244205146926</v>
      </c>
      <c r="D299" s="3"/>
      <c r="E299" t="str">
        <f>_xlfn.XLOOKUP(PE_2[[#This Row],[STN]],SE_2[STN],SE_2[IdeaEligibility],"w/o disability",0)</f>
        <v>w/o disability</v>
      </c>
      <c r="F299" t="str">
        <f>_xlfn.XLOOKUP(PE_2[[#This Row],[STN]],SE_2[STN],SE_2[Ethnicity],"",0)</f>
        <v/>
      </c>
    </row>
    <row r="300" spans="1:6" ht="13.9">
      <c r="A300" s="3">
        <v>27513508</v>
      </c>
      <c r="B300" s="10">
        <v>38951</v>
      </c>
      <c r="C300" s="19">
        <v>15.277207392197125</v>
      </c>
      <c r="D300" s="3"/>
      <c r="E300" t="str">
        <f>_xlfn.XLOOKUP(PE_2[[#This Row],[STN]],SE_2[STN],SE_2[IdeaEligibility],"w/o disability",0)</f>
        <v>w/o disability</v>
      </c>
      <c r="F300" t="str">
        <f>_xlfn.XLOOKUP(PE_2[[#This Row],[STN]],SE_2[STN],SE_2[Ethnicity],"",0)</f>
        <v/>
      </c>
    </row>
    <row r="301" spans="1:6" ht="13.9">
      <c r="A301" s="3">
        <v>19714060</v>
      </c>
      <c r="B301" s="10">
        <v>39507</v>
      </c>
      <c r="C301" s="19">
        <v>13.753617520531874</v>
      </c>
      <c r="D301" s="3"/>
      <c r="E301" t="str">
        <f>_xlfn.XLOOKUP(PE_2[[#This Row],[STN]],SE_2[STN],SE_2[IdeaEligibility],"w/o disability",0)</f>
        <v>w/o disability</v>
      </c>
      <c r="F301" t="str">
        <f>_xlfn.XLOOKUP(PE_2[[#This Row],[STN]],SE_2[STN],SE_2[Ethnicity],"",0)</f>
        <v/>
      </c>
    </row>
    <row r="302" spans="1:6" ht="13.9">
      <c r="A302" s="3">
        <v>7212130</v>
      </c>
      <c r="B302" s="10">
        <v>38714</v>
      </c>
      <c r="C302" s="19">
        <v>15.926719278466742</v>
      </c>
      <c r="D302" s="3"/>
      <c r="E302" t="str">
        <f>_xlfn.XLOOKUP(PE_2[[#This Row],[STN]],SE_2[STN],SE_2[IdeaEligibility],"w/o disability",0)</f>
        <v>w/o disability</v>
      </c>
      <c r="F302" t="str">
        <f>_xlfn.XLOOKUP(PE_2[[#This Row],[STN]],SE_2[STN],SE_2[Ethnicity],"",0)</f>
        <v/>
      </c>
    </row>
    <row r="303" spans="1:6" ht="13.9">
      <c r="A303" s="3">
        <v>24913501</v>
      </c>
      <c r="B303" s="10">
        <v>39126</v>
      </c>
      <c r="C303" s="19">
        <v>14.797408286183611</v>
      </c>
      <c r="D303" s="3"/>
      <c r="E303" t="str">
        <f>_xlfn.XLOOKUP(PE_2[[#This Row],[STN]],SE_2[STN],SE_2[IdeaEligibility],"w/o disability",0)</f>
        <v>w/o disability</v>
      </c>
      <c r="F303" t="str">
        <f>_xlfn.XLOOKUP(PE_2[[#This Row],[STN]],SE_2[STN],SE_2[Ethnicity],"",0)</f>
        <v/>
      </c>
    </row>
    <row r="304" spans="1:6" ht="13.9">
      <c r="A304" s="5">
        <v>757313023</v>
      </c>
      <c r="B304" s="10">
        <v>39287</v>
      </c>
      <c r="C304" s="19">
        <v>14.356634422339843</v>
      </c>
      <c r="D304" s="3"/>
      <c r="E304" t="str">
        <f>_xlfn.XLOOKUP(PE_2[[#This Row],[STN]],SE_2[STN],SE_2[IdeaEligibility],"w/o disability",0)</f>
        <v>w/o disability</v>
      </c>
      <c r="F304" t="str">
        <f>_xlfn.XLOOKUP(PE_2[[#This Row],[STN]],SE_2[STN],SE_2[Ethnicity],"",0)</f>
        <v/>
      </c>
    </row>
    <row r="305" spans="1:6" ht="13.9">
      <c r="A305" s="3">
        <v>25313504</v>
      </c>
      <c r="B305" s="10">
        <v>38958</v>
      </c>
      <c r="C305" s="19">
        <v>15.2580424366872</v>
      </c>
      <c r="D305" s="3"/>
      <c r="E305" t="str">
        <f>_xlfn.XLOOKUP(PE_2[[#This Row],[STN]],SE_2[STN],SE_2[IdeaEligibility],"w/o disability",0)</f>
        <v>w/o disability</v>
      </c>
      <c r="F305" t="str">
        <f>_xlfn.XLOOKUP(PE_2[[#This Row],[STN]],SE_2[STN],SE_2[Ethnicity],"",0)</f>
        <v/>
      </c>
    </row>
    <row r="306" spans="1:6" ht="13.9">
      <c r="A306" s="3">
        <v>20513516</v>
      </c>
      <c r="B306" s="10">
        <v>39376</v>
      </c>
      <c r="C306" s="19">
        <v>14.112976820587699</v>
      </c>
      <c r="D306" s="3"/>
      <c r="E306" t="str">
        <f>_xlfn.XLOOKUP(PE_2[[#This Row],[STN]],SE_2[STN],SE_2[IdeaEligibility],"w/o disability",0)</f>
        <v>w/o disability</v>
      </c>
      <c r="F306" t="str">
        <f>_xlfn.XLOOKUP(PE_2[[#This Row],[STN]],SE_2[STN],SE_2[Ethnicity],"",0)</f>
        <v/>
      </c>
    </row>
    <row r="307" spans="1:6" ht="13.9">
      <c r="A307" s="3">
        <v>13614002</v>
      </c>
      <c r="B307" s="10">
        <v>39632</v>
      </c>
      <c r="C307" s="19">
        <v>13.411419632381698</v>
      </c>
      <c r="D307" s="3"/>
      <c r="E307" t="str">
        <f>_xlfn.XLOOKUP(PE_2[[#This Row],[STN]],SE_2[STN],SE_2[IdeaEligibility],"w/o disability",0)</f>
        <v>w/o disability</v>
      </c>
      <c r="F307" t="str">
        <f>_xlfn.XLOOKUP(PE_2[[#This Row],[STN]],SE_2[STN],SE_2[Ethnicity],"",0)</f>
        <v/>
      </c>
    </row>
    <row r="308" spans="1:6" ht="13.9">
      <c r="A308" s="3">
        <v>17814023</v>
      </c>
      <c r="B308" s="10">
        <v>39556</v>
      </c>
      <c r="C308" s="19">
        <v>13.619475948377005</v>
      </c>
      <c r="D308" s="3"/>
      <c r="E308" t="str">
        <f>_xlfn.XLOOKUP(PE_2[[#This Row],[STN]],SE_2[STN],SE_2[IdeaEligibility],"w/o disability",0)</f>
        <v>w/o disability</v>
      </c>
      <c r="F308" t="str">
        <f>_xlfn.XLOOKUP(PE_2[[#This Row],[STN]],SE_2[STN],SE_2[Ethnicity],"",0)</f>
        <v/>
      </c>
    </row>
    <row r="309" spans="1:6" ht="13.9">
      <c r="A309" s="3">
        <v>17814030</v>
      </c>
      <c r="B309" s="10">
        <v>39342</v>
      </c>
      <c r="C309" s="19">
        <v>14.206059499908744</v>
      </c>
      <c r="D309" s="3"/>
      <c r="E309" t="str">
        <f>_xlfn.XLOOKUP(PE_2[[#This Row],[STN]],SE_2[STN],SE_2[IdeaEligibility],"w/o disability",0)</f>
        <v>w/o disability</v>
      </c>
      <c r="F309" t="str">
        <f>_xlfn.XLOOKUP(PE_2[[#This Row],[STN]],SE_2[STN],SE_2[Ethnicity],"",0)</f>
        <v/>
      </c>
    </row>
    <row r="310" spans="1:6" ht="13.9">
      <c r="A310" s="3">
        <v>25713010</v>
      </c>
      <c r="B310" s="10">
        <v>39499</v>
      </c>
      <c r="C310" s="19">
        <v>13.775518185373485</v>
      </c>
      <c r="D310" s="3"/>
      <c r="E310" t="str">
        <f>_xlfn.XLOOKUP(PE_2[[#This Row],[STN]],SE_2[STN],SE_2[IdeaEligibility],"w/o disability",0)</f>
        <v>w/o disability</v>
      </c>
      <c r="F310" t="str">
        <f>_xlfn.XLOOKUP(PE_2[[#This Row],[STN]],SE_2[STN],SE_2[Ethnicity],"",0)</f>
        <v/>
      </c>
    </row>
    <row r="311" spans="1:6" ht="13.9">
      <c r="A311" s="3">
        <v>24113071</v>
      </c>
      <c r="B311" s="10">
        <v>39443</v>
      </c>
      <c r="C311" s="19">
        <v>13.929549187807995</v>
      </c>
      <c r="D311" s="3"/>
      <c r="E311" t="str">
        <f>_xlfn.XLOOKUP(PE_2[[#This Row],[STN]],SE_2[STN],SE_2[IdeaEligibility],"w/o disability",0)</f>
        <v>w/o disability</v>
      </c>
      <c r="F311" t="str">
        <f>_xlfn.XLOOKUP(PE_2[[#This Row],[STN]],SE_2[STN],SE_2[Ethnicity],"",0)</f>
        <v/>
      </c>
    </row>
    <row r="312" spans="1:6" ht="13.9">
      <c r="A312" s="3">
        <v>25713018</v>
      </c>
      <c r="B312" s="10">
        <v>39402</v>
      </c>
      <c r="C312" s="19">
        <v>14.041795948165724</v>
      </c>
      <c r="D312" s="3"/>
      <c r="E312" t="str">
        <f>_xlfn.XLOOKUP(PE_2[[#This Row],[STN]],SE_2[STN],SE_2[IdeaEligibility],"w/o disability",0)</f>
        <v>w/o disability</v>
      </c>
      <c r="F312" t="str">
        <f>_xlfn.XLOOKUP(PE_2[[#This Row],[STN]],SE_2[STN],SE_2[Ethnicity],"",0)</f>
        <v/>
      </c>
    </row>
    <row r="313" spans="1:6" ht="13.9">
      <c r="A313" s="3">
        <v>24113060</v>
      </c>
      <c r="B313" s="10">
        <v>39070</v>
      </c>
      <c r="C313" s="19">
        <v>14.951403148528405</v>
      </c>
      <c r="D313" s="3"/>
      <c r="E313" t="str">
        <f>_xlfn.XLOOKUP(PE_2[[#This Row],[STN]],SE_2[STN],SE_2[IdeaEligibility],"w/o disability",0)</f>
        <v>w/o disability</v>
      </c>
      <c r="F313" t="str">
        <f>_xlfn.XLOOKUP(PE_2[[#This Row],[STN]],SE_2[STN],SE_2[Ethnicity],"",0)</f>
        <v/>
      </c>
    </row>
    <row r="314" spans="1:6" ht="13.9">
      <c r="A314" s="3">
        <v>14113007</v>
      </c>
      <c r="B314" s="10">
        <v>39117</v>
      </c>
      <c r="C314" s="19">
        <v>14.822047818945064</v>
      </c>
      <c r="D314" s="3"/>
      <c r="E314" t="str">
        <f>_xlfn.XLOOKUP(PE_2[[#This Row],[STN]],SE_2[STN],SE_2[IdeaEligibility],"w/o disability",0)</f>
        <v>w/o disability</v>
      </c>
      <c r="F314" t="str">
        <f>_xlfn.XLOOKUP(PE_2[[#This Row],[STN]],SE_2[STN],SE_2[Ethnicity],"",0)</f>
        <v/>
      </c>
    </row>
    <row r="315" spans="1:6" ht="13.9">
      <c r="A315" s="3">
        <v>13613010</v>
      </c>
      <c r="B315" s="10">
        <v>39024</v>
      </c>
      <c r="C315" s="19">
        <v>15.077344284736482</v>
      </c>
      <c r="D315" s="3"/>
      <c r="E315" t="str">
        <f>_xlfn.XLOOKUP(PE_2[[#This Row],[STN]],SE_2[STN],SE_2[IdeaEligibility],"w/o disability",0)</f>
        <v>w/o disability</v>
      </c>
      <c r="F315" t="str">
        <f>_xlfn.XLOOKUP(PE_2[[#This Row],[STN]],SE_2[STN],SE_2[Ethnicity],"",0)</f>
        <v/>
      </c>
    </row>
    <row r="316" spans="1:6" ht="13.9">
      <c r="A316" s="3">
        <v>13713032</v>
      </c>
      <c r="B316" s="10">
        <v>39613</v>
      </c>
      <c r="C316" s="19">
        <v>13.463433711380524</v>
      </c>
      <c r="D316" s="3"/>
      <c r="E316" t="str">
        <f>_xlfn.XLOOKUP(PE_2[[#This Row],[STN]],SE_2[STN],SE_2[IdeaEligibility],"w/o disability",0)</f>
        <v>w/o disability</v>
      </c>
      <c r="F316" t="str">
        <f>_xlfn.XLOOKUP(PE_2[[#This Row],[STN]],SE_2[STN],SE_2[Ethnicity],"",0)</f>
        <v/>
      </c>
    </row>
    <row r="317" spans="1:6" ht="13.9">
      <c r="A317" s="3">
        <v>17813059</v>
      </c>
      <c r="B317" s="10">
        <v>39657</v>
      </c>
      <c r="C317" s="19">
        <v>13.342980054751662</v>
      </c>
      <c r="D317" s="3"/>
      <c r="E317" t="str">
        <f>_xlfn.XLOOKUP(PE_2[[#This Row],[STN]],SE_2[STN],SE_2[IdeaEligibility],"w/o disability",0)</f>
        <v>w/o disability</v>
      </c>
      <c r="F317" t="str">
        <f>_xlfn.XLOOKUP(PE_2[[#This Row],[STN]],SE_2[STN],SE_2[Ethnicity],"",0)</f>
        <v/>
      </c>
    </row>
    <row r="318" spans="1:6" ht="13.9">
      <c r="A318" s="3">
        <v>15713004</v>
      </c>
      <c r="B318" s="10">
        <v>39303</v>
      </c>
      <c r="C318" s="19">
        <v>14.312830808541705</v>
      </c>
      <c r="D318" s="3"/>
      <c r="E318" t="str">
        <f>_xlfn.XLOOKUP(PE_2[[#This Row],[STN]],SE_2[STN],SE_2[IdeaEligibility],"w/o disability",0)</f>
        <v>w/o disability</v>
      </c>
      <c r="F318" t="str">
        <f>_xlfn.XLOOKUP(PE_2[[#This Row],[STN]],SE_2[STN],SE_2[Ethnicity],"",0)</f>
        <v/>
      </c>
    </row>
    <row r="319" spans="1:6" ht="13.9">
      <c r="A319" s="3">
        <v>13713037</v>
      </c>
      <c r="B319" s="10">
        <v>39280</v>
      </c>
      <c r="C319" s="19">
        <v>14.375798503376529</v>
      </c>
      <c r="D319" s="3"/>
      <c r="E319" t="str">
        <f>_xlfn.XLOOKUP(PE_2[[#This Row],[STN]],SE_2[STN],SE_2[IdeaEligibility],"w/o disability",0)</f>
        <v>w/o disability</v>
      </c>
      <c r="F319" t="str">
        <f>_xlfn.XLOOKUP(PE_2[[#This Row],[STN]],SE_2[STN],SE_2[Ethnicity],"",0)</f>
        <v/>
      </c>
    </row>
    <row r="320" spans="1:6" ht="13.9">
      <c r="A320" s="3">
        <v>13713035</v>
      </c>
      <c r="B320" s="10">
        <v>39185</v>
      </c>
      <c r="C320" s="19">
        <v>14.635882460302975</v>
      </c>
      <c r="D320" s="3"/>
      <c r="E320" t="str">
        <f>_xlfn.XLOOKUP(PE_2[[#This Row],[STN]],SE_2[STN],SE_2[IdeaEligibility],"w/o disability",0)</f>
        <v>w/o disability</v>
      </c>
      <c r="F320" t="str">
        <f>_xlfn.XLOOKUP(PE_2[[#This Row],[STN]],SE_2[STN],SE_2[Ethnicity],"",0)</f>
        <v/>
      </c>
    </row>
    <row r="321" spans="1:6" ht="13.9">
      <c r="A321" s="5">
        <v>153912061</v>
      </c>
      <c r="B321" s="10">
        <v>38863</v>
      </c>
      <c r="C321" s="19">
        <v>15.518138261464751</v>
      </c>
      <c r="D321" s="3"/>
      <c r="E321" t="str">
        <f>_xlfn.XLOOKUP(PE_2[[#This Row],[STN]],SE_2[STN],SE_2[IdeaEligibility],"w/o disability",0)</f>
        <v>w/o disability</v>
      </c>
      <c r="F321" t="str">
        <f>_xlfn.XLOOKUP(PE_2[[#This Row],[STN]],SE_2[STN],SE_2[Ethnicity],"",0)</f>
        <v/>
      </c>
    </row>
    <row r="322" spans="1:6" ht="13.9">
      <c r="A322" s="3">
        <v>19713014</v>
      </c>
      <c r="B322" s="10">
        <v>39194</v>
      </c>
      <c r="C322" s="19">
        <v>14.611242927541523</v>
      </c>
      <c r="D322" s="3"/>
      <c r="E322" t="str">
        <f>_xlfn.XLOOKUP(PE_2[[#This Row],[STN]],SE_2[STN],SE_2[IdeaEligibility],"w/o disability",0)</f>
        <v>w/o disability</v>
      </c>
      <c r="F322" t="str">
        <f>_xlfn.XLOOKUP(PE_2[[#This Row],[STN]],SE_2[STN],SE_2[Ethnicity],"",0)</f>
        <v/>
      </c>
    </row>
    <row r="323" spans="1:6" ht="13.9">
      <c r="A323" s="3">
        <v>20513502</v>
      </c>
      <c r="B323" s="10">
        <v>39282</v>
      </c>
      <c r="C323" s="19">
        <v>14.370323051651761</v>
      </c>
      <c r="D323" s="3"/>
      <c r="E323" t="str">
        <f>_xlfn.XLOOKUP(PE_2[[#This Row],[STN]],SE_2[STN],SE_2[IdeaEligibility],"w/o disability",0)</f>
        <v>w/o disability</v>
      </c>
      <c r="F323" t="str">
        <f>_xlfn.XLOOKUP(PE_2[[#This Row],[STN]],SE_2[STN],SE_2[Ethnicity],"",0)</f>
        <v/>
      </c>
    </row>
    <row r="324" spans="1:6" ht="13.9">
      <c r="A324" s="3">
        <v>13713034</v>
      </c>
      <c r="B324" s="10">
        <v>39060</v>
      </c>
      <c r="C324" s="19">
        <v>14.978781656399725</v>
      </c>
      <c r="D324" s="3"/>
      <c r="E324" t="str">
        <f>_xlfn.XLOOKUP(PE_2[[#This Row],[STN]],SE_2[STN],SE_2[IdeaEligibility],"w/o disability",0)</f>
        <v>w/o disability</v>
      </c>
      <c r="F324" t="str">
        <f>_xlfn.XLOOKUP(PE_2[[#This Row],[STN]],SE_2[STN],SE_2[Ethnicity],"",0)</f>
        <v/>
      </c>
    </row>
    <row r="325" spans="1:6" ht="13.9">
      <c r="A325" s="3">
        <v>26913004</v>
      </c>
      <c r="B325" s="10">
        <v>38965</v>
      </c>
      <c r="C325" s="19">
        <v>15.238877481177276</v>
      </c>
      <c r="D325" s="3"/>
      <c r="E325" t="str">
        <f>_xlfn.XLOOKUP(PE_2[[#This Row],[STN]],SE_2[STN],SE_2[IdeaEligibility],"w/o disability",0)</f>
        <v>w/o disability</v>
      </c>
      <c r="F325" t="str">
        <f>_xlfn.XLOOKUP(PE_2[[#This Row],[STN]],SE_2[STN],SE_2[Ethnicity],"",0)</f>
        <v/>
      </c>
    </row>
    <row r="326" spans="1:6" ht="13.9">
      <c r="A326" s="3">
        <v>19714059</v>
      </c>
      <c r="B326" s="10">
        <v>39569</v>
      </c>
      <c r="C326" s="19">
        <v>13.583887368009385</v>
      </c>
      <c r="D326" s="3"/>
      <c r="E326" t="str">
        <f>_xlfn.XLOOKUP(PE_2[[#This Row],[STN]],SE_2[STN],SE_2[IdeaEligibility],"w/o disability",0)</f>
        <v>w/o disability</v>
      </c>
      <c r="F326" t="str">
        <f>_xlfn.XLOOKUP(PE_2[[#This Row],[STN]],SE_2[STN],SE_2[Ethnicity],"",0)</f>
        <v/>
      </c>
    </row>
    <row r="327" spans="1:6" ht="13.9">
      <c r="A327" s="3">
        <v>17814022</v>
      </c>
      <c r="B327" s="10">
        <v>39377</v>
      </c>
      <c r="C327" s="19">
        <v>14.110239094725316</v>
      </c>
      <c r="D327" s="3"/>
      <c r="E327" t="str">
        <f>_xlfn.XLOOKUP(PE_2[[#This Row],[STN]],SE_2[STN],SE_2[IdeaEligibility],"w/o disability",0)</f>
        <v>w/o disability</v>
      </c>
      <c r="F327" t="str">
        <f>_xlfn.XLOOKUP(PE_2[[#This Row],[STN]],SE_2[STN],SE_2[Ethnicity],"",0)</f>
        <v/>
      </c>
    </row>
    <row r="328" spans="1:6" ht="13.9">
      <c r="A328" s="3">
        <v>17814029</v>
      </c>
      <c r="B328" s="10">
        <v>39656</v>
      </c>
      <c r="C328" s="19">
        <v>13.345717637856863</v>
      </c>
      <c r="D328" s="3"/>
      <c r="E328" t="b">
        <f>_xlfn.XLOOKUP(PE_2[[#This Row],[STN]],SE_2[STN],SE_2[IdeaEligibility],"w/o disability",0)</f>
        <v>1</v>
      </c>
      <c r="F328" t="str">
        <f>_xlfn.XLOOKUP(PE_2[[#This Row],[STN]],SE_2[STN],SE_2[Ethnicity],"",0)</f>
        <v>Black - African American</v>
      </c>
    </row>
    <row r="329" spans="1:6" ht="13.9">
      <c r="A329" s="3">
        <v>27013037</v>
      </c>
      <c r="B329" s="10">
        <v>39190</v>
      </c>
      <c r="C329" s="19">
        <v>14.622193830991057</v>
      </c>
      <c r="D329" s="3"/>
      <c r="E329" t="str">
        <f>_xlfn.XLOOKUP(PE_2[[#This Row],[STN]],SE_2[STN],SE_2[IdeaEligibility],"w/o disability",0)</f>
        <v>w/o disability</v>
      </c>
      <c r="F329" t="str">
        <f>_xlfn.XLOOKUP(PE_2[[#This Row],[STN]],SE_2[STN],SE_2[Ethnicity],"",0)</f>
        <v/>
      </c>
    </row>
    <row r="330" spans="1:6" ht="13.9">
      <c r="A330" s="3">
        <v>18913022</v>
      </c>
      <c r="B330" s="10">
        <v>39000</v>
      </c>
      <c r="C330" s="19">
        <v>15.143052703627653</v>
      </c>
      <c r="D330" s="3"/>
      <c r="E330" t="str">
        <f>_xlfn.XLOOKUP(PE_2[[#This Row],[STN]],SE_2[STN],SE_2[IdeaEligibility],"w/o disability",0)</f>
        <v>w/o disability</v>
      </c>
      <c r="F330" t="str">
        <f>_xlfn.XLOOKUP(PE_2[[#This Row],[STN]],SE_2[STN],SE_2[Ethnicity],"",0)</f>
        <v/>
      </c>
    </row>
    <row r="331" spans="1:6" ht="13.9">
      <c r="A331" s="3">
        <v>20913504</v>
      </c>
      <c r="B331" s="10">
        <v>39266</v>
      </c>
      <c r="C331" s="19">
        <v>14.414126665449901</v>
      </c>
      <c r="D331" s="3"/>
      <c r="E331" t="str">
        <f>_xlfn.XLOOKUP(PE_2[[#This Row],[STN]],SE_2[STN],SE_2[IdeaEligibility],"w/o disability",0)</f>
        <v>w/o disability</v>
      </c>
      <c r="F331" t="str">
        <f>_xlfn.XLOOKUP(PE_2[[#This Row],[STN]],SE_2[STN],SE_2[Ethnicity],"",0)</f>
        <v/>
      </c>
    </row>
    <row r="332" spans="1:6" ht="13.9">
      <c r="A332" s="3">
        <v>16413528</v>
      </c>
      <c r="B332" s="10">
        <v>39155</v>
      </c>
      <c r="C332" s="19">
        <v>14.718014236174485</v>
      </c>
      <c r="D332" s="3"/>
      <c r="E332" t="str">
        <f>_xlfn.XLOOKUP(PE_2[[#This Row],[STN]],SE_2[STN],SE_2[IdeaEligibility],"w/o disability",0)</f>
        <v>w/o disability</v>
      </c>
      <c r="F332" t="str">
        <f>_xlfn.XLOOKUP(PE_2[[#This Row],[STN]],SE_2[STN],SE_2[Ethnicity],"",0)</f>
        <v/>
      </c>
    </row>
    <row r="333" spans="1:6" ht="13.9">
      <c r="A333" s="3">
        <v>16413529</v>
      </c>
      <c r="B333" s="10">
        <v>39155</v>
      </c>
      <c r="C333" s="19">
        <v>14.718014236174485</v>
      </c>
      <c r="D333" s="3"/>
      <c r="E333" t="str">
        <f>_xlfn.XLOOKUP(PE_2[[#This Row],[STN]],SE_2[STN],SE_2[IdeaEligibility],"w/o disability",0)</f>
        <v>w/o disability</v>
      </c>
      <c r="F333" t="str">
        <f>_xlfn.XLOOKUP(PE_2[[#This Row],[STN]],SE_2[STN],SE_2[Ethnicity],"",0)</f>
        <v/>
      </c>
    </row>
    <row r="334" spans="1:6" ht="13.9">
      <c r="A334" s="3">
        <v>21713504</v>
      </c>
      <c r="B334" s="10">
        <v>39082</v>
      </c>
      <c r="C334" s="19">
        <v>14.91854893908282</v>
      </c>
      <c r="D334" s="3"/>
      <c r="E334" t="str">
        <f>_xlfn.XLOOKUP(PE_2[[#This Row],[STN]],SE_2[STN],SE_2[IdeaEligibility],"w/o disability",0)</f>
        <v>w/o disability</v>
      </c>
      <c r="F334" t="str">
        <f>_xlfn.XLOOKUP(PE_2[[#This Row],[STN]],SE_2[STN],SE_2[Ethnicity],"",0)</f>
        <v/>
      </c>
    </row>
    <row r="335" spans="1:6" ht="13.9">
      <c r="A335" s="5">
        <v>363713138</v>
      </c>
      <c r="B335" s="10">
        <v>39036</v>
      </c>
      <c r="C335" s="19">
        <v>15.044490075290897</v>
      </c>
      <c r="D335" s="3"/>
      <c r="E335" t="str">
        <f>_xlfn.XLOOKUP(PE_2[[#This Row],[STN]],SE_2[STN],SE_2[IdeaEligibility],"w/o disability",0)</f>
        <v>w/o disability</v>
      </c>
      <c r="F335" t="str">
        <f>_xlfn.XLOOKUP(PE_2[[#This Row],[STN]],SE_2[STN],SE_2[Ethnicity],"",0)</f>
        <v/>
      </c>
    </row>
    <row r="336" spans="1:6" ht="13.9">
      <c r="A336" s="3">
        <v>23913510</v>
      </c>
      <c r="B336" s="10">
        <v>39090</v>
      </c>
      <c r="C336" s="19">
        <v>14.895966417229422</v>
      </c>
      <c r="D336" s="3"/>
      <c r="E336" t="str">
        <f>_xlfn.XLOOKUP(PE_2[[#This Row],[STN]],SE_2[STN],SE_2[IdeaEligibility],"w/o disability",0)</f>
        <v>w/o disability</v>
      </c>
      <c r="F336" t="str">
        <f>_xlfn.XLOOKUP(PE_2[[#This Row],[STN]],SE_2[STN],SE_2[Ethnicity],"",0)</f>
        <v/>
      </c>
    </row>
    <row r="337" spans="1:6" ht="13.9">
      <c r="A337" s="3">
        <v>25313501</v>
      </c>
      <c r="B337" s="10">
        <v>39260</v>
      </c>
      <c r="C337" s="19">
        <v>14.430553020624203</v>
      </c>
      <c r="D337" s="3"/>
      <c r="E337" t="str">
        <f>_xlfn.XLOOKUP(PE_2[[#This Row],[STN]],SE_2[STN],SE_2[IdeaEligibility],"w/o disability",0)</f>
        <v>w/o disability</v>
      </c>
      <c r="F337" t="str">
        <f>_xlfn.XLOOKUP(PE_2[[#This Row],[STN]],SE_2[STN],SE_2[Ethnicity],"",0)</f>
        <v/>
      </c>
    </row>
    <row r="338" spans="1:6" ht="13.9">
      <c r="A338" s="3">
        <v>17813045</v>
      </c>
      <c r="B338" s="10">
        <v>39580</v>
      </c>
      <c r="C338" s="19">
        <v>13.55377395385217</v>
      </c>
      <c r="D338" s="3"/>
      <c r="E338" t="str">
        <f>_xlfn.XLOOKUP(PE_2[[#This Row],[STN]],SE_2[STN],SE_2[IdeaEligibility],"w/o disability",0)</f>
        <v>w/o disability</v>
      </c>
      <c r="F338" t="str">
        <f>_xlfn.XLOOKUP(PE_2[[#This Row],[STN]],SE_2[STN],SE_2[Ethnicity],"",0)</f>
        <v/>
      </c>
    </row>
    <row r="339" spans="1:6" ht="13.9">
      <c r="A339" s="3">
        <v>17813049</v>
      </c>
      <c r="B339" s="10">
        <v>39303</v>
      </c>
      <c r="C339" s="19">
        <v>14.312830808541705</v>
      </c>
      <c r="D339" s="3"/>
      <c r="E339" t="str">
        <f>_xlfn.XLOOKUP(PE_2[[#This Row],[STN]],SE_2[STN],SE_2[IdeaEligibility],"w/o disability",0)</f>
        <v>w/o disability</v>
      </c>
      <c r="F339" t="str">
        <f>_xlfn.XLOOKUP(PE_2[[#This Row],[STN]],SE_2[STN],SE_2[Ethnicity],"",0)</f>
        <v/>
      </c>
    </row>
    <row r="340" spans="1:6" ht="13.9">
      <c r="A340" s="3">
        <v>24113018</v>
      </c>
      <c r="B340" s="10">
        <v>39459</v>
      </c>
      <c r="C340" s="19">
        <v>13.885021509581541</v>
      </c>
      <c r="D340" s="3"/>
      <c r="E340" t="str">
        <f>_xlfn.XLOOKUP(PE_2[[#This Row],[STN]],SE_2[STN],SE_2[IdeaEligibility],"w/o disability",0)</f>
        <v>w/o disability</v>
      </c>
      <c r="F340" t="str">
        <f>_xlfn.XLOOKUP(PE_2[[#This Row],[STN]],SE_2[STN],SE_2[Ethnicity],"",0)</f>
        <v/>
      </c>
    </row>
    <row r="341" spans="1:6" ht="13.9">
      <c r="A341" s="3">
        <v>17813510</v>
      </c>
      <c r="B341" s="10">
        <v>38972</v>
      </c>
      <c r="C341" s="19">
        <v>15.219712525667351</v>
      </c>
      <c r="D341" s="3"/>
      <c r="E341" t="str">
        <f>_xlfn.XLOOKUP(PE_2[[#This Row],[STN]],SE_2[STN],SE_2[IdeaEligibility],"w/o disability",0)</f>
        <v>w/o disability</v>
      </c>
      <c r="F341" t="str">
        <f>_xlfn.XLOOKUP(PE_2[[#This Row],[STN]],SE_2[STN],SE_2[Ethnicity],"",0)</f>
        <v/>
      </c>
    </row>
    <row r="342" spans="1:6" ht="13.9">
      <c r="A342" s="3">
        <v>25711523</v>
      </c>
      <c r="B342" s="10">
        <v>39080</v>
      </c>
      <c r="C342" s="19">
        <v>14.924024640657084</v>
      </c>
      <c r="D342" s="3"/>
      <c r="E342" t="str">
        <f>_xlfn.XLOOKUP(PE_2[[#This Row],[STN]],SE_2[STN],SE_2[IdeaEligibility],"w/o disability",0)</f>
        <v>w/o disability</v>
      </c>
      <c r="F342" t="str">
        <f>_xlfn.XLOOKUP(PE_2[[#This Row],[STN]],SE_2[STN],SE_2[Ethnicity],"",0)</f>
        <v/>
      </c>
    </row>
    <row r="343" spans="1:6" ht="13.9">
      <c r="A343" s="3">
        <v>19314019</v>
      </c>
      <c r="B343" s="10">
        <v>39338</v>
      </c>
      <c r="C343" s="19">
        <v>14.217010403358278</v>
      </c>
      <c r="D343" s="3"/>
      <c r="E343" t="str">
        <f>_xlfn.XLOOKUP(PE_2[[#This Row],[STN]],SE_2[STN],SE_2[IdeaEligibility],"w/o disability",0)</f>
        <v>w/o disability</v>
      </c>
      <c r="F343" t="str">
        <f>_xlfn.XLOOKUP(PE_2[[#This Row],[STN]],SE_2[STN],SE_2[Ethnicity],"",0)</f>
        <v/>
      </c>
    </row>
    <row r="344" spans="1:6" ht="13.9">
      <c r="A344" s="3">
        <v>24113006</v>
      </c>
      <c r="B344" s="10">
        <v>39383</v>
      </c>
      <c r="C344" s="19">
        <v>14.093812739551014</v>
      </c>
      <c r="D344" s="3"/>
      <c r="E344" t="str">
        <f>_xlfn.XLOOKUP(PE_2[[#This Row],[STN]],SE_2[STN],SE_2[IdeaEligibility],"w/o disability",0)</f>
        <v>w/o disability</v>
      </c>
      <c r="F344" t="str">
        <f>_xlfn.XLOOKUP(PE_2[[#This Row],[STN]],SE_2[STN],SE_2[Ethnicity],"",0)</f>
        <v/>
      </c>
    </row>
    <row r="345" spans="1:6" ht="13.9">
      <c r="A345" s="3">
        <v>17813014</v>
      </c>
      <c r="B345" s="10">
        <v>39134</v>
      </c>
      <c r="C345" s="19">
        <v>14.775506479284541</v>
      </c>
      <c r="D345" s="3"/>
      <c r="E345" t="str">
        <f>_xlfn.XLOOKUP(PE_2[[#This Row],[STN]],SE_2[STN],SE_2[IdeaEligibility],"w/o disability",0)</f>
        <v>w/o disability</v>
      </c>
      <c r="F345" t="str">
        <f>_xlfn.XLOOKUP(PE_2[[#This Row],[STN]],SE_2[STN],SE_2[Ethnicity],"",0)</f>
        <v/>
      </c>
    </row>
    <row r="346" spans="1:6" ht="13.9">
      <c r="A346" s="3">
        <v>24113088</v>
      </c>
      <c r="B346" s="10">
        <v>39540</v>
      </c>
      <c r="C346" s="19">
        <v>13.663277278060226</v>
      </c>
      <c r="D346" s="3"/>
      <c r="E346" t="str">
        <f>_xlfn.XLOOKUP(PE_2[[#This Row],[STN]],SE_2[STN],SE_2[IdeaEligibility],"w/o disability",0)</f>
        <v>w/o disability</v>
      </c>
      <c r="F346" t="str">
        <f>_xlfn.XLOOKUP(PE_2[[#This Row],[STN]],SE_2[STN],SE_2[Ethnicity],"",0)</f>
        <v/>
      </c>
    </row>
    <row r="347" spans="1:6" ht="13.9">
      <c r="A347" s="3">
        <v>17811573</v>
      </c>
      <c r="B347" s="10">
        <v>38741</v>
      </c>
      <c r="C347" s="19">
        <v>15.852156057494867</v>
      </c>
      <c r="D347" s="3"/>
      <c r="E347" t="str">
        <f>_xlfn.XLOOKUP(PE_2[[#This Row],[STN]],SE_2[STN],SE_2[IdeaEligibility],"w/o disability",0)</f>
        <v>w/o disability</v>
      </c>
      <c r="F347" t="str">
        <f>_xlfn.XLOOKUP(PE_2[[#This Row],[STN]],SE_2[STN],SE_2[Ethnicity],"",0)</f>
        <v/>
      </c>
    </row>
    <row r="348" spans="1:6" ht="13.9">
      <c r="A348" s="3">
        <v>24113026</v>
      </c>
      <c r="B348" s="10">
        <v>39385</v>
      </c>
      <c r="C348" s="19">
        <v>14.088337287826246</v>
      </c>
      <c r="D348" s="3"/>
      <c r="E348" t="str">
        <f>_xlfn.XLOOKUP(PE_2[[#This Row],[STN]],SE_2[STN],SE_2[IdeaEligibility],"w/o disability",0)</f>
        <v>w/o disability</v>
      </c>
      <c r="F348" t="str">
        <f>_xlfn.XLOOKUP(PE_2[[#This Row],[STN]],SE_2[STN],SE_2[Ethnicity],"",0)</f>
        <v/>
      </c>
    </row>
    <row r="349" spans="1:6" ht="13.9">
      <c r="A349" s="3">
        <v>24113037</v>
      </c>
      <c r="B349" s="10">
        <v>39498</v>
      </c>
      <c r="C349" s="19">
        <v>13.778255768478687</v>
      </c>
      <c r="D349" s="3"/>
      <c r="E349" t="str">
        <f>_xlfn.XLOOKUP(PE_2[[#This Row],[STN]],SE_2[STN],SE_2[IdeaEligibility],"w/o disability",0)</f>
        <v>w/o disability</v>
      </c>
      <c r="F349" t="str">
        <f>_xlfn.XLOOKUP(PE_2[[#This Row],[STN]],SE_2[STN],SE_2[Ethnicity],"",0)</f>
        <v/>
      </c>
    </row>
    <row r="350" spans="1:6" ht="13.9">
      <c r="A350" s="3">
        <v>18914003</v>
      </c>
      <c r="B350" s="10">
        <v>39442</v>
      </c>
      <c r="C350" s="19">
        <v>13.932286913670378</v>
      </c>
      <c r="D350" s="3"/>
      <c r="E350" t="str">
        <f>_xlfn.XLOOKUP(PE_2[[#This Row],[STN]],SE_2[STN],SE_2[IdeaEligibility],"w/o disability",0)</f>
        <v>w/o disability</v>
      </c>
      <c r="F350" t="str">
        <f>_xlfn.XLOOKUP(PE_2[[#This Row],[STN]],SE_2[STN],SE_2[Ethnicity],"",0)</f>
        <v/>
      </c>
    </row>
    <row r="351" spans="1:6" ht="13.9">
      <c r="A351" s="3">
        <v>19314015</v>
      </c>
      <c r="B351" s="10">
        <v>39262</v>
      </c>
      <c r="C351" s="19">
        <v>14.425077568899434</v>
      </c>
      <c r="D351" s="3"/>
      <c r="E351" t="str">
        <f>_xlfn.XLOOKUP(PE_2[[#This Row],[STN]],SE_2[STN],SE_2[IdeaEligibility],"w/o disability",0)</f>
        <v>w/o disability</v>
      </c>
      <c r="F351" t="str">
        <f>_xlfn.XLOOKUP(PE_2[[#This Row],[STN]],SE_2[STN],SE_2[Ethnicity],"",0)</f>
        <v/>
      </c>
    </row>
    <row r="352" spans="1:6" ht="13.9">
      <c r="A352" s="3">
        <v>19714043</v>
      </c>
      <c r="B352" s="10">
        <v>39667</v>
      </c>
      <c r="C352" s="19">
        <v>13.315604223699648</v>
      </c>
      <c r="D352" s="3"/>
      <c r="E352" t="str">
        <f>_xlfn.XLOOKUP(PE_2[[#This Row],[STN]],SE_2[STN],SE_2[IdeaEligibility],"w/o disability",0)</f>
        <v>w/o disability</v>
      </c>
      <c r="F352" t="str">
        <f>_xlfn.XLOOKUP(PE_2[[#This Row],[STN]],SE_2[STN],SE_2[Ethnicity],"",0)</f>
        <v/>
      </c>
    </row>
    <row r="353" spans="1:6" ht="13.9">
      <c r="A353" s="3">
        <v>18913006</v>
      </c>
      <c r="B353" s="10">
        <v>39296</v>
      </c>
      <c r="C353" s="19">
        <v>14.331994889578391</v>
      </c>
      <c r="D353" s="3"/>
      <c r="E353" t="str">
        <f>_xlfn.XLOOKUP(PE_2[[#This Row],[STN]],SE_2[STN],SE_2[IdeaEligibility],"w/o disability",0)</f>
        <v>w/o disability</v>
      </c>
      <c r="F353" t="str">
        <f>_xlfn.XLOOKUP(PE_2[[#This Row],[STN]],SE_2[STN],SE_2[Ethnicity],"",0)</f>
        <v/>
      </c>
    </row>
    <row r="354" spans="1:6" ht="13.9">
      <c r="A354" s="3">
        <v>18913050</v>
      </c>
      <c r="B354" s="10">
        <v>39643</v>
      </c>
      <c r="C354" s="19">
        <v>13.381306218224482</v>
      </c>
      <c r="D354" s="3"/>
      <c r="E354" t="str">
        <f>_xlfn.XLOOKUP(PE_2[[#This Row],[STN]],SE_2[STN],SE_2[IdeaEligibility],"w/o disability",0)</f>
        <v>w/o disability</v>
      </c>
      <c r="F354" t="str">
        <f>_xlfn.XLOOKUP(PE_2[[#This Row],[STN]],SE_2[STN],SE_2[Ethnicity],"",0)</f>
        <v/>
      </c>
    </row>
    <row r="355" spans="1:6" ht="13.9">
      <c r="A355" s="3">
        <v>25313014</v>
      </c>
      <c r="B355" s="10">
        <v>39559</v>
      </c>
      <c r="C355" s="19">
        <v>13.611263199061401</v>
      </c>
      <c r="D355" s="3"/>
      <c r="E355" t="str">
        <f>_xlfn.XLOOKUP(PE_2[[#This Row],[STN]],SE_2[STN],SE_2[IdeaEligibility],"w/o disability",0)</f>
        <v>w/o disability</v>
      </c>
      <c r="F355" t="str">
        <f>_xlfn.XLOOKUP(PE_2[[#This Row],[STN]],SE_2[STN],SE_2[Ethnicity],"",0)</f>
        <v/>
      </c>
    </row>
    <row r="356" spans="1:6" ht="13.9">
      <c r="A356" s="3">
        <v>21713003</v>
      </c>
      <c r="B356" s="10">
        <v>39242</v>
      </c>
      <c r="C356" s="19">
        <v>14.479832086147107</v>
      </c>
      <c r="D356" s="3"/>
      <c r="E356" t="str">
        <f>_xlfn.XLOOKUP(PE_2[[#This Row],[STN]],SE_2[STN],SE_2[IdeaEligibility],"w/o disability",0)</f>
        <v>w/o disability</v>
      </c>
      <c r="F356" t="str">
        <f>_xlfn.XLOOKUP(PE_2[[#This Row],[STN]],SE_2[STN],SE_2[Ethnicity],"",0)</f>
        <v/>
      </c>
    </row>
    <row r="357" spans="1:6" ht="13.9">
      <c r="A357" s="3">
        <v>24113067</v>
      </c>
      <c r="B357" s="10">
        <v>39398</v>
      </c>
      <c r="C357" s="19">
        <v>14.052746851615259</v>
      </c>
      <c r="D357" s="3"/>
      <c r="E357" t="str">
        <f>_xlfn.XLOOKUP(PE_2[[#This Row],[STN]],SE_2[STN],SE_2[IdeaEligibility],"w/o disability",0)</f>
        <v>w/o disability</v>
      </c>
      <c r="F357" t="str">
        <f>_xlfn.XLOOKUP(PE_2[[#This Row],[STN]],SE_2[STN],SE_2[Ethnicity],"",0)</f>
        <v/>
      </c>
    </row>
    <row r="358" spans="1:6" ht="13.9">
      <c r="A358" s="3">
        <v>17813053</v>
      </c>
      <c r="B358" s="10">
        <v>39336</v>
      </c>
      <c r="C358" s="19">
        <v>14.222485855083045</v>
      </c>
      <c r="D358" s="3"/>
      <c r="E358" t="str">
        <f>_xlfn.XLOOKUP(PE_2[[#This Row],[STN]],SE_2[STN],SE_2[IdeaEligibility],"w/o disability",0)</f>
        <v>w/o disability</v>
      </c>
      <c r="F358" t="str">
        <f>_xlfn.XLOOKUP(PE_2[[#This Row],[STN]],SE_2[STN],SE_2[Ethnicity],"",0)</f>
        <v/>
      </c>
    </row>
    <row r="359" spans="1:6" ht="13.9">
      <c r="A359" s="3">
        <v>17813051</v>
      </c>
      <c r="B359" s="10">
        <v>39544</v>
      </c>
      <c r="C359" s="19">
        <v>13.652326945639421</v>
      </c>
      <c r="D359" s="3"/>
      <c r="E359" t="str">
        <f>_xlfn.XLOOKUP(PE_2[[#This Row],[STN]],SE_2[STN],SE_2[IdeaEligibility],"w/o disability",0)</f>
        <v>w/o disability</v>
      </c>
      <c r="F359" t="str">
        <f>_xlfn.XLOOKUP(PE_2[[#This Row],[STN]],SE_2[STN],SE_2[Ethnicity],"",0)</f>
        <v/>
      </c>
    </row>
    <row r="360" spans="1:6" ht="13.9">
      <c r="A360" s="3">
        <v>17813027</v>
      </c>
      <c r="B360" s="10">
        <v>39265</v>
      </c>
      <c r="C360" s="19">
        <v>14.416864391312284</v>
      </c>
      <c r="D360" s="3"/>
      <c r="E360" t="str">
        <f>_xlfn.XLOOKUP(PE_2[[#This Row],[STN]],SE_2[STN],SE_2[IdeaEligibility],"w/o disability",0)</f>
        <v>w/o disability</v>
      </c>
      <c r="F360" t="str">
        <f>_xlfn.XLOOKUP(PE_2[[#This Row],[STN]],SE_2[STN],SE_2[Ethnicity],"",0)</f>
        <v/>
      </c>
    </row>
    <row r="361" spans="1:6" ht="13.9">
      <c r="A361" s="3">
        <v>17813033</v>
      </c>
      <c r="B361" s="10">
        <v>39287</v>
      </c>
      <c r="C361" s="19">
        <v>14.356634422339843</v>
      </c>
      <c r="D361" s="3"/>
      <c r="E361" t="str">
        <f>_xlfn.XLOOKUP(PE_2[[#This Row],[STN]],SE_2[STN],SE_2[IdeaEligibility],"w/o disability",0)</f>
        <v>w/o disability</v>
      </c>
      <c r="F361" t="str">
        <f>_xlfn.XLOOKUP(PE_2[[#This Row],[STN]],SE_2[STN],SE_2[Ethnicity],"",0)</f>
        <v/>
      </c>
    </row>
    <row r="362" spans="1:6" ht="13.9">
      <c r="A362" s="3">
        <v>17813041</v>
      </c>
      <c r="B362" s="10">
        <v>39411</v>
      </c>
      <c r="C362" s="19">
        <v>14.017156415404271</v>
      </c>
      <c r="D362" s="3"/>
      <c r="E362" t="str">
        <f>_xlfn.XLOOKUP(PE_2[[#This Row],[STN]],SE_2[STN],SE_2[IdeaEligibility],"w/o disability",0)</f>
        <v>w/o disability</v>
      </c>
      <c r="F362" t="str">
        <f>_xlfn.XLOOKUP(PE_2[[#This Row],[STN]],SE_2[STN],SE_2[Ethnicity],"",0)</f>
        <v/>
      </c>
    </row>
    <row r="363" spans="1:6" ht="13.9">
      <c r="A363" s="3">
        <v>13613064</v>
      </c>
      <c r="B363" s="10">
        <v>39301</v>
      </c>
      <c r="C363" s="19">
        <v>14.318306260266473</v>
      </c>
      <c r="D363" s="3"/>
      <c r="E363" t="str">
        <f>_xlfn.XLOOKUP(PE_2[[#This Row],[STN]],SE_2[STN],SE_2[IdeaEligibility],"w/o disability",0)</f>
        <v>w/o disability</v>
      </c>
      <c r="F363" t="str">
        <f>_xlfn.XLOOKUP(PE_2[[#This Row],[STN]],SE_2[STN],SE_2[Ethnicity],"",0)</f>
        <v/>
      </c>
    </row>
    <row r="364" spans="1:6" ht="13.9">
      <c r="A364" s="3">
        <v>13713041</v>
      </c>
      <c r="B364" s="10">
        <v>39048</v>
      </c>
      <c r="C364" s="19">
        <v>15.011635865845312</v>
      </c>
      <c r="D364" s="3"/>
      <c r="E364" t="str">
        <f>_xlfn.XLOOKUP(PE_2[[#This Row],[STN]],SE_2[STN],SE_2[IdeaEligibility],"w/o disability",0)</f>
        <v>w/o disability</v>
      </c>
      <c r="F364" t="str">
        <f>_xlfn.XLOOKUP(PE_2[[#This Row],[STN]],SE_2[STN],SE_2[Ethnicity],"",0)</f>
        <v/>
      </c>
    </row>
    <row r="365" spans="1:6" ht="13.9">
      <c r="A365" s="3">
        <v>13713047</v>
      </c>
      <c r="B365" s="10">
        <v>39280</v>
      </c>
      <c r="C365" s="19">
        <v>14.375798503376529</v>
      </c>
      <c r="D365" s="3"/>
      <c r="E365" t="str">
        <f>_xlfn.XLOOKUP(PE_2[[#This Row],[STN]],SE_2[STN],SE_2[IdeaEligibility],"w/o disability",0)</f>
        <v>w/o disability</v>
      </c>
      <c r="F365" t="str">
        <f>_xlfn.XLOOKUP(PE_2[[#This Row],[STN]],SE_2[STN],SE_2[Ethnicity],"",0)</f>
        <v/>
      </c>
    </row>
    <row r="366" spans="1:6" ht="13.9">
      <c r="A366" s="3">
        <v>13613511</v>
      </c>
      <c r="B366" s="10">
        <v>39385</v>
      </c>
      <c r="C366" s="19">
        <v>14.088337287826246</v>
      </c>
      <c r="D366" s="3"/>
      <c r="E366" t="str">
        <f>_xlfn.XLOOKUP(PE_2[[#This Row],[STN]],SE_2[STN],SE_2[IdeaEligibility],"w/o disability",0)</f>
        <v>w/o disability</v>
      </c>
      <c r="F366" t="str">
        <f>_xlfn.XLOOKUP(PE_2[[#This Row],[STN]],SE_2[STN],SE_2[Ethnicity],"",0)</f>
        <v/>
      </c>
    </row>
    <row r="367" spans="1:6" ht="13.9">
      <c r="A367" s="3">
        <v>17813013</v>
      </c>
      <c r="B367" s="10">
        <v>38959</v>
      </c>
      <c r="C367" s="19">
        <v>15.255304585900069</v>
      </c>
      <c r="D367" s="3"/>
      <c r="E367" t="str">
        <f>_xlfn.XLOOKUP(PE_2[[#This Row],[STN]],SE_2[STN],SE_2[IdeaEligibility],"w/o disability",0)</f>
        <v>w/o disability</v>
      </c>
      <c r="F367" t="str">
        <f>_xlfn.XLOOKUP(PE_2[[#This Row],[STN]],SE_2[STN],SE_2[Ethnicity],"",0)</f>
        <v/>
      </c>
    </row>
    <row r="368" spans="1:6" ht="13.9">
      <c r="A368" s="3">
        <v>16413502</v>
      </c>
      <c r="B368" s="10">
        <v>38931</v>
      </c>
      <c r="C368" s="19">
        <v>15.331964407939767</v>
      </c>
      <c r="D368" s="3"/>
      <c r="E368" t="str">
        <f>_xlfn.XLOOKUP(PE_2[[#This Row],[STN]],SE_2[STN],SE_2[IdeaEligibility],"w/o disability",0)</f>
        <v>w/o disability</v>
      </c>
      <c r="F368" t="str">
        <f>_xlfn.XLOOKUP(PE_2[[#This Row],[STN]],SE_2[STN],SE_2[Ethnicity],"",0)</f>
        <v/>
      </c>
    </row>
    <row r="369" spans="1:6" ht="13.9">
      <c r="A369" s="3">
        <v>18613018</v>
      </c>
      <c r="B369" s="10">
        <v>39205</v>
      </c>
      <c r="C369" s="19">
        <v>14.581127943055302</v>
      </c>
      <c r="D369" s="3"/>
      <c r="E369" t="str">
        <f>_xlfn.XLOOKUP(PE_2[[#This Row],[STN]],SE_2[STN],SE_2[IdeaEligibility],"w/o disability",0)</f>
        <v>w/o disability</v>
      </c>
      <c r="F369" t="str">
        <f>_xlfn.XLOOKUP(PE_2[[#This Row],[STN]],SE_2[STN],SE_2[Ethnicity],"",0)</f>
        <v/>
      </c>
    </row>
    <row r="370" spans="1:6" ht="13.9">
      <c r="A370" s="3">
        <v>19313037</v>
      </c>
      <c r="B370" s="10">
        <v>39073</v>
      </c>
      <c r="C370" s="19">
        <v>14.943189596167009</v>
      </c>
      <c r="D370" s="3"/>
      <c r="E370" t="str">
        <f>_xlfn.XLOOKUP(PE_2[[#This Row],[STN]],SE_2[STN],SE_2[IdeaEligibility],"w/o disability",0)</f>
        <v>w/o disability</v>
      </c>
      <c r="F370" t="str">
        <f>_xlfn.XLOOKUP(PE_2[[#This Row],[STN]],SE_2[STN],SE_2[Ethnicity],"",0)</f>
        <v/>
      </c>
    </row>
    <row r="371" spans="1:6" ht="13.9">
      <c r="A371" s="5">
        <v>360313011</v>
      </c>
      <c r="B371" s="10">
        <v>39007</v>
      </c>
      <c r="C371" s="19">
        <v>15.123887748117728</v>
      </c>
      <c r="D371" s="3"/>
      <c r="E371" t="str">
        <f>_xlfn.XLOOKUP(PE_2[[#This Row],[STN]],SE_2[STN],SE_2[IdeaEligibility],"w/o disability",0)</f>
        <v>w/o disability</v>
      </c>
      <c r="F371" t="str">
        <f>_xlfn.XLOOKUP(PE_2[[#This Row],[STN]],SE_2[STN],SE_2[Ethnicity],"",0)</f>
        <v/>
      </c>
    </row>
    <row r="372" spans="1:6" ht="13.9">
      <c r="A372" s="3">
        <v>20513016</v>
      </c>
      <c r="B372" s="10">
        <v>39501</v>
      </c>
      <c r="C372" s="19">
        <v>13.770043019163081</v>
      </c>
      <c r="D372" s="3"/>
      <c r="E372" t="str">
        <f>_xlfn.XLOOKUP(PE_2[[#This Row],[STN]],SE_2[STN],SE_2[IdeaEligibility],"w/o disability",0)</f>
        <v>w/o disability</v>
      </c>
      <c r="F372" t="str">
        <f>_xlfn.XLOOKUP(PE_2[[#This Row],[STN]],SE_2[STN],SE_2[Ethnicity],"",0)</f>
        <v/>
      </c>
    </row>
    <row r="373" spans="1:6" ht="13.9">
      <c r="A373" s="3">
        <v>15114002</v>
      </c>
      <c r="B373" s="10">
        <v>39643</v>
      </c>
      <c r="C373" s="19">
        <v>13.381306218224482</v>
      </c>
      <c r="D373" s="3"/>
      <c r="E373" t="str">
        <f>_xlfn.XLOOKUP(PE_2[[#This Row],[STN]],SE_2[STN],SE_2[IdeaEligibility],"w/o disability",0)</f>
        <v>w/o disability</v>
      </c>
      <c r="F373" t="str">
        <f>_xlfn.XLOOKUP(PE_2[[#This Row],[STN]],SE_2[STN],SE_2[Ethnicity],"",0)</f>
        <v/>
      </c>
    </row>
    <row r="374" spans="1:6" ht="13.9">
      <c r="A374" s="3">
        <v>13614023</v>
      </c>
      <c r="B374" s="10">
        <v>39605</v>
      </c>
      <c r="C374" s="19">
        <v>13.485334376222136</v>
      </c>
      <c r="D374" s="3"/>
      <c r="E374" t="str">
        <f>_xlfn.XLOOKUP(PE_2[[#This Row],[STN]],SE_2[STN],SE_2[IdeaEligibility],"w/o disability",0)</f>
        <v>w/o disability</v>
      </c>
      <c r="F374" t="str">
        <f>_xlfn.XLOOKUP(PE_2[[#This Row],[STN]],SE_2[STN],SE_2[Ethnicity],"",0)</f>
        <v/>
      </c>
    </row>
    <row r="375" spans="1:6" ht="13.9">
      <c r="A375" s="3">
        <v>13614025</v>
      </c>
      <c r="B375" s="10">
        <v>39542</v>
      </c>
      <c r="C375" s="19">
        <v>13.657802111849824</v>
      </c>
      <c r="D375" s="3"/>
      <c r="E375" t="str">
        <f>_xlfn.XLOOKUP(PE_2[[#This Row],[STN]],SE_2[STN],SE_2[IdeaEligibility],"w/o disability",0)</f>
        <v>w/o disability</v>
      </c>
      <c r="F375" t="str">
        <f>_xlfn.XLOOKUP(PE_2[[#This Row],[STN]],SE_2[STN],SE_2[Ethnicity],"",0)</f>
        <v/>
      </c>
    </row>
    <row r="376" spans="1:6" ht="13.9">
      <c r="A376" s="3">
        <v>13614006</v>
      </c>
      <c r="B376" s="10">
        <v>39436</v>
      </c>
      <c r="C376" s="19">
        <v>13.94871326884468</v>
      </c>
      <c r="D376" s="3"/>
      <c r="E376" t="str">
        <f>_xlfn.XLOOKUP(PE_2[[#This Row],[STN]],SE_2[STN],SE_2[IdeaEligibility],"w/o disability",0)</f>
        <v>w/o disability</v>
      </c>
      <c r="F376" t="str">
        <f>_xlfn.XLOOKUP(PE_2[[#This Row],[STN]],SE_2[STN],SE_2[Ethnicity],"",0)</f>
        <v/>
      </c>
    </row>
    <row r="377" spans="1:6" ht="13.9">
      <c r="A377" s="3">
        <v>13614008</v>
      </c>
      <c r="B377" s="10">
        <v>39589</v>
      </c>
      <c r="C377" s="19">
        <v>13.529135705905357</v>
      </c>
      <c r="D377" s="3"/>
      <c r="E377" t="str">
        <f>_xlfn.XLOOKUP(PE_2[[#This Row],[STN]],SE_2[STN],SE_2[IdeaEligibility],"w/o disability",0)</f>
        <v>w/o disability</v>
      </c>
      <c r="F377" t="str">
        <f>_xlfn.XLOOKUP(PE_2[[#This Row],[STN]],SE_2[STN],SE_2[Ethnicity],"",0)</f>
        <v/>
      </c>
    </row>
    <row r="378" spans="1:6" ht="13.9">
      <c r="A378" s="3">
        <v>13713040</v>
      </c>
      <c r="B378" s="10">
        <v>39143</v>
      </c>
      <c r="C378" s="19">
        <v>14.750866946523089</v>
      </c>
      <c r="D378" s="3"/>
      <c r="E378" t="str">
        <f>_xlfn.XLOOKUP(PE_2[[#This Row],[STN]],SE_2[STN],SE_2[IdeaEligibility],"w/o disability",0)</f>
        <v>w/o disability</v>
      </c>
      <c r="F378" t="str">
        <f>_xlfn.XLOOKUP(PE_2[[#This Row],[STN]],SE_2[STN],SE_2[Ethnicity],"",0)</f>
        <v/>
      </c>
    </row>
    <row r="379" spans="1:6" ht="13.9">
      <c r="A379" s="3">
        <v>13713048</v>
      </c>
      <c r="B379" s="10">
        <v>39156</v>
      </c>
      <c r="C379" s="19">
        <v>14.715276510312101</v>
      </c>
      <c r="D379" s="3"/>
      <c r="E379" t="str">
        <f>_xlfn.XLOOKUP(PE_2[[#This Row],[STN]],SE_2[STN],SE_2[IdeaEligibility],"w/o disability",0)</f>
        <v>w/o disability</v>
      </c>
      <c r="F379" t="str">
        <f>_xlfn.XLOOKUP(PE_2[[#This Row],[STN]],SE_2[STN],SE_2[Ethnicity],"",0)</f>
        <v/>
      </c>
    </row>
    <row r="380" spans="1:6" ht="13.9">
      <c r="A380" s="3">
        <v>24114104</v>
      </c>
      <c r="B380" s="10">
        <v>39405</v>
      </c>
      <c r="C380" s="19">
        <v>14.033582770578573</v>
      </c>
      <c r="D380" s="3"/>
      <c r="E380" t="str">
        <f>_xlfn.XLOOKUP(PE_2[[#This Row],[STN]],SE_2[STN],SE_2[IdeaEligibility],"w/o disability",0)</f>
        <v>w/o disability</v>
      </c>
      <c r="F380" t="str">
        <f>_xlfn.XLOOKUP(PE_2[[#This Row],[STN]],SE_2[STN],SE_2[Ethnicity],"",0)</f>
        <v/>
      </c>
    </row>
    <row r="381" spans="1:6" ht="13.9">
      <c r="A381" s="3">
        <v>26514006</v>
      </c>
      <c r="B381" s="10">
        <v>39541</v>
      </c>
      <c r="C381" s="19">
        <v>13.660539694955025</v>
      </c>
      <c r="D381" s="3"/>
      <c r="E381" t="str">
        <f>_xlfn.XLOOKUP(PE_2[[#This Row],[STN]],SE_2[STN],SE_2[IdeaEligibility],"w/o disability",0)</f>
        <v>w/o disability</v>
      </c>
      <c r="F381" t="str">
        <f>_xlfn.XLOOKUP(PE_2[[#This Row],[STN]],SE_2[STN],SE_2[Ethnicity],"",0)</f>
        <v/>
      </c>
    </row>
    <row r="382" spans="1:6" ht="13.9">
      <c r="A382" s="3">
        <v>31013137</v>
      </c>
      <c r="B382" s="10">
        <v>39280</v>
      </c>
      <c r="C382" s="19">
        <v>14.375798503376529</v>
      </c>
      <c r="D382" s="3"/>
      <c r="E382" t="str">
        <f>_xlfn.XLOOKUP(PE_2[[#This Row],[STN]],SE_2[STN],SE_2[IdeaEligibility],"w/o disability",0)</f>
        <v>w/o disability</v>
      </c>
      <c r="F382" t="str">
        <f>_xlfn.XLOOKUP(PE_2[[#This Row],[STN]],SE_2[STN],SE_2[Ethnicity],"",0)</f>
        <v/>
      </c>
    </row>
    <row r="383" spans="1:6" ht="13.9">
      <c r="A383" s="3">
        <v>13614007</v>
      </c>
      <c r="B383" s="10">
        <v>39647</v>
      </c>
      <c r="C383" s="19">
        <v>13.370355885803676</v>
      </c>
      <c r="D383" s="3"/>
      <c r="E383" t="str">
        <f>_xlfn.XLOOKUP(PE_2[[#This Row],[STN]],SE_2[STN],SE_2[IdeaEligibility],"w/o disability",0)</f>
        <v>w/o disability</v>
      </c>
      <c r="F383" t="str">
        <f>_xlfn.XLOOKUP(PE_2[[#This Row],[STN]],SE_2[STN],SE_2[Ethnicity],"",0)</f>
        <v/>
      </c>
    </row>
    <row r="384" spans="1:6" ht="13.9">
      <c r="A384" s="3">
        <v>13614015</v>
      </c>
      <c r="B384" s="10">
        <v>39499</v>
      </c>
      <c r="C384" s="19">
        <v>13.775518185373485</v>
      </c>
      <c r="D384" s="3"/>
      <c r="E384" t="str">
        <f>_xlfn.XLOOKUP(PE_2[[#This Row],[STN]],SE_2[STN],SE_2[IdeaEligibility],"w/o disability",0)</f>
        <v>w/o disability</v>
      </c>
      <c r="F384" t="str">
        <f>_xlfn.XLOOKUP(PE_2[[#This Row],[STN]],SE_2[STN],SE_2[Ethnicity],"",0)</f>
        <v/>
      </c>
    </row>
    <row r="385" spans="1:6" ht="13.9">
      <c r="A385" s="3">
        <v>13614017</v>
      </c>
      <c r="B385" s="10">
        <v>39426</v>
      </c>
      <c r="C385" s="19">
        <v>13.976090527468516</v>
      </c>
      <c r="D385" s="3"/>
      <c r="E385" t="str">
        <f>_xlfn.XLOOKUP(PE_2[[#This Row],[STN]],SE_2[STN],SE_2[IdeaEligibility],"w/o disability",0)</f>
        <v>w/o disability</v>
      </c>
      <c r="F385" t="str">
        <f>_xlfn.XLOOKUP(PE_2[[#This Row],[STN]],SE_2[STN],SE_2[Ethnicity],"",0)</f>
        <v/>
      </c>
    </row>
    <row r="386" spans="1:6" ht="13.9">
      <c r="A386" s="3">
        <v>27314012</v>
      </c>
      <c r="B386" s="10">
        <v>39603</v>
      </c>
      <c r="C386" s="19">
        <v>13.490809542432538</v>
      </c>
      <c r="D386" s="3"/>
      <c r="E386" t="str">
        <f>_xlfn.XLOOKUP(PE_2[[#This Row],[STN]],SE_2[STN],SE_2[IdeaEligibility],"w/o disability",0)</f>
        <v>w/o disability</v>
      </c>
      <c r="F386" t="str">
        <f>_xlfn.XLOOKUP(PE_2[[#This Row],[STN]],SE_2[STN],SE_2[Ethnicity],"",0)</f>
        <v/>
      </c>
    </row>
    <row r="387" spans="1:6" ht="13.9">
      <c r="A387" s="3">
        <v>15713538</v>
      </c>
      <c r="B387" s="10">
        <v>39477</v>
      </c>
      <c r="C387" s="19">
        <v>13.835745013687916</v>
      </c>
      <c r="D387" s="3"/>
      <c r="E387" t="str">
        <f>_xlfn.XLOOKUP(PE_2[[#This Row],[STN]],SE_2[STN],SE_2[IdeaEligibility],"w/o disability",0)</f>
        <v>w/o disability</v>
      </c>
      <c r="F387" t="str">
        <f>_xlfn.XLOOKUP(PE_2[[#This Row],[STN]],SE_2[STN],SE_2[Ethnicity],"",0)</f>
        <v/>
      </c>
    </row>
    <row r="388" spans="1:6" ht="13.9">
      <c r="A388" s="3">
        <v>26514009</v>
      </c>
      <c r="B388" s="10">
        <v>39489</v>
      </c>
      <c r="C388" s="19">
        <v>13.802894016425499</v>
      </c>
      <c r="D388" s="3"/>
      <c r="E388" t="str">
        <f>_xlfn.XLOOKUP(PE_2[[#This Row],[STN]],SE_2[STN],SE_2[IdeaEligibility],"w/o disability",0)</f>
        <v>w/o disability</v>
      </c>
      <c r="F388" t="str">
        <f>_xlfn.XLOOKUP(PE_2[[#This Row],[STN]],SE_2[STN],SE_2[Ethnicity],"",0)</f>
        <v/>
      </c>
    </row>
    <row r="389" spans="1:6" ht="13.9">
      <c r="A389" s="3">
        <v>20913037</v>
      </c>
      <c r="B389" s="10">
        <v>39130</v>
      </c>
      <c r="C389" s="19">
        <v>14.786457382734076</v>
      </c>
      <c r="D389" s="3"/>
      <c r="E389" t="str">
        <f>_xlfn.XLOOKUP(PE_2[[#This Row],[STN]],SE_2[STN],SE_2[IdeaEligibility],"w/o disability",0)</f>
        <v>w/o disability</v>
      </c>
      <c r="F389" t="str">
        <f>_xlfn.XLOOKUP(PE_2[[#This Row],[STN]],SE_2[STN],SE_2[Ethnicity],"",0)</f>
        <v/>
      </c>
    </row>
    <row r="390" spans="1:6" ht="13.9">
      <c r="A390" s="3">
        <v>24114119</v>
      </c>
      <c r="B390" s="10">
        <v>39602</v>
      </c>
      <c r="C390" s="19">
        <v>13.49354712553774</v>
      </c>
      <c r="D390" s="3"/>
      <c r="E390" t="str">
        <f>_xlfn.XLOOKUP(PE_2[[#This Row],[STN]],SE_2[STN],SE_2[IdeaEligibility],"w/o disability",0)</f>
        <v>w/o disability</v>
      </c>
      <c r="F390" t="str">
        <f>_xlfn.XLOOKUP(PE_2[[#This Row],[STN]],SE_2[STN],SE_2[Ethnicity],"",0)</f>
        <v/>
      </c>
    </row>
    <row r="391" spans="1:6" ht="13.9">
      <c r="A391" s="3">
        <v>24914018</v>
      </c>
      <c r="B391" s="10">
        <v>39356</v>
      </c>
      <c r="C391" s="19">
        <v>14.167731337835372</v>
      </c>
      <c r="D391" s="3"/>
      <c r="E391" t="str">
        <f>_xlfn.XLOOKUP(PE_2[[#This Row],[STN]],SE_2[STN],SE_2[IdeaEligibility],"w/o disability",0)</f>
        <v>w/o disability</v>
      </c>
      <c r="F391" t="str">
        <f>_xlfn.XLOOKUP(PE_2[[#This Row],[STN]],SE_2[STN],SE_2[Ethnicity],"",0)</f>
        <v/>
      </c>
    </row>
    <row r="392" spans="1:6" ht="13.9">
      <c r="A392" s="3">
        <v>13714035</v>
      </c>
      <c r="B392" s="10">
        <v>39602</v>
      </c>
      <c r="C392" s="19">
        <v>13.49354712553774</v>
      </c>
      <c r="D392" s="3"/>
      <c r="E392" t="str">
        <f>_xlfn.XLOOKUP(PE_2[[#This Row],[STN]],SE_2[STN],SE_2[IdeaEligibility],"w/o disability",0)</f>
        <v>w/o disability</v>
      </c>
      <c r="F392" t="str">
        <f>_xlfn.XLOOKUP(PE_2[[#This Row],[STN]],SE_2[STN],SE_2[Ethnicity],"",0)</f>
        <v/>
      </c>
    </row>
    <row r="393" spans="1:6" ht="13.9">
      <c r="A393" s="3">
        <v>14114001</v>
      </c>
      <c r="B393" s="10">
        <v>39332</v>
      </c>
      <c r="C393" s="19">
        <v>14.23343675853258</v>
      </c>
      <c r="D393" s="3"/>
      <c r="E393" t="str">
        <f>_xlfn.XLOOKUP(PE_2[[#This Row],[STN]],SE_2[STN],SE_2[IdeaEligibility],"w/o disability",0)</f>
        <v>w/o disability</v>
      </c>
      <c r="F393" t="str">
        <f>_xlfn.XLOOKUP(PE_2[[#This Row],[STN]],SE_2[STN],SE_2[Ethnicity],"",0)</f>
        <v/>
      </c>
    </row>
    <row r="394" spans="1:6" ht="13.9">
      <c r="A394" s="3">
        <v>17813055</v>
      </c>
      <c r="B394" s="10">
        <v>39346</v>
      </c>
      <c r="C394" s="19">
        <v>14.195108596459209</v>
      </c>
      <c r="D394" s="3"/>
      <c r="E394" t="str">
        <f>_xlfn.XLOOKUP(PE_2[[#This Row],[STN]],SE_2[STN],SE_2[IdeaEligibility],"w/o disability",0)</f>
        <v>w/o disability</v>
      </c>
      <c r="F394" t="str">
        <f>_xlfn.XLOOKUP(PE_2[[#This Row],[STN]],SE_2[STN],SE_2[Ethnicity],"",0)</f>
        <v/>
      </c>
    </row>
    <row r="395" spans="1:6" ht="13.9">
      <c r="A395" s="3">
        <v>21313009</v>
      </c>
      <c r="B395" s="10">
        <v>39302</v>
      </c>
      <c r="C395" s="19">
        <v>14.31556853440409</v>
      </c>
      <c r="D395" s="3"/>
      <c r="E395" t="str">
        <f>_xlfn.XLOOKUP(PE_2[[#This Row],[STN]],SE_2[STN],SE_2[IdeaEligibility],"w/o disability",0)</f>
        <v>w/o disability</v>
      </c>
      <c r="F395" t="str">
        <f>_xlfn.XLOOKUP(PE_2[[#This Row],[STN]],SE_2[STN],SE_2[Ethnicity],"",0)</f>
        <v/>
      </c>
    </row>
    <row r="396" spans="1:6" ht="13.9">
      <c r="A396" s="3">
        <v>24113042</v>
      </c>
      <c r="B396" s="10">
        <v>39603</v>
      </c>
      <c r="C396" s="19">
        <v>13.490809542432538</v>
      </c>
      <c r="D396" s="3"/>
      <c r="E396" t="str">
        <f>_xlfn.XLOOKUP(PE_2[[#This Row],[STN]],SE_2[STN],SE_2[IdeaEligibility],"w/o disability",0)</f>
        <v>w/o disability</v>
      </c>
      <c r="F396" t="str">
        <f>_xlfn.XLOOKUP(PE_2[[#This Row],[STN]],SE_2[STN],SE_2[Ethnicity],"",0)</f>
        <v/>
      </c>
    </row>
    <row r="397" spans="1:6" ht="13.9">
      <c r="A397" s="3">
        <v>18914016</v>
      </c>
      <c r="B397" s="10">
        <v>39321</v>
      </c>
      <c r="C397" s="19">
        <v>14.2635517430188</v>
      </c>
      <c r="D397" s="3"/>
      <c r="E397" t="str">
        <f>_xlfn.XLOOKUP(PE_2[[#This Row],[STN]],SE_2[STN],SE_2[IdeaEligibility],"w/o disability",0)</f>
        <v>w/o disability</v>
      </c>
      <c r="F397" t="str">
        <f>_xlfn.XLOOKUP(PE_2[[#This Row],[STN]],SE_2[STN],SE_2[Ethnicity],"",0)</f>
        <v/>
      </c>
    </row>
    <row r="398" spans="1:6" ht="13.9">
      <c r="A398" s="3">
        <v>19314031</v>
      </c>
      <c r="B398" s="10">
        <v>39554</v>
      </c>
      <c r="C398" s="19">
        <v>13.624951114587407</v>
      </c>
      <c r="D398" s="3"/>
      <c r="E398" t="str">
        <f>_xlfn.XLOOKUP(PE_2[[#This Row],[STN]],SE_2[STN],SE_2[IdeaEligibility],"w/o disability",0)</f>
        <v>w/o disability</v>
      </c>
      <c r="F398" t="str">
        <f>_xlfn.XLOOKUP(PE_2[[#This Row],[STN]],SE_2[STN],SE_2[Ethnicity],"",0)</f>
        <v/>
      </c>
    </row>
    <row r="399" spans="1:6" ht="13.9">
      <c r="A399" s="3">
        <v>15713535</v>
      </c>
      <c r="B399" s="10">
        <v>39289</v>
      </c>
      <c r="C399" s="19">
        <v>14.351158970615076</v>
      </c>
      <c r="D399" s="3"/>
      <c r="E399" t="str">
        <f>_xlfn.XLOOKUP(PE_2[[#This Row],[STN]],SE_2[STN],SE_2[IdeaEligibility],"w/o disability",0)</f>
        <v>w/o disability</v>
      </c>
      <c r="F399" t="str">
        <f>_xlfn.XLOOKUP(PE_2[[#This Row],[STN]],SE_2[STN],SE_2[Ethnicity],"",0)</f>
        <v/>
      </c>
    </row>
    <row r="400" spans="1:6" ht="13.9">
      <c r="A400" s="3">
        <v>13714034</v>
      </c>
      <c r="B400" s="10">
        <v>39363</v>
      </c>
      <c r="C400" s="19">
        <v>14.148567256798687</v>
      </c>
      <c r="D400" s="3"/>
      <c r="E400" t="str">
        <f>_xlfn.XLOOKUP(PE_2[[#This Row],[STN]],SE_2[STN],SE_2[IdeaEligibility],"w/o disability",0)</f>
        <v>w/o disability</v>
      </c>
      <c r="F400" t="str">
        <f>_xlfn.XLOOKUP(PE_2[[#This Row],[STN]],SE_2[STN],SE_2[Ethnicity],"",0)</f>
        <v/>
      </c>
    </row>
    <row r="401" spans="1:6" ht="13.9">
      <c r="A401" s="3">
        <v>14114002</v>
      </c>
      <c r="B401" s="10">
        <v>39337</v>
      </c>
      <c r="C401" s="19">
        <v>14.219748129220662</v>
      </c>
      <c r="D401" s="3"/>
      <c r="E401" t="str">
        <f>_xlfn.XLOOKUP(PE_2[[#This Row],[STN]],SE_2[STN],SE_2[IdeaEligibility],"w/o disability",0)</f>
        <v>w/o disability</v>
      </c>
      <c r="F401" t="str">
        <f>_xlfn.XLOOKUP(PE_2[[#This Row],[STN]],SE_2[STN],SE_2[Ethnicity],"",0)</f>
        <v/>
      </c>
    </row>
    <row r="402" spans="1:6" ht="13.9">
      <c r="A402" s="3">
        <v>16214033</v>
      </c>
      <c r="B402" s="10">
        <v>39349</v>
      </c>
      <c r="C402" s="19">
        <v>14.186895418872057</v>
      </c>
      <c r="D402" s="3"/>
      <c r="E402" t="str">
        <f>_xlfn.XLOOKUP(PE_2[[#This Row],[STN]],SE_2[STN],SE_2[IdeaEligibility],"w/o disability",0)</f>
        <v>w/o disability</v>
      </c>
      <c r="F402" t="str">
        <f>_xlfn.XLOOKUP(PE_2[[#This Row],[STN]],SE_2[STN],SE_2[Ethnicity],"",0)</f>
        <v/>
      </c>
    </row>
    <row r="403" spans="1:6" ht="13.9">
      <c r="A403" s="3">
        <v>27314034</v>
      </c>
      <c r="B403" s="10">
        <v>39603</v>
      </c>
      <c r="C403" s="19">
        <v>13.490809542432538</v>
      </c>
      <c r="D403" s="3"/>
      <c r="E403" t="str">
        <f>_xlfn.XLOOKUP(PE_2[[#This Row],[STN]],SE_2[STN],SE_2[IdeaEligibility],"w/o disability",0)</f>
        <v>w/o disability</v>
      </c>
      <c r="F403" t="str">
        <f>_xlfn.XLOOKUP(PE_2[[#This Row],[STN]],SE_2[STN],SE_2[Ethnicity],"",0)</f>
        <v/>
      </c>
    </row>
    <row r="404" spans="1:6" ht="13.9">
      <c r="A404" s="3">
        <v>18913042</v>
      </c>
      <c r="B404" s="10">
        <v>39576</v>
      </c>
      <c r="C404" s="19">
        <v>13.564724286272977</v>
      </c>
      <c r="D404" s="3"/>
      <c r="E404" t="str">
        <f>_xlfn.XLOOKUP(PE_2[[#This Row],[STN]],SE_2[STN],SE_2[IdeaEligibility],"w/o disability",0)</f>
        <v>w/o disability</v>
      </c>
      <c r="F404" t="str">
        <f>_xlfn.XLOOKUP(PE_2[[#This Row],[STN]],SE_2[STN],SE_2[Ethnicity],"",0)</f>
        <v/>
      </c>
    </row>
    <row r="405" spans="1:6" ht="13.9">
      <c r="A405" s="3">
        <v>24113063</v>
      </c>
      <c r="B405" s="10">
        <v>39630</v>
      </c>
      <c r="C405" s="19">
        <v>13.4168947985921</v>
      </c>
      <c r="D405" s="3"/>
      <c r="E405" t="str">
        <f>_xlfn.XLOOKUP(PE_2[[#This Row],[STN]],SE_2[STN],SE_2[IdeaEligibility],"w/o disability",0)</f>
        <v>w/o disability</v>
      </c>
      <c r="F405" t="str">
        <f>_xlfn.XLOOKUP(PE_2[[#This Row],[STN]],SE_2[STN],SE_2[Ethnicity],"",0)</f>
        <v/>
      </c>
    </row>
    <row r="406" spans="1:6" ht="13.9">
      <c r="A406" s="3">
        <v>24113056</v>
      </c>
      <c r="B406" s="10">
        <v>39440</v>
      </c>
      <c r="C406" s="19">
        <v>13.937762365395146</v>
      </c>
      <c r="D406" s="3"/>
      <c r="E406" t="str">
        <f>_xlfn.XLOOKUP(PE_2[[#This Row],[STN]],SE_2[STN],SE_2[IdeaEligibility],"w/o disability",0)</f>
        <v>w/o disability</v>
      </c>
      <c r="F406" t="str">
        <f>_xlfn.XLOOKUP(PE_2[[#This Row],[STN]],SE_2[STN],SE_2[Ethnicity],"",0)</f>
        <v/>
      </c>
    </row>
    <row r="407" spans="1:6" ht="13.9">
      <c r="A407" s="3">
        <v>25314003</v>
      </c>
      <c r="B407" s="10">
        <v>39376</v>
      </c>
      <c r="C407" s="19">
        <v>14.112976820587699</v>
      </c>
      <c r="D407" s="3"/>
      <c r="E407" t="str">
        <f>_xlfn.XLOOKUP(PE_2[[#This Row],[STN]],SE_2[STN],SE_2[IdeaEligibility],"w/o disability",0)</f>
        <v>w/o disability</v>
      </c>
      <c r="F407" t="str">
        <f>_xlfn.XLOOKUP(PE_2[[#This Row],[STN]],SE_2[STN],SE_2[Ethnicity],"",0)</f>
        <v/>
      </c>
    </row>
    <row r="408" spans="1:6" ht="13.9">
      <c r="A408" s="3">
        <v>8313167</v>
      </c>
      <c r="B408" s="10">
        <v>39003</v>
      </c>
      <c r="C408" s="19">
        <v>15.134839151266256</v>
      </c>
      <c r="D408" s="3"/>
      <c r="E408" t="str">
        <f>_xlfn.XLOOKUP(PE_2[[#This Row],[STN]],SE_2[STN],SE_2[IdeaEligibility],"w/o disability",0)</f>
        <v>w/o disability</v>
      </c>
      <c r="F408" t="str">
        <f>_xlfn.XLOOKUP(PE_2[[#This Row],[STN]],SE_2[STN],SE_2[Ethnicity],"",0)</f>
        <v/>
      </c>
    </row>
    <row r="409" spans="1:6" ht="13.9">
      <c r="A409" s="3">
        <v>28113034</v>
      </c>
      <c r="B409" s="10">
        <v>39247</v>
      </c>
      <c r="C409" s="19">
        <v>14.466143456835189</v>
      </c>
      <c r="D409" s="3"/>
      <c r="E409" t="str">
        <f>_xlfn.XLOOKUP(PE_2[[#This Row],[STN]],SE_2[STN],SE_2[IdeaEligibility],"w/o disability",0)</f>
        <v>w/o disability</v>
      </c>
      <c r="F409" t="str">
        <f>_xlfn.XLOOKUP(PE_2[[#This Row],[STN]],SE_2[STN],SE_2[Ethnicity],"",0)</f>
        <v/>
      </c>
    </row>
    <row r="410" spans="1:6" ht="13.9">
      <c r="A410" s="3">
        <v>14114006</v>
      </c>
      <c r="B410" s="10">
        <v>39561</v>
      </c>
      <c r="C410" s="19">
        <v>13.605788032850997</v>
      </c>
      <c r="D410" s="3"/>
      <c r="E410" t="str">
        <f>_xlfn.XLOOKUP(PE_2[[#This Row],[STN]],SE_2[STN],SE_2[IdeaEligibility],"w/o disability",0)</f>
        <v>w/o disability</v>
      </c>
      <c r="F410" t="str">
        <f>_xlfn.XLOOKUP(PE_2[[#This Row],[STN]],SE_2[STN],SE_2[Ethnicity],"",0)</f>
        <v/>
      </c>
    </row>
    <row r="411" spans="1:6" ht="13.9">
      <c r="A411" s="3">
        <v>13614011</v>
      </c>
      <c r="B411" s="10">
        <v>39420</v>
      </c>
      <c r="C411" s="19">
        <v>13.992516882642819</v>
      </c>
      <c r="D411" s="3"/>
      <c r="E411" t="str">
        <f>_xlfn.XLOOKUP(PE_2[[#This Row],[STN]],SE_2[STN],SE_2[IdeaEligibility],"w/o disability",0)</f>
        <v>w/o disability</v>
      </c>
      <c r="F411" t="str">
        <f>_xlfn.XLOOKUP(PE_2[[#This Row],[STN]],SE_2[STN],SE_2[Ethnicity],"",0)</f>
        <v/>
      </c>
    </row>
    <row r="412" spans="1:6" ht="13.9">
      <c r="A412" s="3">
        <v>15713505</v>
      </c>
      <c r="B412" s="10">
        <v>39029</v>
      </c>
      <c r="C412" s="19">
        <v>15.063655030800822</v>
      </c>
      <c r="D412" s="3"/>
      <c r="E412" t="str">
        <f>_xlfn.XLOOKUP(PE_2[[#This Row],[STN]],SE_2[STN],SE_2[IdeaEligibility],"w/o disability",0)</f>
        <v>w/o disability</v>
      </c>
      <c r="F412" t="str">
        <f>_xlfn.XLOOKUP(PE_2[[#This Row],[STN]],SE_2[STN],SE_2[Ethnicity],"",0)</f>
        <v/>
      </c>
    </row>
    <row r="413" spans="1:6" ht="13.9">
      <c r="A413" s="3">
        <v>14113502</v>
      </c>
      <c r="B413" s="10">
        <v>39234</v>
      </c>
      <c r="C413" s="19">
        <v>14.501733893046177</v>
      </c>
      <c r="D413" s="3"/>
      <c r="E413" t="str">
        <f>_xlfn.XLOOKUP(PE_2[[#This Row],[STN]],SE_2[STN],SE_2[IdeaEligibility],"w/o disability",0)</f>
        <v>w/o disability</v>
      </c>
      <c r="F413" t="str">
        <f>_xlfn.XLOOKUP(PE_2[[#This Row],[STN]],SE_2[STN],SE_2[Ethnicity],"",0)</f>
        <v/>
      </c>
    </row>
    <row r="414" spans="1:6" ht="13.9">
      <c r="A414" s="3">
        <v>13613503</v>
      </c>
      <c r="B414" s="10">
        <v>38964</v>
      </c>
      <c r="C414" s="19">
        <v>15.241615331964407</v>
      </c>
      <c r="D414" s="3"/>
      <c r="E414" t="str">
        <f>_xlfn.XLOOKUP(PE_2[[#This Row],[STN]],SE_2[STN],SE_2[IdeaEligibility],"w/o disability",0)</f>
        <v>w/o disability</v>
      </c>
      <c r="F414" t="str">
        <f>_xlfn.XLOOKUP(PE_2[[#This Row],[STN]],SE_2[STN],SE_2[Ethnicity],"",0)</f>
        <v/>
      </c>
    </row>
    <row r="415" spans="1:6" ht="13.9">
      <c r="A415" s="3">
        <v>14913035</v>
      </c>
      <c r="B415" s="10">
        <v>39008</v>
      </c>
      <c r="C415" s="19">
        <v>15.121149897330595</v>
      </c>
      <c r="D415" s="3"/>
      <c r="E415" t="str">
        <f>_xlfn.XLOOKUP(PE_2[[#This Row],[STN]],SE_2[STN],SE_2[IdeaEligibility],"w/o disability",0)</f>
        <v>w/o disability</v>
      </c>
      <c r="F415" t="str">
        <f>_xlfn.XLOOKUP(PE_2[[#This Row],[STN]],SE_2[STN],SE_2[Ethnicity],"",0)</f>
        <v/>
      </c>
    </row>
    <row r="416" spans="1:6" ht="13.9">
      <c r="A416" s="3">
        <v>13613060</v>
      </c>
      <c r="B416" s="10">
        <v>39295</v>
      </c>
      <c r="C416" s="19">
        <v>14.334732615440775</v>
      </c>
      <c r="D416" s="3"/>
      <c r="E416" t="str">
        <f>_xlfn.XLOOKUP(PE_2[[#This Row],[STN]],SE_2[STN],SE_2[IdeaEligibility],"w/o disability",0)</f>
        <v>w/o disability</v>
      </c>
      <c r="F416" t="str">
        <f>_xlfn.XLOOKUP(PE_2[[#This Row],[STN]],SE_2[STN],SE_2[Ethnicity],"",0)</f>
        <v/>
      </c>
    </row>
    <row r="417" spans="1:6" ht="13.9">
      <c r="A417" s="3">
        <v>13613062</v>
      </c>
      <c r="B417" s="10">
        <v>39600</v>
      </c>
      <c r="C417" s="19">
        <v>13.499022291748142</v>
      </c>
      <c r="D417" s="3"/>
      <c r="E417" t="str">
        <f>_xlfn.XLOOKUP(PE_2[[#This Row],[STN]],SE_2[STN],SE_2[IdeaEligibility],"w/o disability",0)</f>
        <v>w/o disability</v>
      </c>
      <c r="F417" t="str">
        <f>_xlfn.XLOOKUP(PE_2[[#This Row],[STN]],SE_2[STN],SE_2[Ethnicity],"",0)</f>
        <v/>
      </c>
    </row>
    <row r="418" spans="1:6" ht="13.9">
      <c r="A418" s="3">
        <v>24114092</v>
      </c>
      <c r="B418" s="10">
        <v>39423</v>
      </c>
      <c r="C418" s="19">
        <v>13.984303705055668</v>
      </c>
      <c r="D418" s="3"/>
      <c r="E418" t="str">
        <f>_xlfn.XLOOKUP(PE_2[[#This Row],[STN]],SE_2[STN],SE_2[IdeaEligibility],"w/o disability",0)</f>
        <v>w/o disability</v>
      </c>
      <c r="F418" t="str">
        <f>_xlfn.XLOOKUP(PE_2[[#This Row],[STN]],SE_2[STN],SE_2[Ethnicity],"",0)</f>
        <v/>
      </c>
    </row>
    <row r="419" spans="1:6" ht="13.9">
      <c r="A419" s="3">
        <v>22114016</v>
      </c>
      <c r="B419" s="10">
        <v>39376</v>
      </c>
      <c r="C419" s="19">
        <v>14.112976820587699</v>
      </c>
      <c r="D419" s="3"/>
      <c r="E419" t="str">
        <f>_xlfn.XLOOKUP(PE_2[[#This Row],[STN]],SE_2[STN],SE_2[IdeaEligibility],"w/o disability",0)</f>
        <v>w/o disability</v>
      </c>
      <c r="F419" t="str">
        <f>_xlfn.XLOOKUP(PE_2[[#This Row],[STN]],SE_2[STN],SE_2[Ethnicity],"",0)</f>
        <v/>
      </c>
    </row>
    <row r="420" spans="1:6" ht="13.9">
      <c r="A420" s="3">
        <v>15713510</v>
      </c>
      <c r="B420" s="10">
        <v>39195</v>
      </c>
      <c r="C420" s="19">
        <v>14.608505201679138</v>
      </c>
      <c r="D420" s="3"/>
      <c r="E420" t="str">
        <f>_xlfn.XLOOKUP(PE_2[[#This Row],[STN]],SE_2[STN],SE_2[IdeaEligibility],"w/o disability",0)</f>
        <v>w/o disability</v>
      </c>
      <c r="F420" t="str">
        <f>_xlfn.XLOOKUP(PE_2[[#This Row],[STN]],SE_2[STN],SE_2[Ethnicity],"",0)</f>
        <v/>
      </c>
    </row>
    <row r="421" spans="1:6" ht="13.9">
      <c r="A421" s="3">
        <v>28113050</v>
      </c>
      <c r="B421" s="10">
        <v>39129</v>
      </c>
      <c r="C421" s="19">
        <v>14.789195108596459</v>
      </c>
      <c r="D421" s="3"/>
      <c r="E421" t="str">
        <f>_xlfn.XLOOKUP(PE_2[[#This Row],[STN]],SE_2[STN],SE_2[IdeaEligibility],"w/o disability",0)</f>
        <v>w/o disability</v>
      </c>
      <c r="F421" t="str">
        <f>_xlfn.XLOOKUP(PE_2[[#This Row],[STN]],SE_2[STN],SE_2[Ethnicity],"",0)</f>
        <v/>
      </c>
    </row>
    <row r="422" spans="1:6" ht="13.9">
      <c r="A422" s="3">
        <v>17813526</v>
      </c>
      <c r="B422" s="10">
        <v>39108</v>
      </c>
      <c r="C422" s="19">
        <v>14.846687351706516</v>
      </c>
      <c r="D422" s="3"/>
      <c r="E422" t="str">
        <f>_xlfn.XLOOKUP(PE_2[[#This Row],[STN]],SE_2[STN],SE_2[IdeaEligibility],"w/o disability",0)</f>
        <v>w/o disability</v>
      </c>
      <c r="F422" t="str">
        <f>_xlfn.XLOOKUP(PE_2[[#This Row],[STN]],SE_2[STN],SE_2[Ethnicity],"",0)</f>
        <v/>
      </c>
    </row>
    <row r="423" spans="1:6" ht="13.9">
      <c r="A423" s="3">
        <v>18914013</v>
      </c>
      <c r="B423" s="10">
        <v>39321</v>
      </c>
      <c r="C423" s="19">
        <v>14.2635517430188</v>
      </c>
      <c r="D423" s="3"/>
      <c r="E423" t="str">
        <f>_xlfn.XLOOKUP(PE_2[[#This Row],[STN]],SE_2[STN],SE_2[IdeaEligibility],"w/o disability",0)</f>
        <v>w/o disability</v>
      </c>
      <c r="F423" t="str">
        <f>_xlfn.XLOOKUP(PE_2[[#This Row],[STN]],SE_2[STN],SE_2[Ethnicity],"",0)</f>
        <v/>
      </c>
    </row>
    <row r="424" spans="1:6" ht="13.9">
      <c r="A424" s="3">
        <v>17813003</v>
      </c>
      <c r="B424" s="10">
        <v>39181</v>
      </c>
      <c r="C424" s="19">
        <v>14.64683336375251</v>
      </c>
      <c r="D424" s="3"/>
      <c r="E424" t="str">
        <f>_xlfn.XLOOKUP(PE_2[[#This Row],[STN]],SE_2[STN],SE_2[IdeaEligibility],"w/o disability",0)</f>
        <v>w/o disability</v>
      </c>
      <c r="F424" t="str">
        <f>_xlfn.XLOOKUP(PE_2[[#This Row],[STN]],SE_2[STN],SE_2[Ethnicity],"",0)</f>
        <v/>
      </c>
    </row>
    <row r="425" spans="1:6" ht="13.9">
      <c r="A425" s="3">
        <v>24113035</v>
      </c>
      <c r="B425" s="10">
        <v>39643</v>
      </c>
      <c r="C425" s="19">
        <v>13.381306218224482</v>
      </c>
      <c r="D425" s="3"/>
      <c r="E425" t="str">
        <f>_xlfn.XLOOKUP(PE_2[[#This Row],[STN]],SE_2[STN],SE_2[IdeaEligibility],"w/o disability",0)</f>
        <v>w/o disability</v>
      </c>
      <c r="F425" t="str">
        <f>_xlfn.XLOOKUP(PE_2[[#This Row],[STN]],SE_2[STN],SE_2[Ethnicity],"",0)</f>
        <v/>
      </c>
    </row>
    <row r="426" spans="1:6" ht="13.9">
      <c r="A426" s="3">
        <v>19714025</v>
      </c>
      <c r="B426" s="10">
        <v>39520</v>
      </c>
      <c r="C426" s="19">
        <v>13.718028940164256</v>
      </c>
      <c r="D426" s="3"/>
      <c r="E426" t="str">
        <f>_xlfn.XLOOKUP(PE_2[[#This Row],[STN]],SE_2[STN],SE_2[IdeaEligibility],"w/o disability",0)</f>
        <v>w/o disability</v>
      </c>
      <c r="F426" t="str">
        <f>_xlfn.XLOOKUP(PE_2[[#This Row],[STN]],SE_2[STN],SE_2[Ethnicity],"",0)</f>
        <v/>
      </c>
    </row>
    <row r="427" spans="1:6" ht="13.9">
      <c r="A427" s="3">
        <v>19714039</v>
      </c>
      <c r="B427" s="10">
        <v>39455</v>
      </c>
      <c r="C427" s="19">
        <v>13.895971842002346</v>
      </c>
      <c r="D427" s="3"/>
      <c r="E427" t="str">
        <f>_xlfn.XLOOKUP(PE_2[[#This Row],[STN]],SE_2[STN],SE_2[IdeaEligibility],"w/o disability",0)</f>
        <v>w/o disability</v>
      </c>
      <c r="F427" t="str">
        <f>_xlfn.XLOOKUP(PE_2[[#This Row],[STN]],SE_2[STN],SE_2[Ethnicity],"",0)</f>
        <v/>
      </c>
    </row>
    <row r="428" spans="1:6" ht="13.9">
      <c r="A428" s="3">
        <v>24113020</v>
      </c>
      <c r="B428" s="10">
        <v>39028</v>
      </c>
      <c r="C428" s="19">
        <v>15.066392881587953</v>
      </c>
      <c r="D428" s="3"/>
      <c r="E428" t="str">
        <f>_xlfn.XLOOKUP(PE_2[[#This Row],[STN]],SE_2[STN],SE_2[IdeaEligibility],"w/o disability",0)</f>
        <v>w/o disability</v>
      </c>
      <c r="F428" t="str">
        <f>_xlfn.XLOOKUP(PE_2[[#This Row],[STN]],SE_2[STN],SE_2[Ethnicity],"",0)</f>
        <v/>
      </c>
    </row>
    <row r="429" spans="1:6" ht="13.9">
      <c r="A429" s="3">
        <v>18913039</v>
      </c>
      <c r="B429" s="10">
        <v>39454</v>
      </c>
      <c r="C429" s="19">
        <v>13.898709425107548</v>
      </c>
      <c r="D429" s="3"/>
      <c r="E429" t="str">
        <f>_xlfn.XLOOKUP(PE_2[[#This Row],[STN]],SE_2[STN],SE_2[IdeaEligibility],"w/o disability",0)</f>
        <v>w/o disability</v>
      </c>
      <c r="F429" t="str">
        <f>_xlfn.XLOOKUP(PE_2[[#This Row],[STN]],SE_2[STN],SE_2[Ethnicity],"",0)</f>
        <v/>
      </c>
    </row>
    <row r="430" spans="1:6" ht="13.9">
      <c r="A430" s="3">
        <v>19313502</v>
      </c>
      <c r="B430" s="10">
        <v>38982</v>
      </c>
      <c r="C430" s="19">
        <v>15.19233401779603</v>
      </c>
      <c r="D430" s="3"/>
      <c r="E430" t="str">
        <f>_xlfn.XLOOKUP(PE_2[[#This Row],[STN]],SE_2[STN],SE_2[IdeaEligibility],"w/o disability",0)</f>
        <v>w/o disability</v>
      </c>
      <c r="F430" t="str">
        <f>_xlfn.XLOOKUP(PE_2[[#This Row],[STN]],SE_2[STN],SE_2[Ethnicity],"",0)</f>
        <v/>
      </c>
    </row>
    <row r="431" spans="1:6" ht="13.9">
      <c r="A431" s="3">
        <v>20513505</v>
      </c>
      <c r="B431" s="10">
        <v>39212</v>
      </c>
      <c r="C431" s="19">
        <v>14.561963862018617</v>
      </c>
      <c r="D431" s="3"/>
      <c r="E431" t="str">
        <f>_xlfn.XLOOKUP(PE_2[[#This Row],[STN]],SE_2[STN],SE_2[IdeaEligibility],"w/o disability",0)</f>
        <v>w/o disability</v>
      </c>
      <c r="F431" t="str">
        <f>_xlfn.XLOOKUP(PE_2[[#This Row],[STN]],SE_2[STN],SE_2[Ethnicity],"",0)</f>
        <v/>
      </c>
    </row>
    <row r="432" spans="1:6" ht="13.9">
      <c r="A432" s="3">
        <v>13613022</v>
      </c>
      <c r="B432" s="10">
        <v>39281</v>
      </c>
      <c r="C432" s="19">
        <v>14.373060777514146</v>
      </c>
      <c r="D432" s="3"/>
      <c r="E432" t="str">
        <f>_xlfn.XLOOKUP(PE_2[[#This Row],[STN]],SE_2[STN],SE_2[IdeaEligibility],"w/o disability",0)</f>
        <v>w/o disability</v>
      </c>
      <c r="F432" t="str">
        <f>_xlfn.XLOOKUP(PE_2[[#This Row],[STN]],SE_2[STN],SE_2[Ethnicity],"",0)</f>
        <v/>
      </c>
    </row>
    <row r="433" spans="1:6" ht="13.9">
      <c r="A433" s="3">
        <v>13613024</v>
      </c>
      <c r="B433" s="10">
        <v>39517</v>
      </c>
      <c r="C433" s="19">
        <v>13.72624168947986</v>
      </c>
      <c r="D433" s="3"/>
      <c r="E433" t="str">
        <f>_xlfn.XLOOKUP(PE_2[[#This Row],[STN]],SE_2[STN],SE_2[IdeaEligibility],"w/o disability",0)</f>
        <v>w/o disability</v>
      </c>
      <c r="F433" t="str">
        <f>_xlfn.XLOOKUP(PE_2[[#This Row],[STN]],SE_2[STN],SE_2[Ethnicity],"",0)</f>
        <v/>
      </c>
    </row>
    <row r="434" spans="1:6" ht="13.9">
      <c r="A434" s="3">
        <v>14113011</v>
      </c>
      <c r="B434" s="10">
        <v>39510</v>
      </c>
      <c r="C434" s="19">
        <v>13.74540477121627</v>
      </c>
      <c r="D434" s="3"/>
      <c r="E434" t="str">
        <f>_xlfn.XLOOKUP(PE_2[[#This Row],[STN]],SE_2[STN],SE_2[IdeaEligibility],"w/o disability",0)</f>
        <v>w/o disability</v>
      </c>
      <c r="F434" t="str">
        <f>_xlfn.XLOOKUP(PE_2[[#This Row],[STN]],SE_2[STN],SE_2[Ethnicity],"",0)</f>
        <v/>
      </c>
    </row>
    <row r="435" spans="1:6" ht="13.9">
      <c r="A435" s="3">
        <v>25313004</v>
      </c>
      <c r="B435" s="10">
        <v>38966</v>
      </c>
      <c r="C435" s="19">
        <v>15.236139630390143</v>
      </c>
      <c r="D435" s="3"/>
      <c r="E435" t="str">
        <f>_xlfn.XLOOKUP(PE_2[[#This Row],[STN]],SE_2[STN],SE_2[IdeaEligibility],"w/o disability",0)</f>
        <v>w/o disability</v>
      </c>
      <c r="F435" t="str">
        <f>_xlfn.XLOOKUP(PE_2[[#This Row],[STN]],SE_2[STN],SE_2[Ethnicity],"",0)</f>
        <v/>
      </c>
    </row>
    <row r="436" spans="1:6" ht="13.9">
      <c r="A436" s="3">
        <v>24113096</v>
      </c>
      <c r="B436" s="10">
        <v>39445</v>
      </c>
      <c r="C436" s="19">
        <v>13.924073736083228</v>
      </c>
      <c r="D436" s="3"/>
      <c r="E436" t="str">
        <f>_xlfn.XLOOKUP(PE_2[[#This Row],[STN]],SE_2[STN],SE_2[IdeaEligibility],"w/o disability",0)</f>
        <v>w/o disability</v>
      </c>
      <c r="F436" t="str">
        <f>_xlfn.XLOOKUP(PE_2[[#This Row],[STN]],SE_2[STN],SE_2[Ethnicity],"",0)</f>
        <v/>
      </c>
    </row>
    <row r="437" spans="1:6" ht="13.9">
      <c r="A437" s="3">
        <v>13613506</v>
      </c>
      <c r="B437" s="10">
        <v>39067</v>
      </c>
      <c r="C437" s="19">
        <v>14.959616700889802</v>
      </c>
      <c r="D437" s="3"/>
      <c r="E437" t="str">
        <f>_xlfn.XLOOKUP(PE_2[[#This Row],[STN]],SE_2[STN],SE_2[IdeaEligibility],"w/o disability",0)</f>
        <v>w/o disability</v>
      </c>
      <c r="F437" t="str">
        <f>_xlfn.XLOOKUP(PE_2[[#This Row],[STN]],SE_2[STN],SE_2[Ethnicity],"",0)</f>
        <v/>
      </c>
    </row>
    <row r="438" spans="1:6" ht="13.9">
      <c r="A438" s="3">
        <v>13713017</v>
      </c>
      <c r="B438" s="10">
        <v>39475</v>
      </c>
      <c r="C438" s="19">
        <v>13.841220179898318</v>
      </c>
      <c r="D438" s="3"/>
      <c r="E438" t="str">
        <f>_xlfn.XLOOKUP(PE_2[[#This Row],[STN]],SE_2[STN],SE_2[IdeaEligibility],"w/o disability",0)</f>
        <v>w/o disability</v>
      </c>
      <c r="F438" t="str">
        <f>_xlfn.XLOOKUP(PE_2[[#This Row],[STN]],SE_2[STN],SE_2[Ethnicity],"",0)</f>
        <v/>
      </c>
    </row>
    <row r="439" spans="1:6" ht="13.9">
      <c r="A439" s="3">
        <v>13713025</v>
      </c>
      <c r="B439" s="10">
        <v>39645</v>
      </c>
      <c r="C439" s="19">
        <v>13.37583105201408</v>
      </c>
      <c r="D439" s="3"/>
      <c r="E439" t="str">
        <f>_xlfn.XLOOKUP(PE_2[[#This Row],[STN]],SE_2[STN],SE_2[IdeaEligibility],"w/o disability",0)</f>
        <v>w/o disability</v>
      </c>
      <c r="F439" t="str">
        <f>_xlfn.XLOOKUP(PE_2[[#This Row],[STN]],SE_2[STN],SE_2[Ethnicity],"",0)</f>
        <v/>
      </c>
    </row>
    <row r="440" spans="1:6" ht="13.9">
      <c r="A440" s="3">
        <v>13613015</v>
      </c>
      <c r="B440" s="10">
        <v>39291</v>
      </c>
      <c r="C440" s="19">
        <v>14.34568351889031</v>
      </c>
      <c r="D440" s="3"/>
      <c r="E440" t="str">
        <f>_xlfn.XLOOKUP(PE_2[[#This Row],[STN]],SE_2[STN],SE_2[IdeaEligibility],"w/o disability",0)</f>
        <v>w/o disability</v>
      </c>
      <c r="F440" t="str">
        <f>_xlfn.XLOOKUP(PE_2[[#This Row],[STN]],SE_2[STN],SE_2[Ethnicity],"",0)</f>
        <v/>
      </c>
    </row>
    <row r="441" spans="1:6" ht="13.9">
      <c r="A441" s="3">
        <v>13613017</v>
      </c>
      <c r="B441" s="10">
        <v>39036</v>
      </c>
      <c r="C441" s="19">
        <v>15.044490075290897</v>
      </c>
      <c r="D441" s="3"/>
      <c r="E441" t="str">
        <f>_xlfn.XLOOKUP(PE_2[[#This Row],[STN]],SE_2[STN],SE_2[IdeaEligibility],"w/o disability",0)</f>
        <v>w/o disability</v>
      </c>
      <c r="F441" t="str">
        <f>_xlfn.XLOOKUP(PE_2[[#This Row],[STN]],SE_2[STN],SE_2[Ethnicity],"",0)</f>
        <v/>
      </c>
    </row>
    <row r="442" spans="1:6" ht="13.9">
      <c r="A442" s="3">
        <v>16113028</v>
      </c>
      <c r="B442" s="10">
        <v>39014</v>
      </c>
      <c r="C442" s="19">
        <v>15.104722792607802</v>
      </c>
      <c r="D442" s="3"/>
      <c r="E442" t="str">
        <f>_xlfn.XLOOKUP(PE_2[[#This Row],[STN]],SE_2[STN],SE_2[IdeaEligibility],"w/o disability",0)</f>
        <v>w/o disability</v>
      </c>
      <c r="F442" t="str">
        <f>_xlfn.XLOOKUP(PE_2[[#This Row],[STN]],SE_2[STN],SE_2[Ethnicity],"",0)</f>
        <v/>
      </c>
    </row>
    <row r="443" spans="1:6" ht="13.9">
      <c r="A443" s="3">
        <v>13613023</v>
      </c>
      <c r="B443" s="10">
        <v>39456</v>
      </c>
      <c r="C443" s="19">
        <v>13.893234258897145</v>
      </c>
      <c r="D443" s="3"/>
      <c r="E443" t="str">
        <f>_xlfn.XLOOKUP(PE_2[[#This Row],[STN]],SE_2[STN],SE_2[IdeaEligibility],"w/o disability",0)</f>
        <v>w/o disability</v>
      </c>
      <c r="F443" t="str">
        <f>_xlfn.XLOOKUP(PE_2[[#This Row],[STN]],SE_2[STN],SE_2[Ethnicity],"",0)</f>
        <v/>
      </c>
    </row>
    <row r="444" spans="1:6" ht="13.9">
      <c r="A444" s="3">
        <v>17813058</v>
      </c>
      <c r="B444" s="10">
        <v>39488</v>
      </c>
      <c r="C444" s="19">
        <v>13.805631599530701</v>
      </c>
      <c r="D444" s="3"/>
      <c r="E444" t="str">
        <f>_xlfn.XLOOKUP(PE_2[[#This Row],[STN]],SE_2[STN],SE_2[IdeaEligibility],"w/o disability",0)</f>
        <v>w/o disability</v>
      </c>
      <c r="F444" t="str">
        <f>_xlfn.XLOOKUP(PE_2[[#This Row],[STN]],SE_2[STN],SE_2[Ethnicity],"",0)</f>
        <v/>
      </c>
    </row>
    <row r="445" spans="1:6" ht="13.9">
      <c r="A445" s="3">
        <v>27513054</v>
      </c>
      <c r="B445" s="10">
        <v>39061</v>
      </c>
      <c r="C445" s="19">
        <v>14.976043805612594</v>
      </c>
      <c r="D445" s="3"/>
      <c r="E445" t="str">
        <f>_xlfn.XLOOKUP(PE_2[[#This Row],[STN]],SE_2[STN],SE_2[IdeaEligibility],"w/o disability",0)</f>
        <v>w/o disability</v>
      </c>
      <c r="F445" t="str">
        <f>_xlfn.XLOOKUP(PE_2[[#This Row],[STN]],SE_2[STN],SE_2[Ethnicity],"",0)</f>
        <v/>
      </c>
    </row>
    <row r="446" spans="1:6" ht="13.9">
      <c r="A446" s="3">
        <v>19713011</v>
      </c>
      <c r="B446" s="10">
        <v>39149</v>
      </c>
      <c r="C446" s="19">
        <v>14.734440591348786</v>
      </c>
      <c r="D446" s="3"/>
      <c r="E446" t="str">
        <f>_xlfn.XLOOKUP(PE_2[[#This Row],[STN]],SE_2[STN],SE_2[IdeaEligibility],"w/o disability",0)</f>
        <v>w/o disability</v>
      </c>
      <c r="F446" t="str">
        <f>_xlfn.XLOOKUP(PE_2[[#This Row],[STN]],SE_2[STN],SE_2[Ethnicity],"",0)</f>
        <v/>
      </c>
    </row>
    <row r="447" spans="1:6" ht="13.9">
      <c r="A447" s="3">
        <v>25713002</v>
      </c>
      <c r="B447" s="10">
        <v>39454</v>
      </c>
      <c r="C447" s="19">
        <v>13.898709425107548</v>
      </c>
      <c r="D447" s="3"/>
      <c r="E447" t="str">
        <f>_xlfn.XLOOKUP(PE_2[[#This Row],[STN]],SE_2[STN],SE_2[IdeaEligibility],"w/o disability",0)</f>
        <v>w/o disability</v>
      </c>
      <c r="F447" t="str">
        <f>_xlfn.XLOOKUP(PE_2[[#This Row],[STN]],SE_2[STN],SE_2[Ethnicity],"",0)</f>
        <v/>
      </c>
    </row>
    <row r="448" spans="1:6" ht="13.9">
      <c r="A448" s="3">
        <v>24113094</v>
      </c>
      <c r="B448" s="10">
        <v>39437</v>
      </c>
      <c r="C448" s="19">
        <v>13.945975542982296</v>
      </c>
      <c r="D448" s="3"/>
      <c r="E448" t="str">
        <f>_xlfn.XLOOKUP(PE_2[[#This Row],[STN]],SE_2[STN],SE_2[IdeaEligibility],"w/o disability",0)</f>
        <v>w/o disability</v>
      </c>
      <c r="F448" t="str">
        <f>_xlfn.XLOOKUP(PE_2[[#This Row],[STN]],SE_2[STN],SE_2[Ethnicity],"",0)</f>
        <v/>
      </c>
    </row>
    <row r="449" spans="1:6" ht="13.9">
      <c r="A449" s="3">
        <v>13613507</v>
      </c>
      <c r="B449" s="10">
        <v>39067</v>
      </c>
      <c r="C449" s="19">
        <v>14.959616700889802</v>
      </c>
      <c r="D449" s="3"/>
      <c r="E449" t="str">
        <f>_xlfn.XLOOKUP(PE_2[[#This Row],[STN]],SE_2[STN],SE_2[IdeaEligibility],"w/o disability",0)</f>
        <v>w/o disability</v>
      </c>
      <c r="F449" t="str">
        <f>_xlfn.XLOOKUP(PE_2[[#This Row],[STN]],SE_2[STN],SE_2[Ethnicity],"",0)</f>
        <v/>
      </c>
    </row>
    <row r="450" spans="1:6" ht="13.9">
      <c r="A450" s="3">
        <v>19714010</v>
      </c>
      <c r="B450" s="10">
        <v>39467</v>
      </c>
      <c r="C450" s="19">
        <v>13.86312084473993</v>
      </c>
      <c r="D450" s="3"/>
      <c r="E450" t="str">
        <f>_xlfn.XLOOKUP(PE_2[[#This Row],[STN]],SE_2[STN],SE_2[IdeaEligibility],"w/o disability",0)</f>
        <v>w/o disability</v>
      </c>
      <c r="F450" t="str">
        <f>_xlfn.XLOOKUP(PE_2[[#This Row],[STN]],SE_2[STN],SE_2[Ethnicity],"",0)</f>
        <v/>
      </c>
    </row>
    <row r="451" spans="1:6" ht="13.9">
      <c r="A451" s="3">
        <v>19714037</v>
      </c>
      <c r="B451" s="10">
        <v>39308</v>
      </c>
      <c r="C451" s="19">
        <v>14.299142179229786</v>
      </c>
      <c r="D451" s="3"/>
      <c r="E451" t="str">
        <f>_xlfn.XLOOKUP(PE_2[[#This Row],[STN]],SE_2[STN],SE_2[IdeaEligibility],"w/o disability",0)</f>
        <v>w/o disability</v>
      </c>
      <c r="F451" t="str">
        <f>_xlfn.XLOOKUP(PE_2[[#This Row],[STN]],SE_2[STN],SE_2[Ethnicity],"",0)</f>
        <v/>
      </c>
    </row>
    <row r="452" spans="1:6" ht="13.9">
      <c r="A452" s="3">
        <v>19314029</v>
      </c>
      <c r="B452" s="10">
        <v>39550</v>
      </c>
      <c r="C452" s="19">
        <v>13.635901447008212</v>
      </c>
      <c r="D452" s="3"/>
      <c r="E452" t="str">
        <f>_xlfn.XLOOKUP(PE_2[[#This Row],[STN]],SE_2[STN],SE_2[IdeaEligibility],"w/o disability",0)</f>
        <v>w/o disability</v>
      </c>
      <c r="F452" t="str">
        <f>_xlfn.XLOOKUP(PE_2[[#This Row],[STN]],SE_2[STN],SE_2[Ethnicity],"",0)</f>
        <v/>
      </c>
    </row>
    <row r="453" spans="1:6" ht="13.9">
      <c r="A453" s="3">
        <v>31013075</v>
      </c>
      <c r="B453" s="10">
        <v>39169</v>
      </c>
      <c r="C453" s="19">
        <v>14.679686074101115</v>
      </c>
      <c r="D453" s="3"/>
      <c r="E453" t="str">
        <f>_xlfn.XLOOKUP(PE_2[[#This Row],[STN]],SE_2[STN],SE_2[IdeaEligibility],"w/o disability",0)</f>
        <v>w/o disability</v>
      </c>
      <c r="F453" t="str">
        <f>_xlfn.XLOOKUP(PE_2[[#This Row],[STN]],SE_2[STN],SE_2[Ethnicity],"",0)</f>
        <v/>
      </c>
    </row>
    <row r="454" spans="1:6" ht="13.9">
      <c r="A454" s="3">
        <v>13613053</v>
      </c>
      <c r="B454" s="10">
        <v>39235</v>
      </c>
      <c r="C454" s="19">
        <v>14.498996167183794</v>
      </c>
      <c r="D454" s="3"/>
      <c r="E454" t="str">
        <f>_xlfn.XLOOKUP(PE_2[[#This Row],[STN]],SE_2[STN],SE_2[IdeaEligibility],"w/o disability",0)</f>
        <v>w/o disability</v>
      </c>
      <c r="F454" t="str">
        <f>_xlfn.XLOOKUP(PE_2[[#This Row],[STN]],SE_2[STN],SE_2[Ethnicity],"",0)</f>
        <v/>
      </c>
    </row>
    <row r="455" spans="1:6" ht="13.9">
      <c r="A455" s="3">
        <v>19714016</v>
      </c>
      <c r="B455" s="10">
        <v>39500</v>
      </c>
      <c r="C455" s="19">
        <v>13.772780602268284</v>
      </c>
      <c r="D455" s="3"/>
      <c r="E455" t="str">
        <f>_xlfn.XLOOKUP(PE_2[[#This Row],[STN]],SE_2[STN],SE_2[IdeaEligibility],"w/o disability",0)</f>
        <v>w/o disability</v>
      </c>
      <c r="F455" t="str">
        <f>_xlfn.XLOOKUP(PE_2[[#This Row],[STN]],SE_2[STN],SE_2[Ethnicity],"",0)</f>
        <v/>
      </c>
    </row>
    <row r="456" spans="1:6" ht="13.9">
      <c r="A456" s="3">
        <v>19714033</v>
      </c>
      <c r="B456" s="10">
        <v>39455</v>
      </c>
      <c r="C456" s="19">
        <v>13.895971842002346</v>
      </c>
      <c r="D456" s="3"/>
      <c r="E456" t="str">
        <f>_xlfn.XLOOKUP(PE_2[[#This Row],[STN]],SE_2[STN],SE_2[IdeaEligibility],"w/o disability",0)</f>
        <v>w/o disability</v>
      </c>
      <c r="F456" t="str">
        <f>_xlfn.XLOOKUP(PE_2[[#This Row],[STN]],SE_2[STN],SE_2[Ethnicity],"",0)</f>
        <v/>
      </c>
    </row>
    <row r="457" spans="1:6" ht="13.9">
      <c r="A457" s="3">
        <v>13713044</v>
      </c>
      <c r="B457" s="10">
        <v>39101</v>
      </c>
      <c r="C457" s="19">
        <v>14.865851432743202</v>
      </c>
      <c r="D457" s="3"/>
      <c r="E457" t="str">
        <f>_xlfn.XLOOKUP(PE_2[[#This Row],[STN]],SE_2[STN],SE_2[IdeaEligibility],"w/o disability",0)</f>
        <v>w/o disability</v>
      </c>
      <c r="F457" t="str">
        <f>_xlfn.XLOOKUP(PE_2[[#This Row],[STN]],SE_2[STN],SE_2[Ethnicity],"",0)</f>
        <v/>
      </c>
    </row>
    <row r="458" spans="1:6" ht="13.9">
      <c r="A458" s="3">
        <v>13614057</v>
      </c>
      <c r="B458" s="10">
        <v>39433</v>
      </c>
      <c r="C458" s="19">
        <v>13.956926446431831</v>
      </c>
      <c r="D458" s="3"/>
      <c r="E458" t="str">
        <f>_xlfn.XLOOKUP(PE_2[[#This Row],[STN]],SE_2[STN],SE_2[IdeaEligibility],"w/o disability",0)</f>
        <v>w/o disability</v>
      </c>
      <c r="F458" t="str">
        <f>_xlfn.XLOOKUP(PE_2[[#This Row],[STN]],SE_2[STN],SE_2[Ethnicity],"",0)</f>
        <v/>
      </c>
    </row>
    <row r="459" spans="1:6" ht="13.9">
      <c r="A459" s="3">
        <v>18913056</v>
      </c>
      <c r="B459" s="10">
        <v>39263</v>
      </c>
      <c r="C459" s="19">
        <v>14.422339843037051</v>
      </c>
      <c r="D459" s="3"/>
      <c r="E459" t="str">
        <f>_xlfn.XLOOKUP(PE_2[[#This Row],[STN]],SE_2[STN],SE_2[IdeaEligibility],"w/o disability",0)</f>
        <v>w/o disability</v>
      </c>
      <c r="F459" t="str">
        <f>_xlfn.XLOOKUP(PE_2[[#This Row],[STN]],SE_2[STN],SE_2[Ethnicity],"",0)</f>
        <v/>
      </c>
    </row>
    <row r="460" spans="1:6" ht="13.9">
      <c r="A460" s="3">
        <v>25714001</v>
      </c>
      <c r="B460" s="10">
        <v>39608</v>
      </c>
      <c r="C460" s="19">
        <v>13.477121626906531</v>
      </c>
      <c r="D460" s="3"/>
      <c r="E460" t="str">
        <f>_xlfn.XLOOKUP(PE_2[[#This Row],[STN]],SE_2[STN],SE_2[IdeaEligibility],"w/o disability",0)</f>
        <v>w/o disability</v>
      </c>
      <c r="F460" t="str">
        <f>_xlfn.XLOOKUP(PE_2[[#This Row],[STN]],SE_2[STN],SE_2[Ethnicity],"",0)</f>
        <v/>
      </c>
    </row>
    <row r="461" spans="1:6" ht="13.9">
      <c r="A461" s="3">
        <v>25714004</v>
      </c>
      <c r="B461" s="10">
        <v>39475</v>
      </c>
      <c r="C461" s="19">
        <v>13.841220179898318</v>
      </c>
      <c r="D461" s="3"/>
      <c r="E461" t="str">
        <f>_xlfn.XLOOKUP(PE_2[[#This Row],[STN]],SE_2[STN],SE_2[IdeaEligibility],"w/o disability",0)</f>
        <v>w/o disability</v>
      </c>
      <c r="F461" t="str">
        <f>_xlfn.XLOOKUP(PE_2[[#This Row],[STN]],SE_2[STN],SE_2[Ethnicity],"",0)</f>
        <v/>
      </c>
    </row>
    <row r="462" spans="1:6" ht="13.9">
      <c r="A462" s="3">
        <v>25313008</v>
      </c>
      <c r="B462" s="10">
        <v>39518</v>
      </c>
      <c r="C462" s="19">
        <v>13.723504106374659</v>
      </c>
      <c r="D462" s="3"/>
      <c r="E462" t="str">
        <f>_xlfn.XLOOKUP(PE_2[[#This Row],[STN]],SE_2[STN],SE_2[IdeaEligibility],"w/o disability",0)</f>
        <v>w/o disability</v>
      </c>
      <c r="F462" t="str">
        <f>_xlfn.XLOOKUP(PE_2[[#This Row],[STN]],SE_2[STN],SE_2[Ethnicity],"",0)</f>
        <v/>
      </c>
    </row>
    <row r="463" spans="1:6" ht="13.9">
      <c r="A463" s="3">
        <v>25713013</v>
      </c>
      <c r="B463" s="10">
        <v>39451</v>
      </c>
      <c r="C463" s="19">
        <v>13.906922174423153</v>
      </c>
      <c r="D463" s="3"/>
      <c r="E463" t="str">
        <f>_xlfn.XLOOKUP(PE_2[[#This Row],[STN]],SE_2[STN],SE_2[IdeaEligibility],"w/o disability",0)</f>
        <v>w/o disability</v>
      </c>
      <c r="F463" t="str">
        <f>_xlfn.XLOOKUP(PE_2[[#This Row],[STN]],SE_2[STN],SE_2[Ethnicity],"",0)</f>
        <v/>
      </c>
    </row>
    <row r="464" spans="1:6" ht="13.9">
      <c r="A464" s="3">
        <v>24113081</v>
      </c>
      <c r="B464" s="10">
        <v>39302</v>
      </c>
      <c r="C464" s="19">
        <v>14.31556853440409</v>
      </c>
      <c r="D464" s="3"/>
      <c r="E464" t="str">
        <f>_xlfn.XLOOKUP(PE_2[[#This Row],[STN]],SE_2[STN],SE_2[IdeaEligibility],"w/o disability",0)</f>
        <v>w/o disability</v>
      </c>
      <c r="F464" t="str">
        <f>_xlfn.XLOOKUP(PE_2[[#This Row],[STN]],SE_2[STN],SE_2[Ethnicity],"",0)</f>
        <v/>
      </c>
    </row>
    <row r="465" spans="1:6" ht="13.9">
      <c r="A465" s="3">
        <v>13613004</v>
      </c>
      <c r="B465" s="10">
        <v>38956</v>
      </c>
      <c r="C465" s="19">
        <v>15.263518138261464</v>
      </c>
      <c r="D465" s="3"/>
      <c r="E465" t="str">
        <f>_xlfn.XLOOKUP(PE_2[[#This Row],[STN]],SE_2[STN],SE_2[IdeaEligibility],"w/o disability",0)</f>
        <v>w/o disability</v>
      </c>
      <c r="F465" t="str">
        <f>_xlfn.XLOOKUP(PE_2[[#This Row],[STN]],SE_2[STN],SE_2[Ethnicity],"",0)</f>
        <v/>
      </c>
    </row>
    <row r="466" spans="1:6" ht="13.9">
      <c r="A466" s="3">
        <v>13713011</v>
      </c>
      <c r="B466" s="10">
        <v>39650</v>
      </c>
      <c r="C466" s="19">
        <v>13.362143136488072</v>
      </c>
      <c r="D466" s="3"/>
      <c r="E466" t="str">
        <f>_xlfn.XLOOKUP(PE_2[[#This Row],[STN]],SE_2[STN],SE_2[IdeaEligibility],"w/o disability",0)</f>
        <v>w/o disability</v>
      </c>
      <c r="F466" t="str">
        <f>_xlfn.XLOOKUP(PE_2[[#This Row],[STN]],SE_2[STN],SE_2[Ethnicity],"",0)</f>
        <v/>
      </c>
    </row>
    <row r="467" spans="1:6" ht="13.9">
      <c r="A467" s="3">
        <v>13713018</v>
      </c>
      <c r="B467" s="10">
        <v>39457</v>
      </c>
      <c r="C467" s="19">
        <v>13.890496675791944</v>
      </c>
      <c r="D467" s="3"/>
      <c r="E467" t="str">
        <f>_xlfn.XLOOKUP(PE_2[[#This Row],[STN]],SE_2[STN],SE_2[IdeaEligibility],"w/o disability",0)</f>
        <v>w/o disability</v>
      </c>
      <c r="F467" t="str">
        <f>_xlfn.XLOOKUP(PE_2[[#This Row],[STN]],SE_2[STN],SE_2[Ethnicity],"",0)</f>
        <v/>
      </c>
    </row>
    <row r="468" spans="1:6" ht="13.9">
      <c r="A468" s="3">
        <v>17813520</v>
      </c>
      <c r="B468" s="10">
        <v>39282</v>
      </c>
      <c r="C468" s="19">
        <v>14.370323051651761</v>
      </c>
      <c r="D468" s="3"/>
      <c r="E468" t="str">
        <f>_xlfn.XLOOKUP(PE_2[[#This Row],[STN]],SE_2[STN],SE_2[IdeaEligibility],"w/o disability",0)</f>
        <v>w/o disability</v>
      </c>
      <c r="F468" t="str">
        <f>_xlfn.XLOOKUP(PE_2[[#This Row],[STN]],SE_2[STN],SE_2[Ethnicity],"",0)</f>
        <v/>
      </c>
    </row>
    <row r="469" spans="1:6" ht="13.9">
      <c r="A469" s="3">
        <v>27014039</v>
      </c>
      <c r="B469" s="10">
        <v>39402</v>
      </c>
      <c r="C469" s="19">
        <v>14.041795948165724</v>
      </c>
      <c r="D469" s="3"/>
      <c r="E469" t="str">
        <f>_xlfn.XLOOKUP(PE_2[[#This Row],[STN]],SE_2[STN],SE_2[IdeaEligibility],"w/o disability",0)</f>
        <v>w/o disability</v>
      </c>
      <c r="F469" t="str">
        <f>_xlfn.XLOOKUP(PE_2[[#This Row],[STN]],SE_2[STN],SE_2[Ethnicity],"",0)</f>
        <v/>
      </c>
    </row>
    <row r="470" spans="1:6" ht="13.9">
      <c r="A470" s="3">
        <v>27314022</v>
      </c>
      <c r="B470" s="10">
        <v>39660</v>
      </c>
      <c r="C470" s="19">
        <v>13.334767305436058</v>
      </c>
      <c r="D470" s="3"/>
      <c r="E470" t="str">
        <f>_xlfn.XLOOKUP(PE_2[[#This Row],[STN]],SE_2[STN],SE_2[IdeaEligibility],"w/o disability",0)</f>
        <v>w/o disability</v>
      </c>
      <c r="F470" t="str">
        <f>_xlfn.XLOOKUP(PE_2[[#This Row],[STN]],SE_2[STN],SE_2[Ethnicity],"",0)</f>
        <v/>
      </c>
    </row>
    <row r="471" spans="1:6" ht="13.9">
      <c r="A471" s="3">
        <v>27314038</v>
      </c>
      <c r="B471" s="10">
        <v>39542</v>
      </c>
      <c r="C471" s="19">
        <v>13.657802111849824</v>
      </c>
      <c r="D471" s="3"/>
      <c r="E471" t="str">
        <f>_xlfn.XLOOKUP(PE_2[[#This Row],[STN]],SE_2[STN],SE_2[IdeaEligibility],"w/o disability",0)</f>
        <v>w/o disability</v>
      </c>
      <c r="F471" t="str">
        <f>_xlfn.XLOOKUP(PE_2[[#This Row],[STN]],SE_2[STN],SE_2[Ethnicity],"",0)</f>
        <v/>
      </c>
    </row>
    <row r="472" spans="1:6" ht="13.9">
      <c r="A472" s="3">
        <v>31013138</v>
      </c>
      <c r="B472" s="10">
        <v>38994</v>
      </c>
      <c r="C472" s="19">
        <v>15.159479808350445</v>
      </c>
      <c r="D472" s="3"/>
      <c r="E472" t="str">
        <f>_xlfn.XLOOKUP(PE_2[[#This Row],[STN]],SE_2[STN],SE_2[IdeaEligibility],"w/o disability",0)</f>
        <v>w/o disability</v>
      </c>
      <c r="F472" t="str">
        <f>_xlfn.XLOOKUP(PE_2[[#This Row],[STN]],SE_2[STN],SE_2[Ethnicity],"",0)</f>
        <v/>
      </c>
    </row>
    <row r="473" spans="1:6" ht="13.9">
      <c r="A473" s="3">
        <v>15713051</v>
      </c>
      <c r="B473" s="10">
        <v>39244</v>
      </c>
      <c r="C473" s="19">
        <v>14.474356634422341</v>
      </c>
      <c r="D473" s="3"/>
      <c r="E473" t="str">
        <f>_xlfn.XLOOKUP(PE_2[[#This Row],[STN]],SE_2[STN],SE_2[IdeaEligibility],"w/o disability",0)</f>
        <v>w/o disability</v>
      </c>
      <c r="F473" t="str">
        <f>_xlfn.XLOOKUP(PE_2[[#This Row],[STN]],SE_2[STN],SE_2[Ethnicity],"",0)</f>
        <v/>
      </c>
    </row>
    <row r="474" spans="1:6" ht="13.9">
      <c r="A474" s="3">
        <v>18613509</v>
      </c>
      <c r="B474" s="10">
        <v>39147</v>
      </c>
      <c r="C474" s="19">
        <v>14.739916043073555</v>
      </c>
      <c r="D474" s="3"/>
      <c r="E474" t="str">
        <f>_xlfn.XLOOKUP(PE_2[[#This Row],[STN]],SE_2[STN],SE_2[IdeaEligibility],"w/o disability",0)</f>
        <v>w/o disability</v>
      </c>
      <c r="F474" t="str">
        <f>_xlfn.XLOOKUP(PE_2[[#This Row],[STN]],SE_2[STN],SE_2[Ethnicity],"",0)</f>
        <v/>
      </c>
    </row>
    <row r="475" spans="1:6" ht="13.9">
      <c r="A475" s="3">
        <v>18913508</v>
      </c>
      <c r="B475" s="10">
        <v>39209</v>
      </c>
      <c r="C475" s="19">
        <v>14.570177039605769</v>
      </c>
      <c r="D475" s="3"/>
      <c r="E475" t="str">
        <f>_xlfn.XLOOKUP(PE_2[[#This Row],[STN]],SE_2[STN],SE_2[IdeaEligibility],"w/o disability",0)</f>
        <v>w/o disability</v>
      </c>
      <c r="F475" t="str">
        <f>_xlfn.XLOOKUP(PE_2[[#This Row],[STN]],SE_2[STN],SE_2[Ethnicity],"",0)</f>
        <v/>
      </c>
    </row>
    <row r="476" spans="1:6" ht="13.9">
      <c r="A476" s="3">
        <v>17813525</v>
      </c>
      <c r="B476" s="10">
        <v>39023</v>
      </c>
      <c r="C476" s="19">
        <v>15.080082135523615</v>
      </c>
      <c r="D476" s="3"/>
      <c r="E476" t="str">
        <f>_xlfn.XLOOKUP(PE_2[[#This Row],[STN]],SE_2[STN],SE_2[IdeaEligibility],"w/o disability",0)</f>
        <v>w/o disability</v>
      </c>
      <c r="F476" t="str">
        <f>_xlfn.XLOOKUP(PE_2[[#This Row],[STN]],SE_2[STN],SE_2[Ethnicity],"",0)</f>
        <v/>
      </c>
    </row>
    <row r="477" spans="1:6" ht="13.9">
      <c r="A477" s="3">
        <v>17813527</v>
      </c>
      <c r="B477" s="10">
        <v>39472</v>
      </c>
      <c r="C477" s="19">
        <v>13.849432929213922</v>
      </c>
      <c r="D477" s="3"/>
      <c r="E477" t="str">
        <f>_xlfn.XLOOKUP(PE_2[[#This Row],[STN]],SE_2[STN],SE_2[IdeaEligibility],"w/o disability",0)</f>
        <v>w/o disability</v>
      </c>
      <c r="F477" t="str">
        <f>_xlfn.XLOOKUP(PE_2[[#This Row],[STN]],SE_2[STN],SE_2[Ethnicity],"",0)</f>
        <v/>
      </c>
    </row>
    <row r="478" spans="1:6" ht="13.9">
      <c r="A478" s="3">
        <v>31013120</v>
      </c>
      <c r="B478" s="10">
        <v>39253</v>
      </c>
      <c r="C478" s="19">
        <v>14.449717101660887</v>
      </c>
      <c r="D478" s="3"/>
      <c r="E478" t="str">
        <f>_xlfn.XLOOKUP(PE_2[[#This Row],[STN]],SE_2[STN],SE_2[IdeaEligibility],"w/o disability",0)</f>
        <v>w/o disability</v>
      </c>
      <c r="F478" t="str">
        <f>_xlfn.XLOOKUP(PE_2[[#This Row],[STN]],SE_2[STN],SE_2[Ethnicity],"",0)</f>
        <v/>
      </c>
    </row>
    <row r="479" spans="1:6" ht="13.9">
      <c r="A479" s="3">
        <v>25714002</v>
      </c>
      <c r="B479" s="10">
        <v>39556</v>
      </c>
      <c r="C479" s="19">
        <v>13.619475948377005</v>
      </c>
      <c r="D479" s="3"/>
      <c r="E479" t="str">
        <f>_xlfn.XLOOKUP(PE_2[[#This Row],[STN]],SE_2[STN],SE_2[IdeaEligibility],"w/o disability",0)</f>
        <v>w/o disability</v>
      </c>
      <c r="F479" t="str">
        <f>_xlfn.XLOOKUP(PE_2[[#This Row],[STN]],SE_2[STN],SE_2[Ethnicity],"",0)</f>
        <v/>
      </c>
    </row>
    <row r="480" spans="1:6" ht="13.9">
      <c r="A480" s="3">
        <v>25713003</v>
      </c>
      <c r="B480" s="10">
        <v>39296</v>
      </c>
      <c r="C480" s="19">
        <v>14.331994889578391</v>
      </c>
      <c r="D480" s="3"/>
      <c r="E480" t="str">
        <f>_xlfn.XLOOKUP(PE_2[[#This Row],[STN]],SE_2[STN],SE_2[IdeaEligibility],"w/o disability",0)</f>
        <v>w/o disability</v>
      </c>
      <c r="F480" t="str">
        <f>_xlfn.XLOOKUP(PE_2[[#This Row],[STN]],SE_2[STN],SE_2[Ethnicity],"",0)</f>
        <v/>
      </c>
    </row>
    <row r="481" spans="1:6" ht="13.9">
      <c r="A481" s="3">
        <v>24114101</v>
      </c>
      <c r="B481" s="10">
        <v>39572</v>
      </c>
      <c r="C481" s="19">
        <v>13.575674618693782</v>
      </c>
      <c r="D481" s="3"/>
      <c r="E481" t="str">
        <f>_xlfn.XLOOKUP(PE_2[[#This Row],[STN]],SE_2[STN],SE_2[IdeaEligibility],"w/o disability",0)</f>
        <v>w/o disability</v>
      </c>
      <c r="F481" t="str">
        <f>_xlfn.XLOOKUP(PE_2[[#This Row],[STN]],SE_2[STN],SE_2[Ethnicity],"",0)</f>
        <v/>
      </c>
    </row>
    <row r="482" spans="1:6" ht="13.9">
      <c r="A482" s="3">
        <v>24113062</v>
      </c>
      <c r="B482" s="10">
        <v>39611</v>
      </c>
      <c r="C482" s="19">
        <v>13.468908877590927</v>
      </c>
      <c r="D482" s="3"/>
      <c r="E482" t="str">
        <f>_xlfn.XLOOKUP(PE_2[[#This Row],[STN]],SE_2[STN],SE_2[IdeaEligibility],"w/o disability",0)</f>
        <v>w/o disability</v>
      </c>
      <c r="F482" t="str">
        <f>_xlfn.XLOOKUP(PE_2[[#This Row],[STN]],SE_2[STN],SE_2[Ethnicity],"",0)</f>
        <v/>
      </c>
    </row>
    <row r="483" spans="1:6" ht="13.9">
      <c r="A483" s="3">
        <v>16214046</v>
      </c>
      <c r="B483" s="10">
        <v>39578</v>
      </c>
      <c r="C483" s="19">
        <v>13.559249120062574</v>
      </c>
      <c r="D483" s="3"/>
      <c r="E483" t="str">
        <f>_xlfn.XLOOKUP(PE_2[[#This Row],[STN]],SE_2[STN],SE_2[IdeaEligibility],"w/o disability",0)</f>
        <v>w/o disability</v>
      </c>
      <c r="F483" t="str">
        <f>_xlfn.XLOOKUP(PE_2[[#This Row],[STN]],SE_2[STN],SE_2[Ethnicity],"",0)</f>
        <v/>
      </c>
    </row>
    <row r="484" spans="1:6" ht="13.9">
      <c r="A484" s="3">
        <v>18614034</v>
      </c>
      <c r="B484" s="10">
        <v>39431</v>
      </c>
      <c r="C484" s="19">
        <v>13.962401898156598</v>
      </c>
      <c r="D484" s="3"/>
      <c r="E484" t="str">
        <f>_xlfn.XLOOKUP(PE_2[[#This Row],[STN]],SE_2[STN],SE_2[IdeaEligibility],"w/o disability",0)</f>
        <v>w/o disability</v>
      </c>
      <c r="F484" t="str">
        <f>_xlfn.XLOOKUP(PE_2[[#This Row],[STN]],SE_2[STN],SE_2[Ethnicity],"",0)</f>
        <v/>
      </c>
    </row>
    <row r="485" spans="1:6" ht="13.9">
      <c r="A485" s="3">
        <v>18913021</v>
      </c>
      <c r="B485" s="10">
        <v>39140</v>
      </c>
      <c r="C485" s="19">
        <v>14.759080124110239</v>
      </c>
      <c r="D485" s="3"/>
      <c r="E485" t="str">
        <f>_xlfn.XLOOKUP(PE_2[[#This Row],[STN]],SE_2[STN],SE_2[IdeaEligibility],"w/o disability",0)</f>
        <v>w/o disability</v>
      </c>
      <c r="F485" t="str">
        <f>_xlfn.XLOOKUP(PE_2[[#This Row],[STN]],SE_2[STN],SE_2[Ethnicity],"",0)</f>
        <v/>
      </c>
    </row>
    <row r="486" spans="1:6" ht="13.9">
      <c r="A486" s="3">
        <v>19713043</v>
      </c>
      <c r="B486" s="10">
        <v>39196</v>
      </c>
      <c r="C486" s="19">
        <v>14.605767475816755</v>
      </c>
      <c r="D486" s="3"/>
      <c r="E486" t="str">
        <f>_xlfn.XLOOKUP(PE_2[[#This Row],[STN]],SE_2[STN],SE_2[IdeaEligibility],"w/o disability",0)</f>
        <v>w/o disability</v>
      </c>
      <c r="F486" t="str">
        <f>_xlfn.XLOOKUP(PE_2[[#This Row],[STN]],SE_2[STN],SE_2[Ethnicity],"",0)</f>
        <v/>
      </c>
    </row>
    <row r="487" spans="1:6" ht="13.9">
      <c r="A487" s="3">
        <v>23913027</v>
      </c>
      <c r="B487" s="10">
        <v>39245</v>
      </c>
      <c r="C487" s="19">
        <v>14.471618908559957</v>
      </c>
      <c r="D487" s="3"/>
      <c r="E487" t="str">
        <f>_xlfn.XLOOKUP(PE_2[[#This Row],[STN]],SE_2[STN],SE_2[IdeaEligibility],"w/o disability",0)</f>
        <v>w/o disability</v>
      </c>
      <c r="F487" t="str">
        <f>_xlfn.XLOOKUP(PE_2[[#This Row],[STN]],SE_2[STN],SE_2[Ethnicity],"",0)</f>
        <v/>
      </c>
    </row>
    <row r="488" spans="1:6" ht="13.9">
      <c r="A488" s="3">
        <v>24113043</v>
      </c>
      <c r="B488" s="10">
        <v>39353</v>
      </c>
      <c r="C488" s="19">
        <v>14.175944515422524</v>
      </c>
      <c r="D488" s="3"/>
      <c r="E488" t="str">
        <f>_xlfn.XLOOKUP(PE_2[[#This Row],[STN]],SE_2[STN],SE_2[IdeaEligibility],"w/o disability",0)</f>
        <v>w/o disability</v>
      </c>
      <c r="F488" t="str">
        <f>_xlfn.XLOOKUP(PE_2[[#This Row],[STN]],SE_2[STN],SE_2[Ethnicity],"",0)</f>
        <v/>
      </c>
    </row>
    <row r="489" spans="1:6" ht="13.9">
      <c r="A489" s="3">
        <v>19313016</v>
      </c>
      <c r="B489" s="10">
        <v>39085</v>
      </c>
      <c r="C489" s="19">
        <v>14.90965504654134</v>
      </c>
      <c r="D489" s="3"/>
      <c r="E489" t="str">
        <f>_xlfn.XLOOKUP(PE_2[[#This Row],[STN]],SE_2[STN],SE_2[IdeaEligibility],"w/o disability",0)</f>
        <v>w/o disability</v>
      </c>
      <c r="F489" t="str">
        <f>_xlfn.XLOOKUP(PE_2[[#This Row],[STN]],SE_2[STN],SE_2[Ethnicity],"",0)</f>
        <v/>
      </c>
    </row>
    <row r="490" spans="1:6" ht="13.9">
      <c r="A490" s="3">
        <v>24113049</v>
      </c>
      <c r="B490" s="10">
        <v>39317</v>
      </c>
      <c r="C490" s="19">
        <v>14.274502646468335</v>
      </c>
      <c r="D490" s="3"/>
      <c r="E490" t="str">
        <f>_xlfn.XLOOKUP(PE_2[[#This Row],[STN]],SE_2[STN],SE_2[IdeaEligibility],"w/o disability",0)</f>
        <v>w/o disability</v>
      </c>
      <c r="F490" t="str">
        <f>_xlfn.XLOOKUP(PE_2[[#This Row],[STN]],SE_2[STN],SE_2[Ethnicity],"",0)</f>
        <v/>
      </c>
    </row>
    <row r="491" spans="1:6" ht="13.9">
      <c r="A491" s="3" t="s">
        <v>636</v>
      </c>
      <c r="B491" s="10">
        <v>39162</v>
      </c>
      <c r="C491" s="19">
        <v>14.6988501551378</v>
      </c>
      <c r="D491" s="3"/>
      <c r="E491" t="str">
        <f>_xlfn.XLOOKUP(PE_2[[#This Row],[STN]],SE_2[STN],SE_2[IdeaEligibility],"w/o disability",0)</f>
        <v>w/o disability</v>
      </c>
      <c r="F491" t="str">
        <f>_xlfn.XLOOKUP(PE_2[[#This Row],[STN]],SE_2[STN],SE_2[Ethnicity],"",0)</f>
        <v/>
      </c>
    </row>
    <row r="492" spans="1:6" ht="13.9">
      <c r="A492" s="3">
        <v>17813012</v>
      </c>
      <c r="B492" s="10">
        <v>39074</v>
      </c>
      <c r="C492" s="19">
        <v>14.940451745379876</v>
      </c>
      <c r="D492" s="3"/>
      <c r="E492" t="str">
        <f>_xlfn.XLOOKUP(PE_2[[#This Row],[STN]],SE_2[STN],SE_2[IdeaEligibility],"w/o disability",0)</f>
        <v>w/o disability</v>
      </c>
      <c r="F492" t="str">
        <f>_xlfn.XLOOKUP(PE_2[[#This Row],[STN]],SE_2[STN],SE_2[Ethnicity],"",0)</f>
        <v/>
      </c>
    </row>
    <row r="493" spans="1:6" ht="13.9">
      <c r="A493" s="3">
        <v>18913028</v>
      </c>
      <c r="B493" s="10">
        <v>38999</v>
      </c>
      <c r="C493" s="19">
        <v>15.145790554414784</v>
      </c>
      <c r="D493" s="3"/>
      <c r="E493" t="str">
        <f>_xlfn.XLOOKUP(PE_2[[#This Row],[STN]],SE_2[STN],SE_2[IdeaEligibility],"w/o disability",0)</f>
        <v>w/o disability</v>
      </c>
      <c r="F493" t="str">
        <f>_xlfn.XLOOKUP(PE_2[[#This Row],[STN]],SE_2[STN],SE_2[Ethnicity],"",0)</f>
        <v/>
      </c>
    </row>
    <row r="494" spans="1:6" ht="13.9">
      <c r="A494" s="3">
        <v>14113016</v>
      </c>
      <c r="B494" s="10">
        <v>39500</v>
      </c>
      <c r="C494" s="19">
        <v>13.772780602268284</v>
      </c>
      <c r="D494" s="3"/>
      <c r="E494" t="str">
        <f>_xlfn.XLOOKUP(PE_2[[#This Row],[STN]],SE_2[STN],SE_2[IdeaEligibility],"w/o disability",0)</f>
        <v>w/o disability</v>
      </c>
      <c r="F494" t="str">
        <f>_xlfn.XLOOKUP(PE_2[[#This Row],[STN]],SE_2[STN],SE_2[Ethnicity],"",0)</f>
        <v/>
      </c>
    </row>
    <row r="495" spans="1:6" ht="13.9">
      <c r="A495" s="3">
        <v>27313033</v>
      </c>
      <c r="B495" s="10">
        <v>39248</v>
      </c>
      <c r="C495" s="19">
        <v>14.463405730972806</v>
      </c>
      <c r="D495" s="3"/>
      <c r="E495" t="str">
        <f>_xlfn.XLOOKUP(PE_2[[#This Row],[STN]],SE_2[STN],SE_2[IdeaEligibility],"w/o disability",0)</f>
        <v>w/o disability</v>
      </c>
      <c r="F495" t="str">
        <f>_xlfn.XLOOKUP(PE_2[[#This Row],[STN]],SE_2[STN],SE_2[Ethnicity],"",0)</f>
        <v/>
      </c>
    </row>
    <row r="496" spans="1:6" ht="13.9">
      <c r="A496" s="3">
        <v>17813019</v>
      </c>
      <c r="B496" s="10">
        <v>39278</v>
      </c>
      <c r="C496" s="19">
        <v>14.381273955101296</v>
      </c>
      <c r="D496" s="3"/>
      <c r="E496" t="str">
        <f>_xlfn.XLOOKUP(PE_2[[#This Row],[STN]],SE_2[STN],SE_2[IdeaEligibility],"w/o disability",0)</f>
        <v>w/o disability</v>
      </c>
      <c r="F496" t="str">
        <f>_xlfn.XLOOKUP(PE_2[[#This Row],[STN]],SE_2[STN],SE_2[Ethnicity],"",0)</f>
        <v/>
      </c>
    </row>
    <row r="497" spans="1:6" ht="13.9">
      <c r="A497" s="3">
        <v>18611552</v>
      </c>
      <c r="B497" s="10">
        <v>38571</v>
      </c>
      <c r="C497" s="19">
        <v>16.318247704944437</v>
      </c>
      <c r="D497" s="3"/>
      <c r="E497" t="str">
        <f>_xlfn.XLOOKUP(PE_2[[#This Row],[STN]],SE_2[STN],SE_2[IdeaEligibility],"w/o disability",0)</f>
        <v>w/o disability</v>
      </c>
      <c r="F497" t="str">
        <f>_xlfn.XLOOKUP(PE_2[[#This Row],[STN]],SE_2[STN],SE_2[Ethnicity],"",0)</f>
        <v/>
      </c>
    </row>
    <row r="498" spans="1:6" ht="13.9">
      <c r="A498" s="3" t="s">
        <v>637</v>
      </c>
      <c r="B498" s="10">
        <v>39415</v>
      </c>
      <c r="C498" s="19">
        <v>14.006205511954738</v>
      </c>
      <c r="D498" s="3"/>
      <c r="E498" t="str">
        <f>_xlfn.XLOOKUP(PE_2[[#This Row],[STN]],SE_2[STN],SE_2[IdeaEligibility],"w/o disability",0)</f>
        <v>w/o disability</v>
      </c>
      <c r="F498" t="str">
        <f>_xlfn.XLOOKUP(PE_2[[#This Row],[STN]],SE_2[STN],SE_2[Ethnicity],"",0)</f>
        <v/>
      </c>
    </row>
    <row r="499" spans="1:6" ht="13.9">
      <c r="A499" s="3">
        <v>17813026</v>
      </c>
      <c r="B499" s="10">
        <v>38952</v>
      </c>
      <c r="C499" s="19">
        <v>15.274469541409994</v>
      </c>
      <c r="D499" s="3"/>
      <c r="E499" t="str">
        <f>_xlfn.XLOOKUP(PE_2[[#This Row],[STN]],SE_2[STN],SE_2[IdeaEligibility],"w/o disability",0)</f>
        <v>w/o disability</v>
      </c>
      <c r="F499" t="str">
        <f>_xlfn.XLOOKUP(PE_2[[#This Row],[STN]],SE_2[STN],SE_2[Ethnicity],"",0)</f>
        <v/>
      </c>
    </row>
    <row r="500" spans="1:6" ht="13.9">
      <c r="A500" s="3">
        <v>17813030</v>
      </c>
      <c r="B500" s="10">
        <v>39008</v>
      </c>
      <c r="C500" s="19">
        <v>15.121149897330595</v>
      </c>
      <c r="D500" s="3"/>
      <c r="E500" t="str">
        <f>_xlfn.XLOOKUP(PE_2[[#This Row],[STN]],SE_2[STN],SE_2[IdeaEligibility],"w/o disability",0)</f>
        <v>w/o disability</v>
      </c>
      <c r="F500" t="str">
        <f>_xlfn.XLOOKUP(PE_2[[#This Row],[STN]],SE_2[STN],SE_2[Ethnicity],"",0)</f>
        <v/>
      </c>
    </row>
    <row r="501" spans="1:6" ht="13.9">
      <c r="A501" s="3">
        <v>14113020</v>
      </c>
      <c r="B501" s="10">
        <v>39590</v>
      </c>
      <c r="C501" s="19">
        <v>13.526398122800156</v>
      </c>
      <c r="D501" s="3"/>
      <c r="E501" t="str">
        <f>_xlfn.XLOOKUP(PE_2[[#This Row],[STN]],SE_2[STN],SE_2[IdeaEligibility],"w/o disability",0)</f>
        <v>w/o disability</v>
      </c>
      <c r="F501" t="str">
        <f>_xlfn.XLOOKUP(PE_2[[#This Row],[STN]],SE_2[STN],SE_2[Ethnicity],"",0)</f>
        <v/>
      </c>
    </row>
    <row r="502" spans="1:6" ht="13.9">
      <c r="A502" s="3">
        <v>17813039</v>
      </c>
      <c r="B502" s="10">
        <v>39413</v>
      </c>
      <c r="C502" s="19">
        <v>14.011680963679504</v>
      </c>
      <c r="D502" s="3"/>
      <c r="E502" t="str">
        <f>_xlfn.XLOOKUP(PE_2[[#This Row],[STN]],SE_2[STN],SE_2[IdeaEligibility],"w/o disability",0)</f>
        <v>w/o disability</v>
      </c>
      <c r="F502" t="str">
        <f>_xlfn.XLOOKUP(PE_2[[#This Row],[STN]],SE_2[STN],SE_2[Ethnicity],"",0)</f>
        <v/>
      </c>
    </row>
    <row r="503" spans="1:6" ht="13.9">
      <c r="A503" s="3">
        <v>22114008</v>
      </c>
      <c r="B503" s="10">
        <v>39664</v>
      </c>
      <c r="C503" s="19">
        <v>13.323816973015253</v>
      </c>
      <c r="D503" s="3"/>
      <c r="E503" t="str">
        <f>_xlfn.XLOOKUP(PE_2[[#This Row],[STN]],SE_2[STN],SE_2[IdeaEligibility],"w/o disability",0)</f>
        <v>w/o disability</v>
      </c>
      <c r="F503" t="str">
        <f>_xlfn.XLOOKUP(PE_2[[#This Row],[STN]],SE_2[STN],SE_2[Ethnicity],"",0)</f>
        <v/>
      </c>
    </row>
    <row r="504" spans="1:6" ht="13.9">
      <c r="A504" s="5">
        <v>276314006</v>
      </c>
      <c r="B504" s="10">
        <v>39458</v>
      </c>
      <c r="C504" s="19">
        <v>13.887759092686743</v>
      </c>
      <c r="D504" s="3"/>
      <c r="E504" t="str">
        <f>_xlfn.XLOOKUP(PE_2[[#This Row],[STN]],SE_2[STN],SE_2[IdeaEligibility],"w/o disability",0)</f>
        <v>w/o disability</v>
      </c>
      <c r="F504" t="str">
        <f>_xlfn.XLOOKUP(PE_2[[#This Row],[STN]],SE_2[STN],SE_2[Ethnicity],"",0)</f>
        <v/>
      </c>
    </row>
    <row r="505" spans="1:6" ht="13.9">
      <c r="A505" s="3">
        <v>27313036</v>
      </c>
      <c r="B505" s="10">
        <v>39128</v>
      </c>
      <c r="C505" s="19">
        <v>14.791932834458844</v>
      </c>
      <c r="D505" s="3"/>
      <c r="E505" t="str">
        <f>_xlfn.XLOOKUP(PE_2[[#This Row],[STN]],SE_2[STN],SE_2[IdeaEligibility],"w/o disability",0)</f>
        <v>w/o disability</v>
      </c>
      <c r="F505" t="str">
        <f>_xlfn.XLOOKUP(PE_2[[#This Row],[STN]],SE_2[STN],SE_2[Ethnicity],"",0)</f>
        <v/>
      </c>
    </row>
    <row r="506" spans="1:6" ht="13.9">
      <c r="A506" s="3">
        <v>27313041</v>
      </c>
      <c r="B506" s="10">
        <v>39285</v>
      </c>
      <c r="C506" s="19">
        <v>14.362109874064611</v>
      </c>
      <c r="D506" s="3"/>
      <c r="E506" t="str">
        <f>_xlfn.XLOOKUP(PE_2[[#This Row],[STN]],SE_2[STN],SE_2[IdeaEligibility],"w/o disability",0)</f>
        <v>w/o disability</v>
      </c>
      <c r="F506" t="str">
        <f>_xlfn.XLOOKUP(PE_2[[#This Row],[STN]],SE_2[STN],SE_2[Ethnicity],"",0)</f>
        <v/>
      </c>
    </row>
    <row r="507" spans="1:6" ht="13.9">
      <c r="A507" s="3">
        <v>8313173</v>
      </c>
      <c r="B507" s="10">
        <v>39177</v>
      </c>
      <c r="C507" s="19">
        <v>14.657784267202045</v>
      </c>
      <c r="D507" s="3"/>
      <c r="E507" t="str">
        <f>_xlfn.XLOOKUP(PE_2[[#This Row],[STN]],SE_2[STN],SE_2[IdeaEligibility],"w/o disability",0)</f>
        <v>w/o disability</v>
      </c>
      <c r="F507" t="str">
        <f>_xlfn.XLOOKUP(PE_2[[#This Row],[STN]],SE_2[STN],SE_2[Ethnicity],"",0)</f>
        <v/>
      </c>
    </row>
    <row r="508" spans="1:6" ht="13.9">
      <c r="A508" s="3">
        <v>13613047</v>
      </c>
      <c r="B508" s="10">
        <v>38932</v>
      </c>
      <c r="C508" s="19">
        <v>15.329226557152635</v>
      </c>
      <c r="D508" s="3"/>
      <c r="E508" t="str">
        <f>_xlfn.XLOOKUP(PE_2[[#This Row],[STN]],SE_2[STN],SE_2[IdeaEligibility],"w/o disability",0)</f>
        <v>w/o disability</v>
      </c>
      <c r="F508" t="str">
        <f>_xlfn.XLOOKUP(PE_2[[#This Row],[STN]],SE_2[STN],SE_2[Ethnicity],"",0)</f>
        <v/>
      </c>
    </row>
    <row r="509" spans="1:6" ht="13.9">
      <c r="A509" s="3">
        <v>31013095</v>
      </c>
      <c r="B509" s="10">
        <v>39279</v>
      </c>
      <c r="C509" s="19">
        <v>14.378536229238913</v>
      </c>
      <c r="D509" s="3"/>
      <c r="E509" t="str">
        <f>_xlfn.XLOOKUP(PE_2[[#This Row],[STN]],SE_2[STN],SE_2[IdeaEligibility],"w/o disability",0)</f>
        <v>w/o disability</v>
      </c>
      <c r="F509" t="str">
        <f>_xlfn.XLOOKUP(PE_2[[#This Row],[STN]],SE_2[STN],SE_2[Ethnicity],"",0)</f>
        <v/>
      </c>
    </row>
    <row r="510" spans="1:6" ht="13.9">
      <c r="A510" s="5">
        <v>198112028</v>
      </c>
      <c r="B510" s="10">
        <v>38765</v>
      </c>
      <c r="C510" s="19">
        <v>15.786447638603697</v>
      </c>
      <c r="D510" s="3"/>
      <c r="E510" t="str">
        <f>_xlfn.XLOOKUP(PE_2[[#This Row],[STN]],SE_2[STN],SE_2[IdeaEligibility],"w/o disability",0)</f>
        <v>w/o disability</v>
      </c>
      <c r="F510" t="str">
        <f>_xlfn.XLOOKUP(PE_2[[#This Row],[STN]],SE_2[STN],SE_2[Ethnicity],"",0)</f>
        <v/>
      </c>
    </row>
    <row r="511" spans="1:6" ht="13.9">
      <c r="A511" s="3">
        <v>14111581</v>
      </c>
      <c r="B511" s="10">
        <v>38954</v>
      </c>
      <c r="C511" s="19">
        <v>15.268993839835728</v>
      </c>
      <c r="D511" s="3"/>
      <c r="E511" t="str">
        <f>_xlfn.XLOOKUP(PE_2[[#This Row],[STN]],SE_2[STN],SE_2[IdeaEligibility],"w/o disability",0)</f>
        <v>w/o disability</v>
      </c>
      <c r="F511" t="str">
        <f>_xlfn.XLOOKUP(PE_2[[#This Row],[STN]],SE_2[STN],SE_2[Ethnicity],"",0)</f>
        <v/>
      </c>
    </row>
    <row r="512" spans="1:6" ht="13.9">
      <c r="A512" s="5">
        <v>153912055</v>
      </c>
      <c r="B512" s="10">
        <v>38987</v>
      </c>
      <c r="C512" s="19">
        <v>15.178644763860369</v>
      </c>
      <c r="D512" s="3"/>
      <c r="E512" t="str">
        <f>_xlfn.XLOOKUP(PE_2[[#This Row],[STN]],SE_2[STN],SE_2[IdeaEligibility],"w/o disability",0)</f>
        <v>w/o disability</v>
      </c>
      <c r="F512" t="str">
        <f>_xlfn.XLOOKUP(PE_2[[#This Row],[STN]],SE_2[STN],SE_2[Ethnicity],"",0)</f>
        <v/>
      </c>
    </row>
    <row r="513" spans="1:6" ht="13.9">
      <c r="A513" s="3">
        <v>31013090</v>
      </c>
      <c r="B513" s="10">
        <v>39098</v>
      </c>
      <c r="C513" s="19">
        <v>14.874064610330352</v>
      </c>
      <c r="D513" s="3"/>
      <c r="E513" t="str">
        <f>_xlfn.XLOOKUP(PE_2[[#This Row],[STN]],SE_2[STN],SE_2[IdeaEligibility],"w/o disability",0)</f>
        <v>w/o disability</v>
      </c>
      <c r="F513" t="str">
        <f>_xlfn.XLOOKUP(PE_2[[#This Row],[STN]],SE_2[STN],SE_2[Ethnicity],"",0)</f>
        <v/>
      </c>
    </row>
    <row r="514" spans="1:6" ht="13.9">
      <c r="A514" s="3">
        <v>13713502</v>
      </c>
      <c r="B514" s="10">
        <v>39139</v>
      </c>
      <c r="C514" s="19">
        <v>14.761817849972623</v>
      </c>
      <c r="D514" s="3"/>
      <c r="E514" t="str">
        <f>_xlfn.XLOOKUP(PE_2[[#This Row],[STN]],SE_2[STN],SE_2[IdeaEligibility],"w/o disability",0)</f>
        <v>w/o disability</v>
      </c>
      <c r="F514" t="str">
        <f>_xlfn.XLOOKUP(PE_2[[#This Row],[STN]],SE_2[STN],SE_2[Ethnicity],"",0)</f>
        <v/>
      </c>
    </row>
    <row r="515" spans="1:6" ht="13.9">
      <c r="A515" s="3">
        <v>13712078</v>
      </c>
      <c r="B515" s="10">
        <v>39293</v>
      </c>
      <c r="C515" s="19">
        <v>14.340208067165541</v>
      </c>
      <c r="D515" s="3"/>
      <c r="E515" t="str">
        <f>_xlfn.XLOOKUP(PE_2[[#This Row],[STN]],SE_2[STN],SE_2[IdeaEligibility],"w/o disability",0)</f>
        <v>w/o disability</v>
      </c>
      <c r="F515" t="str">
        <f>_xlfn.XLOOKUP(PE_2[[#This Row],[STN]],SE_2[STN],SE_2[Ethnicity],"",0)</f>
        <v/>
      </c>
    </row>
    <row r="516" spans="1:6" ht="13.9">
      <c r="A516" s="3">
        <v>17813017</v>
      </c>
      <c r="B516" s="10">
        <v>39223</v>
      </c>
      <c r="C516" s="19">
        <v>14.531848877532397</v>
      </c>
      <c r="D516" s="3"/>
      <c r="E516" t="str">
        <f>_xlfn.XLOOKUP(PE_2[[#This Row],[STN]],SE_2[STN],SE_2[IdeaEligibility],"w/o disability",0)</f>
        <v>w/o disability</v>
      </c>
      <c r="F516" t="str">
        <f>_xlfn.XLOOKUP(PE_2[[#This Row],[STN]],SE_2[STN],SE_2[Ethnicity],"",0)</f>
        <v/>
      </c>
    </row>
    <row r="517" spans="1:6" ht="13.9">
      <c r="A517" s="3">
        <v>8313162</v>
      </c>
      <c r="B517" s="10">
        <v>39213</v>
      </c>
      <c r="C517" s="19">
        <v>14.559226136156234</v>
      </c>
      <c r="D517" s="3"/>
      <c r="E517" t="str">
        <f>_xlfn.XLOOKUP(PE_2[[#This Row],[STN]],SE_2[STN],SE_2[IdeaEligibility],"w/o disability",0)</f>
        <v>w/o disability</v>
      </c>
      <c r="F517" t="str">
        <f>_xlfn.XLOOKUP(PE_2[[#This Row],[STN]],SE_2[STN],SE_2[Ethnicity],"",0)</f>
        <v/>
      </c>
    </row>
    <row r="518" spans="1:6" ht="13.9">
      <c r="A518" s="3">
        <v>8313104</v>
      </c>
      <c r="B518" s="10">
        <v>39332</v>
      </c>
      <c r="C518" s="19">
        <v>14.23343675853258</v>
      </c>
      <c r="D518" s="3"/>
      <c r="E518" t="str">
        <f>_xlfn.XLOOKUP(PE_2[[#This Row],[STN]],SE_2[STN],SE_2[IdeaEligibility],"w/o disability",0)</f>
        <v>w/o disability</v>
      </c>
      <c r="F518" t="str">
        <f>_xlfn.XLOOKUP(PE_2[[#This Row],[STN]],SE_2[STN],SE_2[Ethnicity],"",0)</f>
        <v/>
      </c>
    </row>
    <row r="519" spans="1:6" ht="13.9">
      <c r="A519" s="3">
        <v>22912171</v>
      </c>
      <c r="B519" s="10">
        <v>39357</v>
      </c>
      <c r="C519" s="19">
        <v>14.164993611972989</v>
      </c>
      <c r="D519" s="3"/>
      <c r="E519" t="str">
        <f>_xlfn.XLOOKUP(PE_2[[#This Row],[STN]],SE_2[STN],SE_2[IdeaEligibility],"w/o disability",0)</f>
        <v>w/o disability</v>
      </c>
      <c r="F519" t="str">
        <f>_xlfn.XLOOKUP(PE_2[[#This Row],[STN]],SE_2[STN],SE_2[Ethnicity],"",0)</f>
        <v/>
      </c>
    </row>
    <row r="520" spans="1:6" ht="13.9">
      <c r="A520" s="3">
        <v>31013051</v>
      </c>
      <c r="B520" s="10">
        <v>39237</v>
      </c>
      <c r="C520" s="19">
        <v>14.493520715459026</v>
      </c>
      <c r="D520" s="3"/>
      <c r="E520" t="str">
        <f>_xlfn.XLOOKUP(PE_2[[#This Row],[STN]],SE_2[STN],SE_2[IdeaEligibility],"w/o disability",0)</f>
        <v>w/o disability</v>
      </c>
      <c r="F520" t="str">
        <f>_xlfn.XLOOKUP(PE_2[[#This Row],[STN]],SE_2[STN],SE_2[Ethnicity],"",0)</f>
        <v/>
      </c>
    </row>
    <row r="521" spans="1:6" ht="13.9">
      <c r="A521" s="3">
        <v>31013009</v>
      </c>
      <c r="B521" s="10">
        <v>39213</v>
      </c>
      <c r="C521" s="19">
        <v>14.559226136156234</v>
      </c>
      <c r="D521" s="3"/>
      <c r="E521" t="str">
        <f>_xlfn.XLOOKUP(PE_2[[#This Row],[STN]],SE_2[STN],SE_2[IdeaEligibility],"w/o disability",0)</f>
        <v>w/o disability</v>
      </c>
      <c r="F521" t="str">
        <f>_xlfn.XLOOKUP(PE_2[[#This Row],[STN]],SE_2[STN],SE_2[Ethnicity],"",0)</f>
        <v/>
      </c>
    </row>
    <row r="522" spans="1:6" ht="13.9">
      <c r="A522" s="3">
        <v>22912262</v>
      </c>
      <c r="B522" s="10">
        <v>39488</v>
      </c>
      <c r="C522" s="19">
        <v>13.805631599530701</v>
      </c>
      <c r="D522" s="3"/>
      <c r="E522" t="str">
        <f>_xlfn.XLOOKUP(PE_2[[#This Row],[STN]],SE_2[STN],SE_2[IdeaEligibility],"w/o disability",0)</f>
        <v>w/o disability</v>
      </c>
      <c r="F522" t="str">
        <f>_xlfn.XLOOKUP(PE_2[[#This Row],[STN]],SE_2[STN],SE_2[Ethnicity],"",0)</f>
        <v/>
      </c>
    </row>
    <row r="523" spans="1:6" ht="13.9">
      <c r="A523" s="3">
        <v>31014087</v>
      </c>
      <c r="B523" s="10">
        <v>39580</v>
      </c>
      <c r="C523" s="19">
        <v>13.55377395385217</v>
      </c>
      <c r="D523" s="3"/>
      <c r="E523" t="str">
        <f>_xlfn.XLOOKUP(PE_2[[#This Row],[STN]],SE_2[STN],SE_2[IdeaEligibility],"w/o disability",0)</f>
        <v>w/o disability</v>
      </c>
      <c r="F523" t="str">
        <f>_xlfn.XLOOKUP(PE_2[[#This Row],[STN]],SE_2[STN],SE_2[Ethnicity],"",0)</f>
        <v/>
      </c>
    </row>
    <row r="524" spans="1:6" ht="13.9">
      <c r="A524" s="3">
        <v>28914056</v>
      </c>
      <c r="B524" s="10">
        <v>39487</v>
      </c>
      <c r="C524" s="19">
        <v>13.808369182635902</v>
      </c>
      <c r="D524" s="3"/>
      <c r="E524" t="str">
        <f>_xlfn.XLOOKUP(PE_2[[#This Row],[STN]],SE_2[STN],SE_2[IdeaEligibility],"w/o disability",0)</f>
        <v>w/o disability</v>
      </c>
      <c r="F524" t="str">
        <f>_xlfn.XLOOKUP(PE_2[[#This Row],[STN]],SE_2[STN],SE_2[Ethnicity],"",0)</f>
        <v/>
      </c>
    </row>
    <row r="525" spans="1:6" ht="13.9">
      <c r="A525" s="3">
        <v>8314090</v>
      </c>
      <c r="B525" s="10">
        <v>39298</v>
      </c>
      <c r="C525" s="19">
        <v>14.326519437853623</v>
      </c>
      <c r="D525" s="3"/>
      <c r="E525" t="str">
        <f>_xlfn.XLOOKUP(PE_2[[#This Row],[STN]],SE_2[STN],SE_2[IdeaEligibility],"w/o disability",0)</f>
        <v>w/o disability</v>
      </c>
      <c r="F525" t="str">
        <f>_xlfn.XLOOKUP(PE_2[[#This Row],[STN]],SE_2[STN],SE_2[Ethnicity],"",0)</f>
        <v/>
      </c>
    </row>
    <row r="526" spans="1:6" ht="13.9">
      <c r="A526" s="3">
        <v>2514011</v>
      </c>
      <c r="B526" s="10">
        <v>39563</v>
      </c>
      <c r="C526" s="19">
        <v>13.600312866640595</v>
      </c>
      <c r="D526" s="3"/>
      <c r="E526" t="str">
        <f>_xlfn.XLOOKUP(PE_2[[#This Row],[STN]],SE_2[STN],SE_2[IdeaEligibility],"w/o disability",0)</f>
        <v>w/o disability</v>
      </c>
      <c r="F526" t="str">
        <f>_xlfn.XLOOKUP(PE_2[[#This Row],[STN]],SE_2[STN],SE_2[Ethnicity],"",0)</f>
        <v/>
      </c>
    </row>
    <row r="527" spans="1:6" ht="13.9">
      <c r="A527" s="5">
        <v>153914037</v>
      </c>
      <c r="B527" s="10">
        <v>39397</v>
      </c>
      <c r="C527" s="19">
        <v>14.055484577477642</v>
      </c>
      <c r="D527" s="3"/>
      <c r="E527" t="str">
        <f>_xlfn.XLOOKUP(PE_2[[#This Row],[STN]],SE_2[STN],SE_2[IdeaEligibility],"w/o disability",0)</f>
        <v>w/o disability</v>
      </c>
      <c r="F527" t="str">
        <f>_xlfn.XLOOKUP(PE_2[[#This Row],[STN]],SE_2[STN],SE_2[Ethnicity],"",0)</f>
        <v/>
      </c>
    </row>
    <row r="528" spans="1:6" ht="13.9">
      <c r="A528" s="3">
        <v>25313527</v>
      </c>
      <c r="B528" s="10">
        <v>39596</v>
      </c>
      <c r="C528" s="19">
        <v>13.509972624168949</v>
      </c>
      <c r="D528" s="3"/>
      <c r="E528" t="str">
        <f>_xlfn.XLOOKUP(PE_2[[#This Row],[STN]],SE_2[STN],SE_2[IdeaEligibility],"w/o disability",0)</f>
        <v>w/o disability</v>
      </c>
      <c r="F528" t="str">
        <f>_xlfn.XLOOKUP(PE_2[[#This Row],[STN]],SE_2[STN],SE_2[Ethnicity],"",0)</f>
        <v/>
      </c>
    </row>
    <row r="529" spans="1:6" ht="13.9">
      <c r="A529" s="3">
        <v>17814095</v>
      </c>
      <c r="B529" s="10">
        <v>38829</v>
      </c>
      <c r="C529" s="19">
        <v>15.611225188227241</v>
      </c>
      <c r="D529" s="3"/>
      <c r="E529" t="str">
        <f>_xlfn.XLOOKUP(PE_2[[#This Row],[STN]],SE_2[STN],SE_2[IdeaEligibility],"w/o disability",0)</f>
        <v>w/o disability</v>
      </c>
      <c r="F529" t="str">
        <f>_xlfn.XLOOKUP(PE_2[[#This Row],[STN]],SE_2[STN],SE_2[Ethnicity],"",0)</f>
        <v/>
      </c>
    </row>
    <row r="530" spans="1:6" ht="13.9">
      <c r="A530" s="3">
        <v>27514074</v>
      </c>
      <c r="B530" s="10">
        <v>39491</v>
      </c>
      <c r="C530" s="19">
        <v>13.797418850215097</v>
      </c>
      <c r="D530" s="3"/>
      <c r="E530" t="str">
        <f>_xlfn.XLOOKUP(PE_2[[#This Row],[STN]],SE_2[STN],SE_2[IdeaEligibility],"w/o disability",0)</f>
        <v>w/o disability</v>
      </c>
      <c r="F530" t="str">
        <f>_xlfn.XLOOKUP(PE_2[[#This Row],[STN]],SE_2[STN],SE_2[Ethnicity],"",0)</f>
        <v/>
      </c>
    </row>
    <row r="531" spans="1:6" ht="13.9">
      <c r="A531" s="3">
        <v>18914060</v>
      </c>
      <c r="B531" s="10">
        <v>39402</v>
      </c>
      <c r="C531" s="19">
        <v>14.041795948165724</v>
      </c>
      <c r="D531" s="3"/>
      <c r="E531" t="str">
        <f>_xlfn.XLOOKUP(PE_2[[#This Row],[STN]],SE_2[STN],SE_2[IdeaEligibility],"w/o disability",0)</f>
        <v>w/o disability</v>
      </c>
      <c r="F531" t="str">
        <f>_xlfn.XLOOKUP(PE_2[[#This Row],[STN]],SE_2[STN],SE_2[Ethnicity],"",0)</f>
        <v/>
      </c>
    </row>
    <row r="532" spans="1:6" ht="13.9">
      <c r="A532" s="3">
        <v>18914063</v>
      </c>
      <c r="B532" s="10">
        <v>39473</v>
      </c>
      <c r="C532" s="19">
        <v>13.846695346108721</v>
      </c>
      <c r="D532" s="3"/>
      <c r="E532" t="str">
        <f>_xlfn.XLOOKUP(PE_2[[#This Row],[STN]],SE_2[STN],SE_2[IdeaEligibility],"w/o disability",0)</f>
        <v>w/o disability</v>
      </c>
      <c r="F532" t="str">
        <f>_xlfn.XLOOKUP(PE_2[[#This Row],[STN]],SE_2[STN],SE_2[Ethnicity],"",0)</f>
        <v/>
      </c>
    </row>
    <row r="533" spans="1:6" ht="13.9">
      <c r="A533" s="3">
        <v>25314036</v>
      </c>
      <c r="B533" s="10">
        <v>38659</v>
      </c>
      <c r="C533" s="19">
        <v>16.077307134804315</v>
      </c>
      <c r="D533" s="3"/>
      <c r="E533" t="str">
        <f>_xlfn.XLOOKUP(PE_2[[#This Row],[STN]],SE_2[STN],SE_2[IdeaEligibility],"w/o disability",0)</f>
        <v>w/o disability</v>
      </c>
      <c r="F533" t="str">
        <f>_xlfn.XLOOKUP(PE_2[[#This Row],[STN]],SE_2[STN],SE_2[Ethnicity],"",0)</f>
        <v/>
      </c>
    </row>
    <row r="534" spans="1:6" ht="13.9">
      <c r="A534" s="3">
        <v>23313532</v>
      </c>
      <c r="B534" s="10">
        <v>39454</v>
      </c>
      <c r="C534" s="19">
        <v>13.898709425107548</v>
      </c>
      <c r="D534" s="3"/>
      <c r="E534" t="str">
        <f>_xlfn.XLOOKUP(PE_2[[#This Row],[STN]],SE_2[STN],SE_2[IdeaEligibility],"w/o disability",0)</f>
        <v>w/o disability</v>
      </c>
      <c r="F534" t="str">
        <f>_xlfn.XLOOKUP(PE_2[[#This Row],[STN]],SE_2[STN],SE_2[Ethnicity],"",0)</f>
        <v/>
      </c>
    </row>
    <row r="535" spans="1:6" ht="13.9">
      <c r="A535" s="3">
        <v>23913543</v>
      </c>
      <c r="B535" s="10">
        <v>39394</v>
      </c>
      <c r="C535" s="19">
        <v>14.063697755064794</v>
      </c>
      <c r="D535" s="3"/>
      <c r="E535" t="str">
        <f>_xlfn.XLOOKUP(PE_2[[#This Row],[STN]],SE_2[STN],SE_2[IdeaEligibility],"w/o disability",0)</f>
        <v>w/o disability</v>
      </c>
      <c r="F535" t="str">
        <f>_xlfn.XLOOKUP(PE_2[[#This Row],[STN]],SE_2[STN],SE_2[Ethnicity],"",0)</f>
        <v/>
      </c>
    </row>
    <row r="536" spans="1:6" ht="13.9">
      <c r="A536" s="3">
        <v>23914057</v>
      </c>
      <c r="B536" s="10">
        <v>39359</v>
      </c>
      <c r="C536" s="19">
        <v>14.15951816024822</v>
      </c>
      <c r="D536" s="3"/>
      <c r="E536" t="str">
        <f>_xlfn.XLOOKUP(PE_2[[#This Row],[STN]],SE_2[STN],SE_2[IdeaEligibility],"w/o disability",0)</f>
        <v>w/o disability</v>
      </c>
      <c r="F536" t="str">
        <f>_xlfn.XLOOKUP(PE_2[[#This Row],[STN]],SE_2[STN],SE_2[Ethnicity],"",0)</f>
        <v/>
      </c>
    </row>
    <row r="537" spans="1:6" ht="13.9">
      <c r="A537" s="3">
        <v>18914021</v>
      </c>
      <c r="B537" s="10">
        <v>39512</v>
      </c>
      <c r="C537" s="19">
        <v>13.739929605005866</v>
      </c>
      <c r="D537" s="3"/>
      <c r="E537" t="str">
        <f>_xlfn.XLOOKUP(PE_2[[#This Row],[STN]],SE_2[STN],SE_2[IdeaEligibility],"w/o disability",0)</f>
        <v>w/o disability</v>
      </c>
      <c r="F537" t="str">
        <f>_xlfn.XLOOKUP(PE_2[[#This Row],[STN]],SE_2[STN],SE_2[Ethnicity],"",0)</f>
        <v/>
      </c>
    </row>
    <row r="538" spans="1:6" ht="13.9">
      <c r="A538" s="3">
        <v>25713005</v>
      </c>
      <c r="B538" s="10">
        <v>39362</v>
      </c>
      <c r="C538" s="19">
        <v>14.15130498266107</v>
      </c>
      <c r="D538" s="3"/>
      <c r="E538" t="str">
        <f>_xlfn.XLOOKUP(PE_2[[#This Row],[STN]],SE_2[STN],SE_2[IdeaEligibility],"w/o disability",0)</f>
        <v>w/o disability</v>
      </c>
      <c r="F538" t="str">
        <f>_xlfn.XLOOKUP(PE_2[[#This Row],[STN]],SE_2[STN],SE_2[Ethnicity],"",0)</f>
        <v/>
      </c>
    </row>
    <row r="539" spans="1:6" ht="13.9">
      <c r="A539" s="3">
        <v>24113064</v>
      </c>
      <c r="B539" s="10">
        <v>39453</v>
      </c>
      <c r="C539" s="19">
        <v>13.901447008212749</v>
      </c>
      <c r="D539" s="3"/>
      <c r="E539" t="str">
        <f>_xlfn.XLOOKUP(PE_2[[#This Row],[STN]],SE_2[STN],SE_2[IdeaEligibility],"w/o disability",0)</f>
        <v>w/o disability</v>
      </c>
      <c r="F539" t="str">
        <f>_xlfn.XLOOKUP(PE_2[[#This Row],[STN]],SE_2[STN],SE_2[Ethnicity],"",0)</f>
        <v/>
      </c>
    </row>
    <row r="540" spans="1:6" ht="13.9">
      <c r="A540" s="3">
        <v>24113065</v>
      </c>
      <c r="B540" s="10">
        <v>39435</v>
      </c>
      <c r="C540" s="19">
        <v>13.951450994707065</v>
      </c>
      <c r="D540" s="3"/>
      <c r="E540" t="str">
        <f>_xlfn.XLOOKUP(PE_2[[#This Row],[STN]],SE_2[STN],SE_2[IdeaEligibility],"w/o disability",0)</f>
        <v>w/o disability</v>
      </c>
      <c r="F540" t="str">
        <f>_xlfn.XLOOKUP(PE_2[[#This Row],[STN]],SE_2[STN],SE_2[Ethnicity],"",0)</f>
        <v/>
      </c>
    </row>
    <row r="541" spans="1:6" ht="13.9">
      <c r="A541" s="3">
        <v>8314084</v>
      </c>
      <c r="B541" s="10">
        <v>39535</v>
      </c>
      <c r="C541" s="19">
        <v>13.676965193586234</v>
      </c>
      <c r="D541" s="3"/>
      <c r="E541" t="str">
        <f>_xlfn.XLOOKUP(PE_2[[#This Row],[STN]],SE_2[STN],SE_2[IdeaEligibility],"w/o disability",0)</f>
        <v>w/o disability</v>
      </c>
      <c r="F541" t="str">
        <f>_xlfn.XLOOKUP(PE_2[[#This Row],[STN]],SE_2[STN],SE_2[Ethnicity],"",0)</f>
        <v/>
      </c>
    </row>
    <row r="542" spans="1:6" ht="13.9">
      <c r="A542" s="3">
        <v>9612025</v>
      </c>
      <c r="B542" s="10">
        <v>39030</v>
      </c>
      <c r="C542" s="19">
        <v>15.060917180013689</v>
      </c>
      <c r="D542" s="3"/>
      <c r="E542" t="str">
        <f>_xlfn.XLOOKUP(PE_2[[#This Row],[STN]],SE_2[STN],SE_2[IdeaEligibility],"w/o disability",0)</f>
        <v>w/o disability</v>
      </c>
      <c r="F542" t="str">
        <f>_xlfn.XLOOKUP(PE_2[[#This Row],[STN]],SE_2[STN],SE_2[Ethnicity],"",0)</f>
        <v/>
      </c>
    </row>
    <row r="543" spans="1:6" ht="13.9">
      <c r="A543" s="3">
        <v>18913523</v>
      </c>
      <c r="B543" s="10">
        <v>39332</v>
      </c>
      <c r="C543" s="19">
        <v>14.23343675853258</v>
      </c>
      <c r="D543" s="3"/>
      <c r="E543" t="str">
        <f>_xlfn.XLOOKUP(PE_2[[#This Row],[STN]],SE_2[STN],SE_2[IdeaEligibility],"w/o disability",0)</f>
        <v>w/o disability</v>
      </c>
      <c r="F543" t="str">
        <f>_xlfn.XLOOKUP(PE_2[[#This Row],[STN]],SE_2[STN],SE_2[Ethnicity],"",0)</f>
        <v/>
      </c>
    </row>
    <row r="544" spans="1:6" ht="13.9">
      <c r="A544" s="3">
        <v>25713511</v>
      </c>
      <c r="B544" s="10">
        <v>39526</v>
      </c>
      <c r="C544" s="19">
        <v>13.701603441533047</v>
      </c>
      <c r="D544" s="3"/>
      <c r="E544" t="str">
        <f>_xlfn.XLOOKUP(PE_2[[#This Row],[STN]],SE_2[STN],SE_2[IdeaEligibility],"w/o disability",0)</f>
        <v>w/o disability</v>
      </c>
      <c r="F544" t="str">
        <f>_xlfn.XLOOKUP(PE_2[[#This Row],[STN]],SE_2[STN],SE_2[Ethnicity],"",0)</f>
        <v/>
      </c>
    </row>
    <row r="545" spans="1:6" ht="13.9">
      <c r="A545" s="3">
        <v>25313515</v>
      </c>
      <c r="B545" s="10">
        <v>39589</v>
      </c>
      <c r="C545" s="19">
        <v>13.529135705905357</v>
      </c>
      <c r="D545" s="3"/>
      <c r="E545" t="str">
        <f>_xlfn.XLOOKUP(PE_2[[#This Row],[STN]],SE_2[STN],SE_2[IdeaEligibility],"w/o disability",0)</f>
        <v>w/o disability</v>
      </c>
      <c r="F545" t="str">
        <f>_xlfn.XLOOKUP(PE_2[[#This Row],[STN]],SE_2[STN],SE_2[Ethnicity],"",0)</f>
        <v/>
      </c>
    </row>
    <row r="546" spans="1:6" ht="13.9">
      <c r="A546" s="3">
        <v>26514027</v>
      </c>
      <c r="B546" s="10">
        <v>39514</v>
      </c>
      <c r="C546" s="19">
        <v>13.734454438795463</v>
      </c>
      <c r="D546" s="3"/>
      <c r="E546" t="str">
        <f>_xlfn.XLOOKUP(PE_2[[#This Row],[STN]],SE_2[STN],SE_2[IdeaEligibility],"w/o disability",0)</f>
        <v>w/o disability</v>
      </c>
      <c r="F546" t="str">
        <f>_xlfn.XLOOKUP(PE_2[[#This Row],[STN]],SE_2[STN],SE_2[Ethnicity],"",0)</f>
        <v/>
      </c>
    </row>
    <row r="547" spans="1:6" ht="13.9">
      <c r="A547" s="5">
        <v>153914043</v>
      </c>
      <c r="B547" s="10">
        <v>39357</v>
      </c>
      <c r="C547" s="19">
        <v>14.164993611972989</v>
      </c>
      <c r="D547" s="3"/>
      <c r="E547" t="str">
        <f>_xlfn.XLOOKUP(PE_2[[#This Row],[STN]],SE_2[STN],SE_2[IdeaEligibility],"w/o disability",0)</f>
        <v>w/o disability</v>
      </c>
      <c r="F547" t="str">
        <f>_xlfn.XLOOKUP(PE_2[[#This Row],[STN]],SE_2[STN],SE_2[Ethnicity],"",0)</f>
        <v/>
      </c>
    </row>
    <row r="548" spans="1:6" ht="13.9">
      <c r="A548" s="5">
        <v>153914013</v>
      </c>
      <c r="B548" s="10">
        <v>39558</v>
      </c>
      <c r="C548" s="19">
        <v>13.614000782166602</v>
      </c>
      <c r="D548" s="3"/>
      <c r="E548" t="str">
        <f>_xlfn.XLOOKUP(PE_2[[#This Row],[STN]],SE_2[STN],SE_2[IdeaEligibility],"w/o disability",0)</f>
        <v>w/o disability</v>
      </c>
      <c r="F548" t="str">
        <f>_xlfn.XLOOKUP(PE_2[[#This Row],[STN]],SE_2[STN],SE_2[Ethnicity],"",0)</f>
        <v/>
      </c>
    </row>
    <row r="549" spans="1:6" ht="13.9">
      <c r="A549" s="3" t="s">
        <v>638</v>
      </c>
      <c r="B549" s="10">
        <v>39477</v>
      </c>
      <c r="C549" s="19">
        <v>13.835745013687916</v>
      </c>
      <c r="D549" s="3"/>
      <c r="E549" t="str">
        <f>_xlfn.XLOOKUP(PE_2[[#This Row],[STN]],SE_2[STN],SE_2[IdeaEligibility],"w/o disability",0)</f>
        <v>w/o disability</v>
      </c>
      <c r="F549" t="str">
        <f>_xlfn.XLOOKUP(PE_2[[#This Row],[STN]],SE_2[STN],SE_2[Ethnicity],"",0)</f>
        <v/>
      </c>
    </row>
    <row r="550" spans="1:6" ht="13.9">
      <c r="A550" s="5">
        <v>153914006</v>
      </c>
      <c r="B550" s="10">
        <v>39525</v>
      </c>
      <c r="C550" s="19">
        <v>13.704341024638248</v>
      </c>
      <c r="D550" s="3"/>
      <c r="E550" t="str">
        <f>_xlfn.XLOOKUP(PE_2[[#This Row],[STN]],SE_2[STN],SE_2[IdeaEligibility],"w/o disability",0)</f>
        <v>w/o disability</v>
      </c>
      <c r="F550" t="str">
        <f>_xlfn.XLOOKUP(PE_2[[#This Row],[STN]],SE_2[STN],SE_2[Ethnicity],"",0)</f>
        <v/>
      </c>
    </row>
    <row r="551" spans="1:6" ht="13.9">
      <c r="A551" s="5">
        <v>153914032</v>
      </c>
      <c r="B551" s="10">
        <v>39681</v>
      </c>
      <c r="C551" s="19">
        <v>13.277278060226829</v>
      </c>
      <c r="D551" s="3"/>
      <c r="E551" t="str">
        <f>_xlfn.XLOOKUP(PE_2[[#This Row],[STN]],SE_2[STN],SE_2[IdeaEligibility],"w/o disability",0)</f>
        <v>w/o disability</v>
      </c>
      <c r="F551" t="str">
        <f>_xlfn.XLOOKUP(PE_2[[#This Row],[STN]],SE_2[STN],SE_2[Ethnicity],"",0)</f>
        <v/>
      </c>
    </row>
    <row r="552" spans="1:6" ht="13.9">
      <c r="A552" s="3">
        <v>24914077</v>
      </c>
      <c r="B552" s="10">
        <v>39496</v>
      </c>
      <c r="C552" s="19">
        <v>13.783730934689089</v>
      </c>
      <c r="D552" s="3"/>
      <c r="E552" t="str">
        <f>_xlfn.XLOOKUP(PE_2[[#This Row],[STN]],SE_2[STN],SE_2[IdeaEligibility],"w/o disability",0)</f>
        <v>w/o disability</v>
      </c>
      <c r="F552" t="str">
        <f>_xlfn.XLOOKUP(PE_2[[#This Row],[STN]],SE_2[STN],SE_2[Ethnicity],"",0)</f>
        <v/>
      </c>
    </row>
    <row r="553" spans="1:6" ht="13.9">
      <c r="A553" s="5">
        <v>318414050</v>
      </c>
      <c r="B553" s="10">
        <v>39422</v>
      </c>
      <c r="C553" s="19">
        <v>13.987041430918051</v>
      </c>
      <c r="D553" s="3"/>
      <c r="E553" t="str">
        <f>_xlfn.XLOOKUP(PE_2[[#This Row],[STN]],SE_2[STN],SE_2[IdeaEligibility],"w/o disability",0)</f>
        <v>w/o disability</v>
      </c>
      <c r="F553" t="str">
        <f>_xlfn.XLOOKUP(PE_2[[#This Row],[STN]],SE_2[STN],SE_2[Ethnicity],"",0)</f>
        <v/>
      </c>
    </row>
    <row r="554" spans="1:6" ht="13.9">
      <c r="A554" s="5">
        <v>153914021</v>
      </c>
      <c r="B554" s="10">
        <v>39350</v>
      </c>
      <c r="C554" s="19">
        <v>14.184157693009674</v>
      </c>
      <c r="D554" s="3"/>
      <c r="E554" t="str">
        <f>_xlfn.XLOOKUP(PE_2[[#This Row],[STN]],SE_2[STN],SE_2[IdeaEligibility],"w/o disability",0)</f>
        <v>w/o disability</v>
      </c>
      <c r="F554" t="str">
        <f>_xlfn.XLOOKUP(PE_2[[#This Row],[STN]],SE_2[STN],SE_2[Ethnicity],"",0)</f>
        <v/>
      </c>
    </row>
    <row r="555" spans="1:6" ht="13.9">
      <c r="A555" s="5">
        <v>153914008</v>
      </c>
      <c r="B555" s="10">
        <v>39350</v>
      </c>
      <c r="C555" s="19">
        <v>14.184157693009674</v>
      </c>
      <c r="D555" s="3"/>
      <c r="E555" t="str">
        <f>_xlfn.XLOOKUP(PE_2[[#This Row],[STN]],SE_2[STN],SE_2[IdeaEligibility],"w/o disability",0)</f>
        <v>w/o disability</v>
      </c>
      <c r="F555" t="str">
        <f>_xlfn.XLOOKUP(PE_2[[#This Row],[STN]],SE_2[STN],SE_2[Ethnicity],"",0)</f>
        <v/>
      </c>
    </row>
    <row r="556" spans="1:6" ht="13.9">
      <c r="A556" s="3">
        <v>27014123</v>
      </c>
      <c r="B556" s="10">
        <v>39386</v>
      </c>
      <c r="C556" s="19">
        <v>14.085599561963862</v>
      </c>
      <c r="D556" s="3"/>
      <c r="E556" t="str">
        <f>_xlfn.XLOOKUP(PE_2[[#This Row],[STN]],SE_2[STN],SE_2[IdeaEligibility],"w/o disability",0)</f>
        <v>w/o disability</v>
      </c>
      <c r="F556" t="str">
        <f>_xlfn.XLOOKUP(PE_2[[#This Row],[STN]],SE_2[STN],SE_2[Ethnicity],"",0)</f>
        <v/>
      </c>
    </row>
    <row r="557" spans="1:6" ht="13.9">
      <c r="A557" s="3">
        <v>27014124</v>
      </c>
      <c r="B557" s="10">
        <v>39386</v>
      </c>
      <c r="C557" s="19">
        <v>14.085599561963862</v>
      </c>
      <c r="D557" s="3"/>
      <c r="E557" t="str">
        <f>_xlfn.XLOOKUP(PE_2[[#This Row],[STN]],SE_2[STN],SE_2[IdeaEligibility],"w/o disability",0)</f>
        <v>w/o disability</v>
      </c>
      <c r="F557" t="str">
        <f>_xlfn.XLOOKUP(PE_2[[#This Row],[STN]],SE_2[STN],SE_2[Ethnicity],"",0)</f>
        <v/>
      </c>
    </row>
    <row r="558" spans="1:6" ht="13.9">
      <c r="A558" s="5">
        <v>153914004</v>
      </c>
      <c r="B558" s="10">
        <v>39660</v>
      </c>
      <c r="C558" s="19">
        <v>13.334767305436058</v>
      </c>
      <c r="D558" s="3"/>
      <c r="E558" t="str">
        <f>_xlfn.XLOOKUP(PE_2[[#This Row],[STN]],SE_2[STN],SE_2[IdeaEligibility],"w/o disability",0)</f>
        <v>w/o disability</v>
      </c>
      <c r="F558" t="str">
        <f>_xlfn.XLOOKUP(PE_2[[#This Row],[STN]],SE_2[STN],SE_2[Ethnicity],"",0)</f>
        <v/>
      </c>
    </row>
    <row r="559" spans="1:6" ht="13.9">
      <c r="A559" s="3">
        <v>24914074</v>
      </c>
      <c r="B559" s="10">
        <v>39501</v>
      </c>
      <c r="C559" s="19">
        <v>13.770043019163081</v>
      </c>
      <c r="D559" s="3"/>
      <c r="E559" t="str">
        <f>_xlfn.XLOOKUP(PE_2[[#This Row],[STN]],SE_2[STN],SE_2[IdeaEligibility],"w/o disability",0)</f>
        <v>w/o disability</v>
      </c>
      <c r="F559" t="str">
        <f>_xlfn.XLOOKUP(PE_2[[#This Row],[STN]],SE_2[STN],SE_2[Ethnicity],"",0)</f>
        <v/>
      </c>
    </row>
    <row r="560" spans="1:6" ht="13.9">
      <c r="A560" s="3">
        <v>7213020</v>
      </c>
      <c r="B560" s="10">
        <v>39322</v>
      </c>
      <c r="C560" s="19">
        <v>14.260814017156417</v>
      </c>
      <c r="D560" s="3"/>
      <c r="E560" t="str">
        <f>_xlfn.XLOOKUP(PE_2[[#This Row],[STN]],SE_2[STN],SE_2[IdeaEligibility],"w/o disability",0)</f>
        <v>w/o disability</v>
      </c>
      <c r="F560" t="str">
        <f>_xlfn.XLOOKUP(PE_2[[#This Row],[STN]],SE_2[STN],SE_2[Ethnicity],"",0)</f>
        <v/>
      </c>
    </row>
    <row r="561" spans="1:6" ht="13.9">
      <c r="A561" s="3">
        <v>13614071</v>
      </c>
      <c r="B561" s="10">
        <v>38957</v>
      </c>
      <c r="C561" s="19">
        <v>15.260780287474333</v>
      </c>
      <c r="D561" s="3"/>
      <c r="E561" t="str">
        <f>_xlfn.XLOOKUP(PE_2[[#This Row],[STN]],SE_2[STN],SE_2[IdeaEligibility],"w/o disability",0)</f>
        <v>w/o disability</v>
      </c>
      <c r="F561" t="str">
        <f>_xlfn.XLOOKUP(PE_2[[#This Row],[STN]],SE_2[STN],SE_2[Ethnicity],"",0)</f>
        <v/>
      </c>
    </row>
    <row r="562" spans="1:6" ht="13.9">
      <c r="A562" s="3">
        <v>13714050</v>
      </c>
      <c r="B562" s="10">
        <v>39369</v>
      </c>
      <c r="C562" s="19">
        <v>14.132140901624384</v>
      </c>
      <c r="D562" s="3"/>
      <c r="E562" t="str">
        <f>_xlfn.XLOOKUP(PE_2[[#This Row],[STN]],SE_2[STN],SE_2[IdeaEligibility],"w/o disability",0)</f>
        <v>w/o disability</v>
      </c>
      <c r="F562" t="str">
        <f>_xlfn.XLOOKUP(PE_2[[#This Row],[STN]],SE_2[STN],SE_2[Ethnicity],"",0)</f>
        <v/>
      </c>
    </row>
    <row r="563" spans="1:6" ht="13.9">
      <c r="A563" s="3">
        <v>21713017</v>
      </c>
      <c r="B563" s="10">
        <v>39566</v>
      </c>
      <c r="C563" s="19">
        <v>13.592100117324991</v>
      </c>
      <c r="D563" s="3"/>
      <c r="E563" t="str">
        <f>_xlfn.XLOOKUP(PE_2[[#This Row],[STN]],SE_2[STN],SE_2[IdeaEligibility],"w/o disability",0)</f>
        <v>w/o disability</v>
      </c>
      <c r="F563" t="str">
        <f>_xlfn.XLOOKUP(PE_2[[#This Row],[STN]],SE_2[STN],SE_2[Ethnicity],"",0)</f>
        <v/>
      </c>
    </row>
    <row r="564" spans="1:6" ht="13.9">
      <c r="A564" s="3">
        <v>13613035</v>
      </c>
      <c r="B564" s="10">
        <v>39477</v>
      </c>
      <c r="C564" s="19">
        <v>13.835745013687916</v>
      </c>
      <c r="D564" s="3"/>
      <c r="E564" t="str">
        <f>_xlfn.XLOOKUP(PE_2[[#This Row],[STN]],SE_2[STN],SE_2[IdeaEligibility],"w/o disability",0)</f>
        <v>w/o disability</v>
      </c>
      <c r="F564" t="str">
        <f>_xlfn.XLOOKUP(PE_2[[#This Row],[STN]],SE_2[STN],SE_2[Ethnicity],"",0)</f>
        <v/>
      </c>
    </row>
    <row r="565" spans="1:6" ht="13.9">
      <c r="A565" s="3">
        <v>18913051</v>
      </c>
      <c r="B565" s="10">
        <v>38935</v>
      </c>
      <c r="C565" s="19">
        <v>15.321013004791238</v>
      </c>
      <c r="D565" s="3"/>
      <c r="E565" t="str">
        <f>_xlfn.XLOOKUP(PE_2[[#This Row],[STN]],SE_2[STN],SE_2[IdeaEligibility],"w/o disability",0)</f>
        <v>w/o disability</v>
      </c>
      <c r="F565" t="str">
        <f>_xlfn.XLOOKUP(PE_2[[#This Row],[STN]],SE_2[STN],SE_2[Ethnicity],"",0)</f>
        <v/>
      </c>
    </row>
    <row r="566" spans="1:6" ht="13.9">
      <c r="A566" s="5">
        <v>527313111</v>
      </c>
      <c r="B566" s="10">
        <v>39271</v>
      </c>
      <c r="C566" s="19">
        <v>14.400438036137983</v>
      </c>
      <c r="D566" s="3"/>
      <c r="E566" t="str">
        <f>_xlfn.XLOOKUP(PE_2[[#This Row],[STN]],SE_2[STN],SE_2[IdeaEligibility],"w/o disability",0)</f>
        <v>w/o disability</v>
      </c>
      <c r="F566" t="str">
        <f>_xlfn.XLOOKUP(PE_2[[#This Row],[STN]],SE_2[STN],SE_2[Ethnicity],"",0)</f>
        <v/>
      </c>
    </row>
    <row r="567" spans="1:6" ht="13.9">
      <c r="A567" s="3">
        <v>13613036</v>
      </c>
      <c r="B567" s="10">
        <v>39479</v>
      </c>
      <c r="C567" s="19">
        <v>13.830269847477513</v>
      </c>
      <c r="D567" s="3"/>
      <c r="E567" t="str">
        <f>_xlfn.XLOOKUP(PE_2[[#This Row],[STN]],SE_2[STN],SE_2[IdeaEligibility],"w/o disability",0)</f>
        <v>w/o disability</v>
      </c>
      <c r="F567" t="str">
        <f>_xlfn.XLOOKUP(PE_2[[#This Row],[STN]],SE_2[STN],SE_2[Ethnicity],"",0)</f>
        <v/>
      </c>
    </row>
    <row r="568" spans="1:6" ht="13.9">
      <c r="A568" s="3">
        <v>13613038</v>
      </c>
      <c r="B568" s="10">
        <v>39534</v>
      </c>
      <c r="C568" s="19">
        <v>13.679702776691435</v>
      </c>
      <c r="D568" s="3"/>
      <c r="E568" t="str">
        <f>_xlfn.XLOOKUP(PE_2[[#This Row],[STN]],SE_2[STN],SE_2[IdeaEligibility],"w/o disability",0)</f>
        <v>w/o disability</v>
      </c>
      <c r="F568" t="str">
        <f>_xlfn.XLOOKUP(PE_2[[#This Row],[STN]],SE_2[STN],SE_2[Ethnicity],"",0)</f>
        <v/>
      </c>
    </row>
    <row r="569" spans="1:6" ht="13.9">
      <c r="A569" s="5">
        <v>255201229</v>
      </c>
      <c r="B569" s="10">
        <v>39233</v>
      </c>
      <c r="C569" s="19">
        <v>14.504471618908561</v>
      </c>
      <c r="D569" s="3"/>
      <c r="E569" t="str">
        <f>_xlfn.XLOOKUP(PE_2[[#This Row],[STN]],SE_2[STN],SE_2[IdeaEligibility],"w/o disability",0)</f>
        <v>w/o disability</v>
      </c>
      <c r="F569" t="str">
        <f>_xlfn.XLOOKUP(PE_2[[#This Row],[STN]],SE_2[STN],SE_2[Ethnicity],"",0)</f>
        <v/>
      </c>
    </row>
    <row r="570" spans="1:6" ht="13.9">
      <c r="A570" s="3">
        <v>17814012</v>
      </c>
      <c r="B570" s="10">
        <v>39429</v>
      </c>
      <c r="C570" s="19">
        <v>13.967877349881366</v>
      </c>
      <c r="D570" s="3"/>
      <c r="E570" t="str">
        <f>_xlfn.XLOOKUP(PE_2[[#This Row],[STN]],SE_2[STN],SE_2[IdeaEligibility],"w/o disability",0)</f>
        <v>w/o disability</v>
      </c>
      <c r="F570" t="str">
        <f>_xlfn.XLOOKUP(PE_2[[#This Row],[STN]],SE_2[STN],SE_2[Ethnicity],"",0)</f>
        <v/>
      </c>
    </row>
    <row r="571" spans="1:6" ht="13.9">
      <c r="A571" s="3">
        <v>17813008</v>
      </c>
      <c r="B571" s="10">
        <v>38946</v>
      </c>
      <c r="C571" s="19">
        <v>15.290896646132786</v>
      </c>
      <c r="D571" s="3"/>
      <c r="E571" t="str">
        <f>_xlfn.XLOOKUP(PE_2[[#This Row],[STN]],SE_2[STN],SE_2[IdeaEligibility],"w/o disability",0)</f>
        <v>w/o disability</v>
      </c>
      <c r="F571" t="str">
        <f>_xlfn.XLOOKUP(PE_2[[#This Row],[STN]],SE_2[STN],SE_2[Ethnicity],"",0)</f>
        <v/>
      </c>
    </row>
    <row r="572" spans="1:6" ht="13.9">
      <c r="A572" s="3">
        <v>13613006</v>
      </c>
      <c r="B572" s="10">
        <v>39165</v>
      </c>
      <c r="C572" s="19">
        <v>14.690636977550648</v>
      </c>
      <c r="D572" s="3"/>
      <c r="E572" t="str">
        <f>_xlfn.XLOOKUP(PE_2[[#This Row],[STN]],SE_2[STN],SE_2[IdeaEligibility],"w/o disability",0)</f>
        <v>w/o disability</v>
      </c>
      <c r="F572" t="str">
        <f>_xlfn.XLOOKUP(PE_2[[#This Row],[STN]],SE_2[STN],SE_2[Ethnicity],"",0)</f>
        <v/>
      </c>
    </row>
    <row r="573" spans="1:6" ht="13.9">
      <c r="A573" s="3">
        <v>13713020</v>
      </c>
      <c r="B573" s="10">
        <v>39332</v>
      </c>
      <c r="C573" s="19">
        <v>14.23343675853258</v>
      </c>
      <c r="D573" s="3"/>
      <c r="E573" t="str">
        <f>_xlfn.XLOOKUP(PE_2[[#This Row],[STN]],SE_2[STN],SE_2[IdeaEligibility],"w/o disability",0)</f>
        <v>w/o disability</v>
      </c>
      <c r="F573" t="str">
        <f>_xlfn.XLOOKUP(PE_2[[#This Row],[STN]],SE_2[STN],SE_2[Ethnicity],"",0)</f>
        <v/>
      </c>
    </row>
    <row r="574" spans="1:6" ht="13.9">
      <c r="A574" s="5">
        <v>255080813</v>
      </c>
      <c r="B574" s="10">
        <v>39272</v>
      </c>
      <c r="C574" s="19">
        <v>14.397700310275598</v>
      </c>
      <c r="D574" s="3"/>
      <c r="E574" t="str">
        <f>_xlfn.XLOOKUP(PE_2[[#This Row],[STN]],SE_2[STN],SE_2[IdeaEligibility],"w/o disability",0)</f>
        <v>w/o disability</v>
      </c>
      <c r="F574" t="str">
        <f>_xlfn.XLOOKUP(PE_2[[#This Row],[STN]],SE_2[STN],SE_2[Ethnicity],"",0)</f>
        <v/>
      </c>
    </row>
    <row r="575" spans="1:6" ht="13.9">
      <c r="A575" s="5">
        <v>255120815</v>
      </c>
      <c r="B575" s="10">
        <v>39031</v>
      </c>
      <c r="C575" s="19">
        <v>15.058179329226558</v>
      </c>
      <c r="D575" s="3"/>
      <c r="E575" t="str">
        <f>_xlfn.XLOOKUP(PE_2[[#This Row],[STN]],SE_2[STN],SE_2[IdeaEligibility],"w/o disability",0)</f>
        <v>w/o disability</v>
      </c>
      <c r="F575" t="str">
        <f>_xlfn.XLOOKUP(PE_2[[#This Row],[STN]],SE_2[STN],SE_2[Ethnicity],"",0)</f>
        <v/>
      </c>
    </row>
    <row r="576" spans="1:6" ht="13.9">
      <c r="A576" s="3">
        <v>24113089</v>
      </c>
      <c r="B576" s="10">
        <v>39406</v>
      </c>
      <c r="C576" s="19">
        <v>14.030845044716189</v>
      </c>
      <c r="D576" s="3"/>
      <c r="E576" t="str">
        <f>_xlfn.XLOOKUP(PE_2[[#This Row],[STN]],SE_2[STN],SE_2[IdeaEligibility],"w/o disability",0)</f>
        <v>w/o disability</v>
      </c>
      <c r="F576" t="str">
        <f>_xlfn.XLOOKUP(PE_2[[#This Row],[STN]],SE_2[STN],SE_2[Ethnicity],"",0)</f>
        <v/>
      </c>
    </row>
    <row r="577" spans="1:6" ht="13.9">
      <c r="A577" s="3">
        <v>13713013</v>
      </c>
      <c r="B577" s="10">
        <v>39459</v>
      </c>
      <c r="C577" s="19">
        <v>13.885021509581541</v>
      </c>
      <c r="D577" s="3"/>
      <c r="E577" t="str">
        <f>_xlfn.XLOOKUP(PE_2[[#This Row],[STN]],SE_2[STN],SE_2[IdeaEligibility],"w/o disability",0)</f>
        <v>w/o disability</v>
      </c>
      <c r="F577" t="str">
        <f>_xlfn.XLOOKUP(PE_2[[#This Row],[STN]],SE_2[STN],SE_2[Ethnicity],"",0)</f>
        <v/>
      </c>
    </row>
    <row r="578" spans="1:6" ht="13.9">
      <c r="A578" s="3">
        <v>17814010</v>
      </c>
      <c r="B578" s="10">
        <v>39424</v>
      </c>
      <c r="C578" s="19">
        <v>13.981565979193284</v>
      </c>
      <c r="D578" s="3"/>
      <c r="E578" t="str">
        <f>_xlfn.XLOOKUP(PE_2[[#This Row],[STN]],SE_2[STN],SE_2[IdeaEligibility],"w/o disability",0)</f>
        <v>w/o disability</v>
      </c>
      <c r="F578" t="str">
        <f>_xlfn.XLOOKUP(PE_2[[#This Row],[STN]],SE_2[STN],SE_2[Ethnicity],"",0)</f>
        <v/>
      </c>
    </row>
    <row r="579" spans="1:6" ht="13.9">
      <c r="A579" s="3">
        <v>24913021</v>
      </c>
      <c r="B579" s="10">
        <v>39304</v>
      </c>
      <c r="C579" s="19">
        <v>14.310093082679321</v>
      </c>
      <c r="D579" s="3"/>
      <c r="E579" t="str">
        <f>_xlfn.XLOOKUP(PE_2[[#This Row],[STN]],SE_2[STN],SE_2[IdeaEligibility],"w/o disability",0)</f>
        <v>w/o disability</v>
      </c>
      <c r="F579" t="str">
        <f>_xlfn.XLOOKUP(PE_2[[#This Row],[STN]],SE_2[STN],SE_2[Ethnicity],"",0)</f>
        <v/>
      </c>
    </row>
    <row r="580" spans="1:6" ht="13.9">
      <c r="A580" s="3">
        <v>25311563</v>
      </c>
      <c r="B580" s="10">
        <v>38632</v>
      </c>
      <c r="C580" s="19">
        <v>16.151232082460943</v>
      </c>
      <c r="D580" s="3"/>
      <c r="E580" t="str">
        <f>_xlfn.XLOOKUP(PE_2[[#This Row],[STN]],SE_2[STN],SE_2[IdeaEligibility],"w/o disability",0)</f>
        <v>w/o disability</v>
      </c>
      <c r="F580" t="str">
        <f>_xlfn.XLOOKUP(PE_2[[#This Row],[STN]],SE_2[STN],SE_2[Ethnicity],"",0)</f>
        <v/>
      </c>
    </row>
    <row r="581" spans="1:6" ht="13.9">
      <c r="A581" s="3">
        <v>25311568</v>
      </c>
      <c r="B581" s="10">
        <v>39199</v>
      </c>
      <c r="C581" s="19">
        <v>14.597554298229605</v>
      </c>
      <c r="D581" s="3"/>
      <c r="E581" t="str">
        <f>_xlfn.XLOOKUP(PE_2[[#This Row],[STN]],SE_2[STN],SE_2[IdeaEligibility],"w/o disability",0)</f>
        <v>w/o disability</v>
      </c>
      <c r="F581" t="str">
        <f>_xlfn.XLOOKUP(PE_2[[#This Row],[STN]],SE_2[STN],SE_2[Ethnicity],"",0)</f>
        <v/>
      </c>
    </row>
    <row r="582" spans="1:6" ht="13.9">
      <c r="A582" s="3" t="s">
        <v>639</v>
      </c>
      <c r="B582" s="10">
        <v>38749</v>
      </c>
      <c r="C582" s="19">
        <v>15.83025325119781</v>
      </c>
      <c r="D582" s="3"/>
      <c r="E582" t="str">
        <f>_xlfn.XLOOKUP(PE_2[[#This Row],[STN]],SE_2[STN],SE_2[IdeaEligibility],"w/o disability",0)</f>
        <v>w/o disability</v>
      </c>
      <c r="F582" t="str">
        <f>_xlfn.XLOOKUP(PE_2[[#This Row],[STN]],SE_2[STN],SE_2[Ethnicity],"",0)</f>
        <v/>
      </c>
    </row>
    <row r="583" spans="1:6" ht="13.9">
      <c r="A583" s="3">
        <v>24913026</v>
      </c>
      <c r="B583" s="10">
        <v>39384</v>
      </c>
      <c r="C583" s="19">
        <v>14.091075013688631</v>
      </c>
      <c r="D583" s="3"/>
      <c r="E583" t="str">
        <f>_xlfn.XLOOKUP(PE_2[[#This Row],[STN]],SE_2[STN],SE_2[IdeaEligibility],"w/o disability",0)</f>
        <v>w/o disability</v>
      </c>
      <c r="F583" t="str">
        <f>_xlfn.XLOOKUP(PE_2[[#This Row],[STN]],SE_2[STN],SE_2[Ethnicity],"",0)</f>
        <v/>
      </c>
    </row>
    <row r="584" spans="1:6" ht="13.9">
      <c r="A584" s="3">
        <v>24913028</v>
      </c>
      <c r="B584" s="10">
        <v>39341</v>
      </c>
      <c r="C584" s="19">
        <v>14.208797225771127</v>
      </c>
      <c r="D584" s="3"/>
      <c r="E584" t="str">
        <f>_xlfn.XLOOKUP(PE_2[[#This Row],[STN]],SE_2[STN],SE_2[IdeaEligibility],"w/o disability",0)</f>
        <v>w/o disability</v>
      </c>
      <c r="F584" t="str">
        <f>_xlfn.XLOOKUP(PE_2[[#This Row],[STN]],SE_2[STN],SE_2[Ethnicity],"",0)</f>
        <v/>
      </c>
    </row>
    <row r="585" spans="1:6" ht="13.9">
      <c r="A585" s="3">
        <v>25713023</v>
      </c>
      <c r="B585" s="10">
        <v>39242</v>
      </c>
      <c r="C585" s="19">
        <v>14.479832086147107</v>
      </c>
      <c r="D585" s="3"/>
      <c r="E585" t="str">
        <f>_xlfn.XLOOKUP(PE_2[[#This Row],[STN]],SE_2[STN],SE_2[IdeaEligibility],"w/o disability",0)</f>
        <v>w/o disability</v>
      </c>
      <c r="F585" t="str">
        <f>_xlfn.XLOOKUP(PE_2[[#This Row],[STN]],SE_2[STN],SE_2[Ethnicity],"",0)</f>
        <v/>
      </c>
    </row>
    <row r="586" spans="1:6" ht="13.9">
      <c r="A586" s="3">
        <v>26511556</v>
      </c>
      <c r="B586" s="10">
        <v>39008</v>
      </c>
      <c r="C586" s="19">
        <v>15.121149897330595</v>
      </c>
      <c r="D586" s="3"/>
      <c r="E586" t="str">
        <f>_xlfn.XLOOKUP(PE_2[[#This Row],[STN]],SE_2[STN],SE_2[IdeaEligibility],"w/o disability",0)</f>
        <v>w/o disability</v>
      </c>
      <c r="F586" t="str">
        <f>_xlfn.XLOOKUP(PE_2[[#This Row],[STN]],SE_2[STN],SE_2[Ethnicity],"",0)</f>
        <v/>
      </c>
    </row>
    <row r="587" spans="1:6" ht="13.9">
      <c r="A587" s="3">
        <v>26511547</v>
      </c>
      <c r="B587" s="10">
        <v>39037</v>
      </c>
      <c r="C587" s="19">
        <v>15.041752224503764</v>
      </c>
      <c r="D587" s="3"/>
      <c r="E587" t="str">
        <f>_xlfn.XLOOKUP(PE_2[[#This Row],[STN]],SE_2[STN],SE_2[IdeaEligibility],"w/o disability",0)</f>
        <v>w/o disability</v>
      </c>
      <c r="F587" t="str">
        <f>_xlfn.XLOOKUP(PE_2[[#This Row],[STN]],SE_2[STN],SE_2[Ethnicity],"",0)</f>
        <v/>
      </c>
    </row>
    <row r="588" spans="1:6" ht="13.9">
      <c r="A588" s="3">
        <v>25311566</v>
      </c>
      <c r="B588" s="10">
        <v>39037</v>
      </c>
      <c r="C588" s="19">
        <v>15.041752224503764</v>
      </c>
      <c r="D588" s="3"/>
      <c r="E588" t="str">
        <f>_xlfn.XLOOKUP(PE_2[[#This Row],[STN]],SE_2[STN],SE_2[IdeaEligibility],"w/o disability",0)</f>
        <v>w/o disability</v>
      </c>
      <c r="F588" t="str">
        <f>_xlfn.XLOOKUP(PE_2[[#This Row],[STN]],SE_2[STN],SE_2[Ethnicity],"",0)</f>
        <v/>
      </c>
    </row>
    <row r="589" spans="1:6" ht="13.9">
      <c r="A589" s="3">
        <v>13613547</v>
      </c>
      <c r="B589" s="10">
        <v>38877</v>
      </c>
      <c r="C589" s="19">
        <v>15.4798083504449</v>
      </c>
      <c r="D589" s="3"/>
      <c r="E589" t="str">
        <f>_xlfn.XLOOKUP(PE_2[[#This Row],[STN]],SE_2[STN],SE_2[IdeaEligibility],"w/o disability",0)</f>
        <v>w/o disability</v>
      </c>
      <c r="F589" t="str">
        <f>_xlfn.XLOOKUP(PE_2[[#This Row],[STN]],SE_2[STN],SE_2[Ethnicity],"",0)</f>
        <v/>
      </c>
    </row>
    <row r="590" spans="1:6" ht="13.9">
      <c r="A590" s="5">
        <v>159120757</v>
      </c>
      <c r="B590" s="10">
        <v>39275</v>
      </c>
      <c r="C590" s="19">
        <v>14.389487132688448</v>
      </c>
      <c r="D590" s="3"/>
      <c r="E590" t="str">
        <f>_xlfn.XLOOKUP(PE_2[[#This Row],[STN]],SE_2[STN],SE_2[IdeaEligibility],"w/o disability",0)</f>
        <v>w/o disability</v>
      </c>
      <c r="F590" t="str">
        <f>_xlfn.XLOOKUP(PE_2[[#This Row],[STN]],SE_2[STN],SE_2[Ethnicity],"",0)</f>
        <v/>
      </c>
    </row>
    <row r="591" spans="1:6" ht="13.9">
      <c r="A591" s="3">
        <v>22113033</v>
      </c>
      <c r="B591" s="10">
        <v>39084</v>
      </c>
      <c r="C591" s="19">
        <v>14.912392772403724</v>
      </c>
      <c r="D591" s="3"/>
      <c r="E591" t="str">
        <f>_xlfn.XLOOKUP(PE_2[[#This Row],[STN]],SE_2[STN],SE_2[IdeaEligibility],"w/o disability",0)</f>
        <v>w/o disability</v>
      </c>
      <c r="F591" t="str">
        <f>_xlfn.XLOOKUP(PE_2[[#This Row],[STN]],SE_2[STN],SE_2[Ethnicity],"",0)</f>
        <v/>
      </c>
    </row>
    <row r="592" spans="1:6" ht="13.9">
      <c r="A592" s="3">
        <v>14114078</v>
      </c>
      <c r="B592" s="10">
        <v>39584</v>
      </c>
      <c r="C592" s="19">
        <v>13.542823621431365</v>
      </c>
      <c r="D592" s="3"/>
      <c r="E592" t="str">
        <f>_xlfn.XLOOKUP(PE_2[[#This Row],[STN]],SE_2[STN],SE_2[IdeaEligibility],"w/o disability",0)</f>
        <v>w/o disability</v>
      </c>
      <c r="F592" t="str">
        <f>_xlfn.XLOOKUP(PE_2[[#This Row],[STN]],SE_2[STN],SE_2[Ethnicity],"",0)</f>
        <v/>
      </c>
    </row>
    <row r="593" spans="1:6" ht="13.9">
      <c r="A593" s="3">
        <v>25713020</v>
      </c>
      <c r="B593" s="10">
        <v>39063</v>
      </c>
      <c r="C593" s="19">
        <v>14.97056810403833</v>
      </c>
      <c r="D593" s="3"/>
      <c r="E593" t="str">
        <f>_xlfn.XLOOKUP(PE_2[[#This Row],[STN]],SE_2[STN],SE_2[IdeaEligibility],"w/o disability",0)</f>
        <v>w/o disability</v>
      </c>
      <c r="F593" t="str">
        <f>_xlfn.XLOOKUP(PE_2[[#This Row],[STN]],SE_2[STN],SE_2[Ethnicity],"",0)</f>
        <v/>
      </c>
    </row>
    <row r="594" spans="1:6" ht="13.9">
      <c r="A594" s="3">
        <v>25713021</v>
      </c>
      <c r="B594" s="10">
        <v>39428</v>
      </c>
      <c r="C594" s="19">
        <v>13.97061507574375</v>
      </c>
      <c r="D594" s="3"/>
      <c r="E594" t="str">
        <f>_xlfn.XLOOKUP(PE_2[[#This Row],[STN]],SE_2[STN],SE_2[IdeaEligibility],"w/o disability",0)</f>
        <v>w/o disability</v>
      </c>
      <c r="F594" t="str">
        <f>_xlfn.XLOOKUP(PE_2[[#This Row],[STN]],SE_2[STN],SE_2[Ethnicity],"",0)</f>
        <v/>
      </c>
    </row>
    <row r="595" spans="1:6" ht="13.9">
      <c r="A595" s="3">
        <v>24913018</v>
      </c>
      <c r="B595" s="10">
        <v>39433</v>
      </c>
      <c r="C595" s="19">
        <v>13.956926446431831</v>
      </c>
      <c r="D595" s="3"/>
      <c r="E595" t="str">
        <f>_xlfn.XLOOKUP(PE_2[[#This Row],[STN]],SE_2[STN],SE_2[IdeaEligibility],"w/o disability",0)</f>
        <v>w/o disability</v>
      </c>
      <c r="F595" t="str">
        <f>_xlfn.XLOOKUP(PE_2[[#This Row],[STN]],SE_2[STN],SE_2[Ethnicity],"",0)</f>
        <v/>
      </c>
    </row>
    <row r="596" spans="1:6" ht="13.9">
      <c r="A596" s="3">
        <v>18614076</v>
      </c>
      <c r="B596" s="10">
        <v>39363</v>
      </c>
      <c r="C596" s="19">
        <v>14.148567256798687</v>
      </c>
      <c r="D596" s="3"/>
      <c r="E596" t="str">
        <f>_xlfn.XLOOKUP(PE_2[[#This Row],[STN]],SE_2[STN],SE_2[IdeaEligibility],"w/o disability",0)</f>
        <v>w/o disability</v>
      </c>
      <c r="F596" t="str">
        <f>_xlfn.XLOOKUP(PE_2[[#This Row],[STN]],SE_2[STN],SE_2[Ethnicity],"",0)</f>
        <v/>
      </c>
    </row>
    <row r="597" spans="1:6" ht="13.9">
      <c r="A597" s="3">
        <v>22114058</v>
      </c>
      <c r="B597" s="10">
        <v>39513</v>
      </c>
      <c r="C597" s="19">
        <v>13.737192021900665</v>
      </c>
      <c r="D597" s="3"/>
      <c r="E597" t="str">
        <f>_xlfn.XLOOKUP(PE_2[[#This Row],[STN]],SE_2[STN],SE_2[IdeaEligibility],"w/o disability",0)</f>
        <v>w/o disability</v>
      </c>
      <c r="F597" t="str">
        <f>_xlfn.XLOOKUP(PE_2[[#This Row],[STN]],SE_2[STN],SE_2[Ethnicity],"",0)</f>
        <v/>
      </c>
    </row>
    <row r="598" spans="1:6" ht="13.9">
      <c r="A598" s="5">
        <v>135112078</v>
      </c>
      <c r="B598" s="10">
        <v>38984</v>
      </c>
      <c r="C598" s="19">
        <v>15.186858316221766</v>
      </c>
      <c r="D598" s="3"/>
      <c r="E598" t="str">
        <f>_xlfn.XLOOKUP(PE_2[[#This Row],[STN]],SE_2[STN],SE_2[IdeaEligibility],"w/o disability",0)</f>
        <v>w/o disability</v>
      </c>
      <c r="F598" t="str">
        <f>_xlfn.XLOOKUP(PE_2[[#This Row],[STN]],SE_2[STN],SE_2[Ethnicity],"",0)</f>
        <v/>
      </c>
    </row>
    <row r="599" spans="1:6" ht="13.9">
      <c r="A599" s="3">
        <v>13713002</v>
      </c>
      <c r="B599" s="10">
        <v>39456</v>
      </c>
      <c r="C599" s="19">
        <v>13.893234258897145</v>
      </c>
      <c r="D599" s="3"/>
      <c r="E599" t="str">
        <f>_xlfn.XLOOKUP(PE_2[[#This Row],[STN]],SE_2[STN],SE_2[IdeaEligibility],"w/o disability",0)</f>
        <v>w/o disability</v>
      </c>
      <c r="F599" t="str">
        <f>_xlfn.XLOOKUP(PE_2[[#This Row],[STN]],SE_2[STN],SE_2[Ethnicity],"",0)</f>
        <v/>
      </c>
    </row>
    <row r="600" spans="1:6" ht="13.9">
      <c r="A600" s="5">
        <v>159120715</v>
      </c>
      <c r="B600" s="10">
        <v>39262</v>
      </c>
      <c r="C600" s="19">
        <v>14.425077568899434</v>
      </c>
      <c r="D600" s="3"/>
      <c r="E600" t="str">
        <f>_xlfn.XLOOKUP(PE_2[[#This Row],[STN]],SE_2[STN],SE_2[IdeaEligibility],"w/o disability",0)</f>
        <v>w/o disability</v>
      </c>
      <c r="F600" t="str">
        <f>_xlfn.XLOOKUP(PE_2[[#This Row],[STN]],SE_2[STN],SE_2[Ethnicity],"",0)</f>
        <v/>
      </c>
    </row>
    <row r="601" spans="1:6" ht="13.9">
      <c r="A601" s="3">
        <v>18914051</v>
      </c>
      <c r="B601" s="10">
        <v>39629</v>
      </c>
      <c r="C601" s="19">
        <v>13.419632381697301</v>
      </c>
      <c r="D601" s="3"/>
      <c r="E601" t="str">
        <f>_xlfn.XLOOKUP(PE_2[[#This Row],[STN]],SE_2[STN],SE_2[IdeaEligibility],"w/o disability",0)</f>
        <v>w/o disability</v>
      </c>
      <c r="F601" t="str">
        <f>_xlfn.XLOOKUP(PE_2[[#This Row],[STN]],SE_2[STN],SE_2[Ethnicity],"",0)</f>
        <v/>
      </c>
    </row>
    <row r="602" spans="1:6" ht="13.9">
      <c r="A602" s="3">
        <v>18914054</v>
      </c>
      <c r="B602" s="10">
        <v>39424</v>
      </c>
      <c r="C602" s="19">
        <v>13.981565979193284</v>
      </c>
      <c r="D602" s="3"/>
      <c r="E602" t="str">
        <f>_xlfn.XLOOKUP(PE_2[[#This Row],[STN]],SE_2[STN],SE_2[IdeaEligibility],"w/o disability",0)</f>
        <v>w/o disability</v>
      </c>
      <c r="F602" t="str">
        <f>_xlfn.XLOOKUP(PE_2[[#This Row],[STN]],SE_2[STN],SE_2[Ethnicity],"",0)</f>
        <v/>
      </c>
    </row>
    <row r="603" spans="1:6" ht="13.9">
      <c r="A603" s="3" t="s">
        <v>640</v>
      </c>
      <c r="B603" s="10">
        <v>39533</v>
      </c>
      <c r="C603" s="19">
        <v>13.682440359796637</v>
      </c>
      <c r="D603" s="3"/>
      <c r="E603" t="str">
        <f>_xlfn.XLOOKUP(PE_2[[#This Row],[STN]],SE_2[STN],SE_2[IdeaEligibility],"w/o disability",0)</f>
        <v>w/o disability</v>
      </c>
      <c r="F603" t="str">
        <f>_xlfn.XLOOKUP(PE_2[[#This Row],[STN]],SE_2[STN],SE_2[Ethnicity],"",0)</f>
        <v/>
      </c>
    </row>
    <row r="604" spans="1:6" ht="13.9">
      <c r="A604" s="3">
        <v>17814069</v>
      </c>
      <c r="B604" s="10">
        <v>39430</v>
      </c>
      <c r="C604" s="19">
        <v>13.965139624018983</v>
      </c>
      <c r="D604" s="3"/>
      <c r="E604" t="str">
        <f>_xlfn.XLOOKUP(PE_2[[#This Row],[STN]],SE_2[STN],SE_2[IdeaEligibility],"w/o disability",0)</f>
        <v>w/o disability</v>
      </c>
      <c r="F604" t="str">
        <f>_xlfn.XLOOKUP(PE_2[[#This Row],[STN]],SE_2[STN],SE_2[Ethnicity],"",0)</f>
        <v/>
      </c>
    </row>
    <row r="605" spans="1:6" ht="13.9">
      <c r="A605" s="3">
        <v>17814070</v>
      </c>
      <c r="B605" s="10">
        <v>39335</v>
      </c>
      <c r="C605" s="19">
        <v>14.225223580945428</v>
      </c>
      <c r="D605" s="3"/>
      <c r="E605" t="str">
        <f>_xlfn.XLOOKUP(PE_2[[#This Row],[STN]],SE_2[STN],SE_2[IdeaEligibility],"w/o disability",0)</f>
        <v>w/o disability</v>
      </c>
      <c r="F605" t="str">
        <f>_xlfn.XLOOKUP(PE_2[[#This Row],[STN]],SE_2[STN],SE_2[Ethnicity],"",0)</f>
        <v/>
      </c>
    </row>
    <row r="606" spans="1:6" ht="13.9">
      <c r="A606" s="3">
        <v>26514018</v>
      </c>
      <c r="B606" s="10">
        <v>39400</v>
      </c>
      <c r="C606" s="19">
        <v>14.047271399890491</v>
      </c>
      <c r="D606" s="3"/>
      <c r="E606" t="str">
        <f>_xlfn.XLOOKUP(PE_2[[#This Row],[STN]],SE_2[STN],SE_2[IdeaEligibility],"w/o disability",0)</f>
        <v>w/o disability</v>
      </c>
      <c r="F606" t="str">
        <f>_xlfn.XLOOKUP(PE_2[[#This Row],[STN]],SE_2[STN],SE_2[Ethnicity],"",0)</f>
        <v/>
      </c>
    </row>
    <row r="607" spans="1:6" ht="13.9">
      <c r="A607" s="3">
        <v>17813063</v>
      </c>
      <c r="B607" s="10">
        <v>39473</v>
      </c>
      <c r="C607" s="19">
        <v>13.846695346108721</v>
      </c>
      <c r="D607" s="3"/>
      <c r="E607" t="str">
        <f>_xlfn.XLOOKUP(PE_2[[#This Row],[STN]],SE_2[STN],SE_2[IdeaEligibility],"w/o disability",0)</f>
        <v>w/o disability</v>
      </c>
      <c r="F607" t="str">
        <f>_xlfn.XLOOKUP(PE_2[[#This Row],[STN]],SE_2[STN],SE_2[Ethnicity],"",0)</f>
        <v/>
      </c>
    </row>
    <row r="608" spans="1:6" ht="13.9">
      <c r="A608" s="3">
        <v>25714033</v>
      </c>
      <c r="B608" s="10">
        <v>39594</v>
      </c>
      <c r="C608" s="19">
        <v>13.515447790379351</v>
      </c>
      <c r="D608" s="3"/>
      <c r="E608" t="str">
        <f>_xlfn.XLOOKUP(PE_2[[#This Row],[STN]],SE_2[STN],SE_2[IdeaEligibility],"w/o disability",0)</f>
        <v>w/o disability</v>
      </c>
      <c r="F608" t="str">
        <f>_xlfn.XLOOKUP(PE_2[[#This Row],[STN]],SE_2[STN],SE_2[Ethnicity],"",0)</f>
        <v/>
      </c>
    </row>
    <row r="609" spans="1:6" ht="13.9">
      <c r="A609" s="3">
        <v>16414052</v>
      </c>
      <c r="B609" s="10">
        <v>39436</v>
      </c>
      <c r="C609" s="19">
        <v>13.94871326884468</v>
      </c>
      <c r="D609" s="3"/>
      <c r="E609" t="str">
        <f>_xlfn.XLOOKUP(PE_2[[#This Row],[STN]],SE_2[STN],SE_2[IdeaEligibility],"w/o disability",0)</f>
        <v>w/o disability</v>
      </c>
      <c r="F609" t="str">
        <f>_xlfn.XLOOKUP(PE_2[[#This Row],[STN]],SE_2[STN],SE_2[Ethnicity],"",0)</f>
        <v/>
      </c>
    </row>
    <row r="610" spans="1:6" ht="13.9">
      <c r="A610" s="3">
        <v>18614080</v>
      </c>
      <c r="B610" s="10">
        <v>39303</v>
      </c>
      <c r="C610" s="19">
        <v>14.312830808541705</v>
      </c>
      <c r="D610" s="3"/>
      <c r="E610" t="str">
        <f>_xlfn.XLOOKUP(PE_2[[#This Row],[STN]],SE_2[STN],SE_2[IdeaEligibility],"w/o disability",0)</f>
        <v>w/o disability</v>
      </c>
      <c r="F610" t="str">
        <f>_xlfn.XLOOKUP(PE_2[[#This Row],[STN]],SE_2[STN],SE_2[Ethnicity],"",0)</f>
        <v/>
      </c>
    </row>
    <row r="611" spans="1:6" ht="13.9">
      <c r="A611" s="3">
        <v>25314082</v>
      </c>
      <c r="B611" s="10">
        <v>39358</v>
      </c>
      <c r="C611" s="19">
        <v>14.162255886110605</v>
      </c>
      <c r="D611" s="3"/>
      <c r="E611" t="str">
        <f>_xlfn.XLOOKUP(PE_2[[#This Row],[STN]],SE_2[STN],SE_2[IdeaEligibility],"w/o disability",0)</f>
        <v>w/o disability</v>
      </c>
      <c r="F611" t="str">
        <f>_xlfn.XLOOKUP(PE_2[[#This Row],[STN]],SE_2[STN],SE_2[Ethnicity],"",0)</f>
        <v/>
      </c>
    </row>
    <row r="612" spans="1:6" ht="13.9">
      <c r="A612" s="3">
        <v>25314084</v>
      </c>
      <c r="B612" s="10">
        <v>39580</v>
      </c>
      <c r="C612" s="19">
        <v>13.55377395385217</v>
      </c>
      <c r="D612" s="3"/>
      <c r="E612" t="b">
        <f>_xlfn.XLOOKUP(PE_2[[#This Row],[STN]],SE_2[STN],SE_2[IdeaEligibility],"w/o disability",0)</f>
        <v>1</v>
      </c>
      <c r="F612" t="str">
        <f>_xlfn.XLOOKUP(PE_2[[#This Row],[STN]],SE_2[STN],SE_2[Ethnicity],"",0)</f>
        <v>White</v>
      </c>
    </row>
    <row r="613" spans="1:6" ht="13.9">
      <c r="A613" s="3">
        <v>13814008</v>
      </c>
      <c r="B613" s="10">
        <v>39620</v>
      </c>
      <c r="C613" s="19">
        <v>13.444270629644114</v>
      </c>
      <c r="D613" s="3"/>
      <c r="E613" t="str">
        <f>_xlfn.XLOOKUP(PE_2[[#This Row],[STN]],SE_2[STN],SE_2[IdeaEligibility],"w/o disability",0)</f>
        <v>w/o disability</v>
      </c>
      <c r="F613" t="str">
        <f>_xlfn.XLOOKUP(PE_2[[#This Row],[STN]],SE_2[STN],SE_2[Ethnicity],"",0)</f>
        <v/>
      </c>
    </row>
    <row r="614" spans="1:6" ht="13.9">
      <c r="A614" s="3">
        <v>25314071</v>
      </c>
      <c r="B614" s="10">
        <v>39493</v>
      </c>
      <c r="C614" s="19">
        <v>13.791943684004693</v>
      </c>
      <c r="D614" s="3"/>
      <c r="E614" t="str">
        <f>_xlfn.XLOOKUP(PE_2[[#This Row],[STN]],SE_2[STN],SE_2[IdeaEligibility],"w/o disability",0)</f>
        <v>w/o disability</v>
      </c>
      <c r="F614" t="str">
        <f>_xlfn.XLOOKUP(PE_2[[#This Row],[STN]],SE_2[STN],SE_2[Ethnicity],"",0)</f>
        <v/>
      </c>
    </row>
    <row r="615" spans="1:6" ht="13.9">
      <c r="A615" s="3">
        <v>27314072</v>
      </c>
      <c r="B615" s="10">
        <v>39346</v>
      </c>
      <c r="C615" s="19">
        <v>14.195108596459209</v>
      </c>
      <c r="D615" s="3"/>
      <c r="E615" t="str">
        <f>_xlfn.XLOOKUP(PE_2[[#This Row],[STN]],SE_2[STN],SE_2[IdeaEligibility],"w/o disability",0)</f>
        <v>w/o disability</v>
      </c>
      <c r="F615" t="str">
        <f>_xlfn.XLOOKUP(PE_2[[#This Row],[STN]],SE_2[STN],SE_2[Ethnicity],"",0)</f>
        <v/>
      </c>
    </row>
    <row r="616" spans="1:6" ht="13.9">
      <c r="A616" s="3">
        <v>13614085</v>
      </c>
      <c r="B616" s="10">
        <v>39397</v>
      </c>
      <c r="C616" s="19">
        <v>14.055484577477642</v>
      </c>
      <c r="D616" s="3"/>
      <c r="E616" t="str">
        <f>_xlfn.XLOOKUP(PE_2[[#This Row],[STN]],SE_2[STN],SE_2[IdeaEligibility],"w/o disability",0)</f>
        <v>w/o disability</v>
      </c>
      <c r="F616" t="str">
        <f>_xlfn.XLOOKUP(PE_2[[#This Row],[STN]],SE_2[STN],SE_2[Ethnicity],"",0)</f>
        <v/>
      </c>
    </row>
    <row r="617" spans="1:6" ht="13.9">
      <c r="A617" s="3">
        <v>16114092</v>
      </c>
      <c r="B617" s="10">
        <v>39433</v>
      </c>
      <c r="C617" s="19">
        <v>13.956926446431831</v>
      </c>
      <c r="D617" s="3"/>
      <c r="E617" t="str">
        <f>_xlfn.XLOOKUP(PE_2[[#This Row],[STN]],SE_2[STN],SE_2[IdeaEligibility],"w/o disability",0)</f>
        <v>w/o disability</v>
      </c>
      <c r="F617" t="str">
        <f>_xlfn.XLOOKUP(PE_2[[#This Row],[STN]],SE_2[STN],SE_2[Ethnicity],"",0)</f>
        <v/>
      </c>
    </row>
    <row r="618" spans="1:6" ht="13.9">
      <c r="A618" s="3">
        <v>16414061</v>
      </c>
      <c r="B618" s="10">
        <v>39534</v>
      </c>
      <c r="C618" s="19">
        <v>13.679702776691435</v>
      </c>
      <c r="D618" s="3"/>
      <c r="E618" t="str">
        <f>_xlfn.XLOOKUP(PE_2[[#This Row],[STN]],SE_2[STN],SE_2[IdeaEligibility],"w/o disability",0)</f>
        <v>w/o disability</v>
      </c>
      <c r="F618" t="str">
        <f>_xlfn.XLOOKUP(PE_2[[#This Row],[STN]],SE_2[STN],SE_2[Ethnicity],"",0)</f>
        <v/>
      </c>
    </row>
    <row r="619" spans="1:6" ht="13.9">
      <c r="A619" s="3">
        <v>15714073</v>
      </c>
      <c r="B619" s="10">
        <v>39580</v>
      </c>
      <c r="C619" s="19">
        <v>13.55377395385217</v>
      </c>
      <c r="D619" s="3"/>
      <c r="E619" t="str">
        <f>_xlfn.XLOOKUP(PE_2[[#This Row],[STN]],SE_2[STN],SE_2[IdeaEligibility],"w/o disability",0)</f>
        <v>w/o disability</v>
      </c>
      <c r="F619" t="str">
        <f>_xlfn.XLOOKUP(PE_2[[#This Row],[STN]],SE_2[STN],SE_2[Ethnicity],"",0)</f>
        <v/>
      </c>
    </row>
    <row r="620" spans="1:6" ht="13.9">
      <c r="A620" s="3">
        <v>16114086</v>
      </c>
      <c r="B620" s="10">
        <v>39642</v>
      </c>
      <c r="C620" s="19">
        <v>13.384043801329684</v>
      </c>
      <c r="D620" s="3"/>
      <c r="E620" t="str">
        <f>_xlfn.XLOOKUP(PE_2[[#This Row],[STN]],SE_2[STN],SE_2[IdeaEligibility],"w/o disability",0)</f>
        <v>w/o disability</v>
      </c>
      <c r="F620" t="str">
        <f>_xlfn.XLOOKUP(PE_2[[#This Row],[STN]],SE_2[STN],SE_2[Ethnicity],"",0)</f>
        <v/>
      </c>
    </row>
    <row r="621" spans="1:6" ht="13.9">
      <c r="A621" s="3">
        <v>14114080</v>
      </c>
      <c r="B621" s="10">
        <v>39367</v>
      </c>
      <c r="C621" s="19">
        <v>14.137616353349152</v>
      </c>
      <c r="D621" s="3"/>
      <c r="E621" t="str">
        <f>_xlfn.XLOOKUP(PE_2[[#This Row],[STN]],SE_2[STN],SE_2[IdeaEligibility],"w/o disability",0)</f>
        <v>w/o disability</v>
      </c>
      <c r="F621" t="str">
        <f>_xlfn.XLOOKUP(PE_2[[#This Row],[STN]],SE_2[STN],SE_2[Ethnicity],"",0)</f>
        <v/>
      </c>
    </row>
    <row r="622" spans="1:6" ht="13.9">
      <c r="A622" s="3">
        <v>13413003</v>
      </c>
      <c r="B622" s="10">
        <v>39421</v>
      </c>
      <c r="C622" s="19">
        <v>13.989779156780434</v>
      </c>
      <c r="D622" s="3"/>
      <c r="E622" t="str">
        <f>_xlfn.XLOOKUP(PE_2[[#This Row],[STN]],SE_2[STN],SE_2[IdeaEligibility],"w/o disability",0)</f>
        <v>w/o disability</v>
      </c>
      <c r="F622" t="str">
        <f>_xlfn.XLOOKUP(PE_2[[#This Row],[STN]],SE_2[STN],SE_2[Ethnicity],"",0)</f>
        <v/>
      </c>
    </row>
    <row r="623" spans="1:6" ht="13.9">
      <c r="A623" s="3">
        <v>25314033</v>
      </c>
      <c r="B623" s="10">
        <v>39623</v>
      </c>
      <c r="C623" s="19">
        <v>13.43605788032851</v>
      </c>
      <c r="D623" s="3"/>
      <c r="E623" t="str">
        <f>_xlfn.XLOOKUP(PE_2[[#This Row],[STN]],SE_2[STN],SE_2[IdeaEligibility],"w/o disability",0)</f>
        <v>w/o disability</v>
      </c>
      <c r="F623" t="str">
        <f>_xlfn.XLOOKUP(PE_2[[#This Row],[STN]],SE_2[STN],SE_2[Ethnicity],"",0)</f>
        <v/>
      </c>
    </row>
    <row r="624" spans="1:6" ht="13.9">
      <c r="A624" s="3">
        <v>13614074</v>
      </c>
      <c r="B624" s="10">
        <v>39632</v>
      </c>
      <c r="C624" s="19">
        <v>13.411419632381698</v>
      </c>
      <c r="D624" s="3"/>
      <c r="E624" t="str">
        <f>_xlfn.XLOOKUP(PE_2[[#This Row],[STN]],SE_2[STN],SE_2[IdeaEligibility],"w/o disability",0)</f>
        <v>w/o disability</v>
      </c>
      <c r="F624" t="str">
        <f>_xlfn.XLOOKUP(PE_2[[#This Row],[STN]],SE_2[STN],SE_2[Ethnicity],"",0)</f>
        <v/>
      </c>
    </row>
    <row r="625" spans="1:6" ht="13.9">
      <c r="A625" s="3">
        <v>13614077</v>
      </c>
      <c r="B625" s="10">
        <v>39489</v>
      </c>
      <c r="C625" s="19">
        <v>13.802894016425499</v>
      </c>
      <c r="D625" s="3"/>
      <c r="E625" t="str">
        <f>_xlfn.XLOOKUP(PE_2[[#This Row],[STN]],SE_2[STN],SE_2[IdeaEligibility],"w/o disability",0)</f>
        <v>w/o disability</v>
      </c>
      <c r="F625" t="str">
        <f>_xlfn.XLOOKUP(PE_2[[#This Row],[STN]],SE_2[STN],SE_2[Ethnicity],"",0)</f>
        <v/>
      </c>
    </row>
    <row r="626" spans="1:6" ht="13.9">
      <c r="A626" s="3">
        <v>13614065</v>
      </c>
      <c r="B626" s="10">
        <v>39398</v>
      </c>
      <c r="C626" s="19">
        <v>14.052746851615259</v>
      </c>
      <c r="D626" s="3"/>
      <c r="E626" t="str">
        <f>_xlfn.XLOOKUP(PE_2[[#This Row],[STN]],SE_2[STN],SE_2[IdeaEligibility],"w/o disability",0)</f>
        <v>w/o disability</v>
      </c>
      <c r="F626" t="str">
        <f>_xlfn.XLOOKUP(PE_2[[#This Row],[STN]],SE_2[STN],SE_2[Ethnicity],"",0)</f>
        <v/>
      </c>
    </row>
    <row r="627" spans="1:6" ht="13.9">
      <c r="A627" s="3">
        <v>13614067</v>
      </c>
      <c r="B627" s="10">
        <v>39671</v>
      </c>
      <c r="C627" s="19">
        <v>13.304653891278843</v>
      </c>
      <c r="D627" s="3"/>
      <c r="E627" t="str">
        <f>_xlfn.XLOOKUP(PE_2[[#This Row],[STN]],SE_2[STN],SE_2[IdeaEligibility],"w/o disability",0)</f>
        <v>w/o disability</v>
      </c>
      <c r="F627" t="str">
        <f>_xlfn.XLOOKUP(PE_2[[#This Row],[STN]],SE_2[STN],SE_2[Ethnicity],"",0)</f>
        <v/>
      </c>
    </row>
    <row r="628" spans="1:6" ht="13.9">
      <c r="A628" s="3">
        <v>24914071</v>
      </c>
      <c r="B628" s="10">
        <v>39312</v>
      </c>
      <c r="C628" s="19">
        <v>14.288191275780253</v>
      </c>
      <c r="D628" s="3"/>
      <c r="E628" t="str">
        <f>_xlfn.XLOOKUP(PE_2[[#This Row],[STN]],SE_2[STN],SE_2[IdeaEligibility],"w/o disability",0)</f>
        <v>w/o disability</v>
      </c>
      <c r="F628" t="str">
        <f>_xlfn.XLOOKUP(PE_2[[#This Row],[STN]],SE_2[STN],SE_2[Ethnicity],"",0)</f>
        <v/>
      </c>
    </row>
    <row r="629" spans="1:6" ht="13.9">
      <c r="A629" s="3">
        <v>25314031</v>
      </c>
      <c r="B629" s="10">
        <v>39310</v>
      </c>
      <c r="C629" s="19">
        <v>14.29366672750502</v>
      </c>
      <c r="D629" s="3"/>
      <c r="E629" t="str">
        <f>_xlfn.XLOOKUP(PE_2[[#This Row],[STN]],SE_2[STN],SE_2[IdeaEligibility],"w/o disability",0)</f>
        <v>w/o disability</v>
      </c>
      <c r="F629" t="str">
        <f>_xlfn.XLOOKUP(PE_2[[#This Row],[STN]],SE_2[STN],SE_2[Ethnicity],"",0)</f>
        <v/>
      </c>
    </row>
    <row r="630" spans="1:6" ht="13.9">
      <c r="A630" s="3">
        <v>25314072</v>
      </c>
      <c r="B630" s="10">
        <v>39591</v>
      </c>
      <c r="C630" s="19">
        <v>13.523660539694955</v>
      </c>
      <c r="D630" s="3"/>
      <c r="E630" t="str">
        <f>_xlfn.XLOOKUP(PE_2[[#This Row],[STN]],SE_2[STN],SE_2[IdeaEligibility],"w/o disability",0)</f>
        <v>w/o disability</v>
      </c>
      <c r="F630" t="str">
        <f>_xlfn.XLOOKUP(PE_2[[#This Row],[STN]],SE_2[STN],SE_2[Ethnicity],"",0)</f>
        <v/>
      </c>
    </row>
    <row r="631" spans="1:6" ht="13.9">
      <c r="A631" s="3">
        <v>25314081</v>
      </c>
      <c r="B631" s="10">
        <v>39350</v>
      </c>
      <c r="C631" s="19">
        <v>14.184157693009674</v>
      </c>
      <c r="D631" s="3"/>
      <c r="E631" t="str">
        <f>_xlfn.XLOOKUP(PE_2[[#This Row],[STN]],SE_2[STN],SE_2[IdeaEligibility],"w/o disability",0)</f>
        <v>w/o disability</v>
      </c>
      <c r="F631" t="str">
        <f>_xlfn.XLOOKUP(PE_2[[#This Row],[STN]],SE_2[STN],SE_2[Ethnicity],"",0)</f>
        <v/>
      </c>
    </row>
    <row r="632" spans="1:6" ht="13.9">
      <c r="A632" s="3">
        <v>18914056</v>
      </c>
      <c r="B632" s="10">
        <v>39500</v>
      </c>
      <c r="C632" s="19">
        <v>13.772780602268284</v>
      </c>
      <c r="D632" s="3"/>
      <c r="E632" t="str">
        <f>_xlfn.XLOOKUP(PE_2[[#This Row],[STN]],SE_2[STN],SE_2[IdeaEligibility],"w/o disability",0)</f>
        <v>w/o disability</v>
      </c>
      <c r="F632" t="str">
        <f>_xlfn.XLOOKUP(PE_2[[#This Row],[STN]],SE_2[STN],SE_2[Ethnicity],"",0)</f>
        <v/>
      </c>
    </row>
    <row r="633" spans="1:6" ht="13.9">
      <c r="A633" s="3">
        <v>20914060</v>
      </c>
      <c r="B633" s="10">
        <v>39495</v>
      </c>
      <c r="C633" s="19">
        <v>13.78646851779429</v>
      </c>
      <c r="D633" s="3"/>
      <c r="E633" t="str">
        <f>_xlfn.XLOOKUP(PE_2[[#This Row],[STN]],SE_2[STN],SE_2[IdeaEligibility],"w/o disability",0)</f>
        <v>w/o disability</v>
      </c>
      <c r="F633" t="str">
        <f>_xlfn.XLOOKUP(PE_2[[#This Row],[STN]],SE_2[STN],SE_2[Ethnicity],"",0)</f>
        <v/>
      </c>
    </row>
    <row r="634" spans="1:6" ht="13.9">
      <c r="A634" s="3">
        <v>26514016</v>
      </c>
      <c r="B634" s="10">
        <v>39522</v>
      </c>
      <c r="C634" s="19">
        <v>13.712553773953852</v>
      </c>
      <c r="D634" s="3"/>
      <c r="E634" t="str">
        <f>_xlfn.XLOOKUP(PE_2[[#This Row],[STN]],SE_2[STN],SE_2[IdeaEligibility],"w/o disability",0)</f>
        <v>w/o disability</v>
      </c>
      <c r="F634" t="str">
        <f>_xlfn.XLOOKUP(PE_2[[#This Row],[STN]],SE_2[STN],SE_2[Ethnicity],"",0)</f>
        <v/>
      </c>
    </row>
    <row r="635" spans="1:6" ht="13.9">
      <c r="A635" s="3">
        <v>13614061</v>
      </c>
      <c r="B635" s="10">
        <v>39301</v>
      </c>
      <c r="C635" s="19">
        <v>14.318306260266473</v>
      </c>
      <c r="D635" s="3"/>
      <c r="E635" t="str">
        <f>_xlfn.XLOOKUP(PE_2[[#This Row],[STN]],SE_2[STN],SE_2[IdeaEligibility],"w/o disability",0)</f>
        <v>w/o disability</v>
      </c>
      <c r="F635" t="str">
        <f>_xlfn.XLOOKUP(PE_2[[#This Row],[STN]],SE_2[STN],SE_2[Ethnicity],"",0)</f>
        <v/>
      </c>
    </row>
    <row r="636" spans="1:6" ht="13.9">
      <c r="A636" s="3">
        <v>13614062</v>
      </c>
      <c r="B636" s="10">
        <v>39435</v>
      </c>
      <c r="C636" s="19">
        <v>13.951450994707065</v>
      </c>
      <c r="D636" s="3"/>
      <c r="E636" t="str">
        <f>_xlfn.XLOOKUP(PE_2[[#This Row],[STN]],SE_2[STN],SE_2[IdeaEligibility],"w/o disability",0)</f>
        <v>w/o disability</v>
      </c>
      <c r="F636" t="str">
        <f>_xlfn.XLOOKUP(PE_2[[#This Row],[STN]],SE_2[STN],SE_2[Ethnicity],"",0)</f>
        <v/>
      </c>
    </row>
    <row r="637" spans="1:6" ht="13.9">
      <c r="A637" s="3">
        <v>13614069</v>
      </c>
      <c r="B637" s="10">
        <v>39430</v>
      </c>
      <c r="C637" s="19">
        <v>13.965139624018983</v>
      </c>
      <c r="D637" s="3"/>
      <c r="E637" t="str">
        <f>_xlfn.XLOOKUP(PE_2[[#This Row],[STN]],SE_2[STN],SE_2[IdeaEligibility],"w/o disability",0)</f>
        <v>w/o disability</v>
      </c>
      <c r="F637" t="str">
        <f>_xlfn.XLOOKUP(PE_2[[#This Row],[STN]],SE_2[STN],SE_2[Ethnicity],"",0)</f>
        <v/>
      </c>
    </row>
    <row r="638" spans="1:6" ht="13.9">
      <c r="A638" s="3">
        <v>27314061</v>
      </c>
      <c r="B638" s="10">
        <v>39639</v>
      </c>
      <c r="C638" s="19">
        <v>13.392256550645287</v>
      </c>
      <c r="D638" s="3"/>
      <c r="E638" t="str">
        <f>_xlfn.XLOOKUP(PE_2[[#This Row],[STN]],SE_2[STN],SE_2[IdeaEligibility],"w/o disability",0)</f>
        <v>w/o disability</v>
      </c>
      <c r="F638" t="str">
        <f>_xlfn.XLOOKUP(PE_2[[#This Row],[STN]],SE_2[STN],SE_2[Ethnicity],"",0)</f>
        <v/>
      </c>
    </row>
    <row r="639" spans="1:6" ht="13.9">
      <c r="A639" s="3">
        <v>16114080</v>
      </c>
      <c r="B639" s="10">
        <v>38669</v>
      </c>
      <c r="C639" s="19">
        <v>16.04992752456112</v>
      </c>
      <c r="D639" s="3"/>
      <c r="E639" t="str">
        <f>_xlfn.XLOOKUP(PE_2[[#This Row],[STN]],SE_2[STN],SE_2[IdeaEligibility],"w/o disability",0)</f>
        <v>w/o disability</v>
      </c>
      <c r="F639" t="str">
        <f>_xlfn.XLOOKUP(PE_2[[#This Row],[STN]],SE_2[STN],SE_2[Ethnicity],"",0)</f>
        <v/>
      </c>
    </row>
    <row r="640" spans="1:6" ht="13.9">
      <c r="A640" s="3">
        <v>25711530</v>
      </c>
      <c r="B640" s="10">
        <v>38774</v>
      </c>
      <c r="C640" s="19">
        <v>15.761806981519507</v>
      </c>
      <c r="D640" s="3"/>
      <c r="E640" t="str">
        <f>_xlfn.XLOOKUP(PE_2[[#This Row],[STN]],SE_2[STN],SE_2[IdeaEligibility],"w/o disability",0)</f>
        <v>w/o disability</v>
      </c>
      <c r="F640" t="str">
        <f>_xlfn.XLOOKUP(PE_2[[#This Row],[STN]],SE_2[STN],SE_2[Ethnicity],"",0)</f>
        <v/>
      </c>
    </row>
    <row r="641" spans="1:6" ht="13.9">
      <c r="A641" s="3">
        <v>13611566</v>
      </c>
      <c r="B641" s="10">
        <v>39107</v>
      </c>
      <c r="C641" s="19">
        <v>14.849425077568901</v>
      </c>
      <c r="D641" s="3"/>
      <c r="E641" t="str">
        <f>_xlfn.XLOOKUP(PE_2[[#This Row],[STN]],SE_2[STN],SE_2[IdeaEligibility],"w/o disability",0)</f>
        <v>w/o disability</v>
      </c>
      <c r="F641" t="str">
        <f>_xlfn.XLOOKUP(PE_2[[#This Row],[STN]],SE_2[STN],SE_2[Ethnicity],"",0)</f>
        <v/>
      </c>
    </row>
    <row r="642" spans="1:6" ht="13.9">
      <c r="A642" s="3">
        <v>14111558</v>
      </c>
      <c r="B642" s="10">
        <v>38894</v>
      </c>
      <c r="C642" s="19">
        <v>15.433264887063656</v>
      </c>
      <c r="D642" s="3"/>
      <c r="E642" t="str">
        <f>_xlfn.XLOOKUP(PE_2[[#This Row],[STN]],SE_2[STN],SE_2[IdeaEligibility],"w/o disability",0)</f>
        <v>w/o disability</v>
      </c>
      <c r="F642" t="str">
        <f>_xlfn.XLOOKUP(PE_2[[#This Row],[STN]],SE_2[STN],SE_2[Ethnicity],"",0)</f>
        <v/>
      </c>
    </row>
    <row r="643" spans="1:6" ht="13.9">
      <c r="A643" s="3">
        <v>27011592</v>
      </c>
      <c r="B643" s="10">
        <v>38858</v>
      </c>
      <c r="C643" s="19">
        <v>15.53182751540041</v>
      </c>
      <c r="D643" s="3"/>
      <c r="E643" t="str">
        <f>_xlfn.XLOOKUP(PE_2[[#This Row],[STN]],SE_2[STN],SE_2[IdeaEligibility],"w/o disability",0)</f>
        <v>w/o disability</v>
      </c>
      <c r="F643" t="str">
        <f>_xlfn.XLOOKUP(PE_2[[#This Row],[STN]],SE_2[STN],SE_2[Ethnicity],"",0)</f>
        <v/>
      </c>
    </row>
    <row r="644" spans="1:6" ht="13.9">
      <c r="A644" s="3">
        <v>13611565</v>
      </c>
      <c r="B644" s="10">
        <v>38825</v>
      </c>
      <c r="C644" s="19">
        <v>15.622176591375769</v>
      </c>
      <c r="D644" s="3"/>
      <c r="E644" t="str">
        <f>_xlfn.XLOOKUP(PE_2[[#This Row],[STN]],SE_2[STN],SE_2[IdeaEligibility],"w/o disability",0)</f>
        <v>w/o disability</v>
      </c>
      <c r="F644" t="str">
        <f>_xlfn.XLOOKUP(PE_2[[#This Row],[STN]],SE_2[STN],SE_2[Ethnicity],"",0)</f>
        <v/>
      </c>
    </row>
    <row r="645" spans="1:6" ht="13.9">
      <c r="A645" s="3">
        <v>15311578</v>
      </c>
      <c r="B645" s="10">
        <v>38748</v>
      </c>
      <c r="C645" s="19">
        <v>15.832991101984941</v>
      </c>
      <c r="D645" s="3"/>
      <c r="E645" t="str">
        <f>_xlfn.XLOOKUP(PE_2[[#This Row],[STN]],SE_2[STN],SE_2[IdeaEligibility],"w/o disability",0)</f>
        <v>w/o disability</v>
      </c>
      <c r="F645" t="str">
        <f>_xlfn.XLOOKUP(PE_2[[#This Row],[STN]],SE_2[STN],SE_2[Ethnicity],"",0)</f>
        <v/>
      </c>
    </row>
    <row r="646" spans="1:6" ht="13.9">
      <c r="A646" s="3">
        <v>15711610</v>
      </c>
      <c r="B646" s="10">
        <v>38806</v>
      </c>
      <c r="C646" s="19">
        <v>15.674195756331279</v>
      </c>
      <c r="D646" s="3"/>
      <c r="E646" t="str">
        <f>_xlfn.XLOOKUP(PE_2[[#This Row],[STN]],SE_2[STN],SE_2[IdeaEligibility],"w/o disability",0)</f>
        <v>w/o disability</v>
      </c>
      <c r="F646" t="str">
        <f>_xlfn.XLOOKUP(PE_2[[#This Row],[STN]],SE_2[STN],SE_2[Ethnicity],"",0)</f>
        <v/>
      </c>
    </row>
    <row r="647" spans="1:6" ht="13.9">
      <c r="A647" s="3">
        <v>14911561</v>
      </c>
      <c r="B647" s="10">
        <v>38853</v>
      </c>
      <c r="C647" s="19">
        <v>15.545516769336071</v>
      </c>
      <c r="D647" s="3"/>
      <c r="E647" t="str">
        <f>_xlfn.XLOOKUP(PE_2[[#This Row],[STN]],SE_2[STN],SE_2[IdeaEligibility],"w/o disability",0)</f>
        <v>w/o disability</v>
      </c>
      <c r="F647" t="str">
        <f>_xlfn.XLOOKUP(PE_2[[#This Row],[STN]],SE_2[STN],SE_2[Ethnicity],"",0)</f>
        <v/>
      </c>
    </row>
    <row r="648" spans="1:6" ht="13.9">
      <c r="A648" s="3" t="s">
        <v>641</v>
      </c>
      <c r="B648" s="10">
        <v>38665</v>
      </c>
      <c r="C648" s="19">
        <v>16.060879368658398</v>
      </c>
      <c r="D648" s="3"/>
      <c r="E648" t="str">
        <f>_xlfn.XLOOKUP(PE_2[[#This Row],[STN]],SE_2[STN],SE_2[IdeaEligibility],"w/o disability",0)</f>
        <v>w/o disability</v>
      </c>
      <c r="F648" t="str">
        <f>_xlfn.XLOOKUP(PE_2[[#This Row],[STN]],SE_2[STN],SE_2[Ethnicity],"",0)</f>
        <v/>
      </c>
    </row>
    <row r="649" spans="1:6" ht="13.9">
      <c r="A649" s="3">
        <v>8312091</v>
      </c>
      <c r="B649" s="10">
        <v>38822</v>
      </c>
      <c r="C649" s="19">
        <v>15.630390143737166</v>
      </c>
      <c r="D649" s="3"/>
      <c r="E649" t="str">
        <f>_xlfn.XLOOKUP(PE_2[[#This Row],[STN]],SE_2[STN],SE_2[IdeaEligibility],"w/o disability",0)</f>
        <v>w/o disability</v>
      </c>
      <c r="F649" t="str">
        <f>_xlfn.XLOOKUP(PE_2[[#This Row],[STN]],SE_2[STN],SE_2[Ethnicity],"",0)</f>
        <v/>
      </c>
    </row>
    <row r="650" spans="1:6" ht="13.9">
      <c r="A650" s="3">
        <v>21313507</v>
      </c>
      <c r="B650" s="10">
        <v>39618</v>
      </c>
      <c r="C650" s="19">
        <v>13.449745795854517</v>
      </c>
      <c r="D650" s="3"/>
      <c r="E650" t="b">
        <f>_xlfn.XLOOKUP(PE_2[[#This Row],[STN]],SE_2[STN],SE_2[IdeaEligibility],"w/o disability",0)</f>
        <v>1</v>
      </c>
      <c r="F650" t="str">
        <f>_xlfn.XLOOKUP(PE_2[[#This Row],[STN]],SE_2[STN],SE_2[Ethnicity],"",0)</f>
        <v>Hispanic Ethnicity and of any race</v>
      </c>
    </row>
    <row r="651" spans="1:6" ht="13.9">
      <c r="A651" s="3" t="s">
        <v>642</v>
      </c>
      <c r="B651" s="10">
        <v>38897</v>
      </c>
      <c r="C651" s="19">
        <v>15.425051334702259</v>
      </c>
      <c r="D651" s="3"/>
      <c r="E651" t="str">
        <f>_xlfn.XLOOKUP(PE_2[[#This Row],[STN]],SE_2[STN],SE_2[IdeaEligibility],"w/o disability",0)</f>
        <v>w/o disability</v>
      </c>
      <c r="F651" t="str">
        <f>_xlfn.XLOOKUP(PE_2[[#This Row],[STN]],SE_2[STN],SE_2[Ethnicity],"",0)</f>
        <v/>
      </c>
    </row>
    <row r="652" spans="1:6" ht="13.9">
      <c r="A652" s="3">
        <v>31012122</v>
      </c>
      <c r="B652" s="10">
        <v>38779</v>
      </c>
      <c r="C652" s="19">
        <v>15.748117727583846</v>
      </c>
      <c r="D652" s="3"/>
      <c r="E652" t="str">
        <f>_xlfn.XLOOKUP(PE_2[[#This Row],[STN]],SE_2[STN],SE_2[IdeaEligibility],"w/o disability",0)</f>
        <v>w/o disability</v>
      </c>
      <c r="F652" t="str">
        <f>_xlfn.XLOOKUP(PE_2[[#This Row],[STN]],SE_2[STN],SE_2[Ethnicity],"",0)</f>
        <v/>
      </c>
    </row>
    <row r="653" spans="1:6" ht="13.9">
      <c r="A653" s="5">
        <v>255120801</v>
      </c>
      <c r="B653" s="10">
        <v>39238</v>
      </c>
      <c r="C653" s="19">
        <v>14.490782989596642</v>
      </c>
      <c r="D653" s="3"/>
      <c r="E653" t="str">
        <f>_xlfn.XLOOKUP(PE_2[[#This Row],[STN]],SE_2[STN],SE_2[IdeaEligibility],"w/o disability",0)</f>
        <v>w/o disability</v>
      </c>
      <c r="F653" t="str">
        <f>_xlfn.XLOOKUP(PE_2[[#This Row],[STN]],SE_2[STN],SE_2[Ethnicity],"",0)</f>
        <v/>
      </c>
    </row>
    <row r="654" spans="1:6" ht="13.9">
      <c r="A654" s="5">
        <v>180112160</v>
      </c>
      <c r="B654" s="10">
        <v>39364</v>
      </c>
      <c r="C654" s="19">
        <v>14.145829530936302</v>
      </c>
      <c r="D654" s="3"/>
      <c r="E654" t="str">
        <f>_xlfn.XLOOKUP(PE_2[[#This Row],[STN]],SE_2[STN],SE_2[IdeaEligibility],"w/o disability",0)</f>
        <v>w/o disability</v>
      </c>
      <c r="F654" t="str">
        <f>_xlfn.XLOOKUP(PE_2[[#This Row],[STN]],SE_2[STN],SE_2[Ethnicity],"",0)</f>
        <v/>
      </c>
    </row>
    <row r="655" spans="1:6" ht="13.9">
      <c r="A655" s="3">
        <v>31012113</v>
      </c>
      <c r="B655" s="10">
        <v>38689</v>
      </c>
      <c r="C655" s="19">
        <v>15.995168304074729</v>
      </c>
      <c r="D655" s="3"/>
      <c r="E655" t="str">
        <f>_xlfn.XLOOKUP(PE_2[[#This Row],[STN]],SE_2[STN],SE_2[IdeaEligibility],"w/o disability",0)</f>
        <v>w/o disability</v>
      </c>
      <c r="F655" t="str">
        <f>_xlfn.XLOOKUP(PE_2[[#This Row],[STN]],SE_2[STN],SE_2[Ethnicity],"",0)</f>
        <v/>
      </c>
    </row>
    <row r="656" spans="1:6" ht="13.9">
      <c r="A656" s="5">
        <v>255120813</v>
      </c>
      <c r="B656" s="10">
        <v>39098</v>
      </c>
      <c r="C656" s="19">
        <v>14.874064610330352</v>
      </c>
      <c r="D656" s="3"/>
      <c r="E656" t="str">
        <f>_xlfn.XLOOKUP(PE_2[[#This Row],[STN]],SE_2[STN],SE_2[IdeaEligibility],"w/o disability",0)</f>
        <v>w/o disability</v>
      </c>
      <c r="F656" t="str">
        <f>_xlfn.XLOOKUP(PE_2[[#This Row],[STN]],SE_2[STN],SE_2[Ethnicity],"",0)</f>
        <v/>
      </c>
    </row>
    <row r="657" spans="1:6" ht="13.9">
      <c r="A657" s="3">
        <v>20911559</v>
      </c>
      <c r="B657" s="10">
        <v>38717</v>
      </c>
      <c r="C657" s="19">
        <v>15.918505395393783</v>
      </c>
      <c r="D657" s="3"/>
      <c r="E657" t="str">
        <f>_xlfn.XLOOKUP(PE_2[[#This Row],[STN]],SE_2[STN],SE_2[IdeaEligibility],"w/o disability",0)</f>
        <v>w/o disability</v>
      </c>
      <c r="F657" t="str">
        <f>_xlfn.XLOOKUP(PE_2[[#This Row],[STN]],SE_2[STN],SE_2[Ethnicity],"",0)</f>
        <v/>
      </c>
    </row>
    <row r="658" spans="1:6" ht="13.9">
      <c r="A658" s="3">
        <v>18911550</v>
      </c>
      <c r="B658" s="10">
        <v>38841</v>
      </c>
      <c r="C658" s="19">
        <v>15.578370978781656</v>
      </c>
      <c r="D658" s="3"/>
      <c r="E658" t="str">
        <f>_xlfn.XLOOKUP(PE_2[[#This Row],[STN]],SE_2[STN],SE_2[IdeaEligibility],"w/o disability",0)</f>
        <v>w/o disability</v>
      </c>
      <c r="F658" t="str">
        <f>_xlfn.XLOOKUP(PE_2[[#This Row],[STN]],SE_2[STN],SE_2[Ethnicity],"",0)</f>
        <v/>
      </c>
    </row>
    <row r="659" spans="1:6" ht="13.9">
      <c r="A659" s="3">
        <v>31012109</v>
      </c>
      <c r="B659" s="10">
        <v>38567</v>
      </c>
      <c r="C659" s="19">
        <v>16.329199549041714</v>
      </c>
      <c r="D659" s="3"/>
      <c r="E659" t="str">
        <f>_xlfn.XLOOKUP(PE_2[[#This Row],[STN]],SE_2[STN],SE_2[IdeaEligibility],"w/o disability",0)</f>
        <v>w/o disability</v>
      </c>
      <c r="F659" t="str">
        <f>_xlfn.XLOOKUP(PE_2[[#This Row],[STN]],SE_2[STN],SE_2[Ethnicity],"",0)</f>
        <v/>
      </c>
    </row>
    <row r="660" spans="1:6" ht="13.9">
      <c r="A660" s="3">
        <v>31012089</v>
      </c>
      <c r="B660" s="10">
        <v>38671</v>
      </c>
      <c r="C660" s="19">
        <v>16.044451602512481</v>
      </c>
      <c r="D660" s="3"/>
      <c r="E660" t="str">
        <f>_xlfn.XLOOKUP(PE_2[[#This Row],[STN]],SE_2[STN],SE_2[IdeaEligibility],"w/o disability",0)</f>
        <v>w/o disability</v>
      </c>
      <c r="F660" t="str">
        <f>_xlfn.XLOOKUP(PE_2[[#This Row],[STN]],SE_2[STN],SE_2[Ethnicity],"",0)</f>
        <v/>
      </c>
    </row>
    <row r="661" spans="1:6" ht="13.9">
      <c r="A661" s="3">
        <v>20513531</v>
      </c>
      <c r="B661" s="10">
        <v>39323</v>
      </c>
      <c r="C661" s="19">
        <v>14.258076291294032</v>
      </c>
      <c r="D661" s="3"/>
      <c r="E661" t="str">
        <f>_xlfn.XLOOKUP(PE_2[[#This Row],[STN]],SE_2[STN],SE_2[IdeaEligibility],"w/o disability",0)</f>
        <v>w/o disability</v>
      </c>
      <c r="F661" t="str">
        <f>_xlfn.XLOOKUP(PE_2[[#This Row],[STN]],SE_2[STN],SE_2[Ethnicity],"",0)</f>
        <v/>
      </c>
    </row>
    <row r="662" spans="1:6" ht="13.9">
      <c r="A662" s="5">
        <v>180112102</v>
      </c>
      <c r="B662" s="10">
        <v>38810</v>
      </c>
      <c r="C662" s="19">
        <v>15.663244353182751</v>
      </c>
      <c r="D662" s="3"/>
      <c r="E662" t="str">
        <f>_xlfn.XLOOKUP(PE_2[[#This Row],[STN]],SE_2[STN],SE_2[IdeaEligibility],"w/o disability",0)</f>
        <v>w/o disability</v>
      </c>
      <c r="F662" t="str">
        <f>_xlfn.XLOOKUP(PE_2[[#This Row],[STN]],SE_2[STN],SE_2[Ethnicity],"",0)</f>
        <v/>
      </c>
    </row>
    <row r="663" spans="1:6" ht="13.9">
      <c r="A663" s="3">
        <v>20511574</v>
      </c>
      <c r="B663" s="10">
        <v>38885</v>
      </c>
      <c r="C663" s="19">
        <v>15.457905544147843</v>
      </c>
      <c r="D663" s="3"/>
      <c r="E663" t="str">
        <f>_xlfn.XLOOKUP(PE_2[[#This Row],[STN]],SE_2[STN],SE_2[IdeaEligibility],"w/o disability",0)</f>
        <v>w/o disability</v>
      </c>
      <c r="F663" t="str">
        <f>_xlfn.XLOOKUP(PE_2[[#This Row],[STN]],SE_2[STN],SE_2[Ethnicity],"",0)</f>
        <v/>
      </c>
    </row>
    <row r="664" spans="1:6" ht="13.9">
      <c r="A664" s="3">
        <v>26511530</v>
      </c>
      <c r="B664" s="10">
        <v>39071</v>
      </c>
      <c r="C664" s="19">
        <v>14.948665297741274</v>
      </c>
      <c r="D664" s="3"/>
      <c r="E664" t="str">
        <f>_xlfn.XLOOKUP(PE_2[[#This Row],[STN]],SE_2[STN],SE_2[IdeaEligibility],"w/o disability",0)</f>
        <v>w/o disability</v>
      </c>
      <c r="F664" t="str">
        <f>_xlfn.XLOOKUP(PE_2[[#This Row],[STN]],SE_2[STN],SE_2[Ethnicity],"",0)</f>
        <v/>
      </c>
    </row>
    <row r="665" spans="1:6" ht="13.9">
      <c r="A665" s="3">
        <v>4613459</v>
      </c>
      <c r="B665" s="10">
        <v>39483</v>
      </c>
      <c r="C665" s="19">
        <v>13.819319515056707</v>
      </c>
      <c r="D665" s="3"/>
      <c r="E665" t="str">
        <f>_xlfn.XLOOKUP(PE_2[[#This Row],[STN]],SE_2[STN],SE_2[IdeaEligibility],"w/o disability",0)</f>
        <v>w/o disability</v>
      </c>
      <c r="F665" t="str">
        <f>_xlfn.XLOOKUP(PE_2[[#This Row],[STN]],SE_2[STN],SE_2[Ethnicity],"",0)</f>
        <v/>
      </c>
    </row>
    <row r="666" spans="1:6" ht="13.9">
      <c r="A666" s="3">
        <v>31012090</v>
      </c>
      <c r="B666" s="10">
        <v>38597</v>
      </c>
      <c r="C666" s="19">
        <v>16.247060718312127</v>
      </c>
      <c r="D666" s="3"/>
      <c r="E666" t="str">
        <f>_xlfn.XLOOKUP(PE_2[[#This Row],[STN]],SE_2[STN],SE_2[IdeaEligibility],"w/o disability",0)</f>
        <v>w/o disability</v>
      </c>
      <c r="F666" t="str">
        <f>_xlfn.XLOOKUP(PE_2[[#This Row],[STN]],SE_2[STN],SE_2[Ethnicity],"",0)</f>
        <v/>
      </c>
    </row>
    <row r="667" spans="1:6" ht="13.9">
      <c r="A667" s="3">
        <v>14911575</v>
      </c>
      <c r="B667" s="10">
        <v>38940</v>
      </c>
      <c r="C667" s="19">
        <v>15.307323750855579</v>
      </c>
      <c r="D667" s="3"/>
      <c r="E667" t="str">
        <f>_xlfn.XLOOKUP(PE_2[[#This Row],[STN]],SE_2[STN],SE_2[IdeaEligibility],"w/o disability",0)</f>
        <v>w/o disability</v>
      </c>
      <c r="F667" t="str">
        <f>_xlfn.XLOOKUP(PE_2[[#This Row],[STN]],SE_2[STN],SE_2[Ethnicity],"",0)</f>
        <v/>
      </c>
    </row>
    <row r="668" spans="1:6" ht="13.9">
      <c r="A668" s="3">
        <v>70912094</v>
      </c>
      <c r="B668" s="10">
        <v>38974</v>
      </c>
      <c r="C668" s="19">
        <v>15.214236824093087</v>
      </c>
      <c r="D668" s="3"/>
      <c r="E668" t="str">
        <f>_xlfn.XLOOKUP(PE_2[[#This Row],[STN]],SE_2[STN],SE_2[IdeaEligibility],"w/o disability",0)</f>
        <v>w/o disability</v>
      </c>
      <c r="F668" t="str">
        <f>_xlfn.XLOOKUP(PE_2[[#This Row],[STN]],SE_2[STN],SE_2[Ethnicity],"",0)</f>
        <v/>
      </c>
    </row>
    <row r="669" spans="1:6" ht="13.9">
      <c r="A669" s="3">
        <v>13611343</v>
      </c>
      <c r="B669" s="10">
        <v>38507</v>
      </c>
      <c r="C669" s="19">
        <v>16.493477210500885</v>
      </c>
      <c r="D669" s="3"/>
      <c r="E669" t="str">
        <f>_xlfn.XLOOKUP(PE_2[[#This Row],[STN]],SE_2[STN],SE_2[IdeaEligibility],"w/o disability",0)</f>
        <v>w/o disability</v>
      </c>
      <c r="F669" t="str">
        <f>_xlfn.XLOOKUP(PE_2[[#This Row],[STN]],SE_2[STN],SE_2[Ethnicity],"",0)</f>
        <v/>
      </c>
    </row>
    <row r="670" spans="1:6" ht="13.9">
      <c r="A670" s="3">
        <v>24911327</v>
      </c>
      <c r="B670" s="10">
        <v>38172</v>
      </c>
      <c r="C670" s="19">
        <v>17.408669201520912</v>
      </c>
      <c r="D670" s="3"/>
      <c r="E670" t="str">
        <f>_xlfn.XLOOKUP(PE_2[[#This Row],[STN]],SE_2[STN],SE_2[IdeaEligibility],"w/o disability",0)</f>
        <v>w/o disability</v>
      </c>
      <c r="F670" t="str">
        <f>_xlfn.XLOOKUP(PE_2[[#This Row],[STN]],SE_2[STN],SE_2[Ethnicity],"",0)</f>
        <v/>
      </c>
    </row>
    <row r="671" spans="1:6" ht="13.9">
      <c r="A671" s="3">
        <v>24111313</v>
      </c>
      <c r="B671" s="10">
        <v>38852</v>
      </c>
      <c r="C671" s="19">
        <v>15.548254620123203</v>
      </c>
      <c r="D671" s="3"/>
      <c r="E671" t="str">
        <f>_xlfn.XLOOKUP(PE_2[[#This Row],[STN]],SE_2[STN],SE_2[IdeaEligibility],"w/o disability",0)</f>
        <v>w/o disability</v>
      </c>
      <c r="F671" t="str">
        <f>_xlfn.XLOOKUP(PE_2[[#This Row],[STN]],SE_2[STN],SE_2[Ethnicity],"",0)</f>
        <v/>
      </c>
    </row>
    <row r="672" spans="1:6" ht="13.9">
      <c r="A672" s="3">
        <v>24111345</v>
      </c>
      <c r="B672" s="10">
        <v>38357</v>
      </c>
      <c r="C672" s="19">
        <v>16.904171364148816</v>
      </c>
      <c r="D672" s="3"/>
      <c r="E672" t="str">
        <f>_xlfn.XLOOKUP(PE_2[[#This Row],[STN]],SE_2[STN],SE_2[IdeaEligibility],"w/o disability",0)</f>
        <v>w/o disability</v>
      </c>
      <c r="F672" t="str">
        <f>_xlfn.XLOOKUP(PE_2[[#This Row],[STN]],SE_2[STN],SE_2[Ethnicity],"",0)</f>
        <v/>
      </c>
    </row>
    <row r="673" spans="1:6" ht="13.9">
      <c r="A673" s="3">
        <v>24111346</v>
      </c>
      <c r="B673" s="10">
        <v>38357</v>
      </c>
      <c r="C673" s="19">
        <v>16.904171364148816</v>
      </c>
      <c r="D673" s="3"/>
      <c r="E673" t="str">
        <f>_xlfn.XLOOKUP(PE_2[[#This Row],[STN]],SE_2[STN],SE_2[IdeaEligibility],"w/o disability",0)</f>
        <v>w/o disability</v>
      </c>
      <c r="F673" t="str">
        <f>_xlfn.XLOOKUP(PE_2[[#This Row],[STN]],SE_2[STN],SE_2[Ethnicity],"",0)</f>
        <v/>
      </c>
    </row>
    <row r="674" spans="1:6" ht="13.9">
      <c r="A674" s="3">
        <v>24111348</v>
      </c>
      <c r="B674" s="10">
        <v>38815</v>
      </c>
      <c r="C674" s="19">
        <v>15.649555099247092</v>
      </c>
      <c r="D674" s="3"/>
      <c r="E674" t="str">
        <f>_xlfn.XLOOKUP(PE_2[[#This Row],[STN]],SE_2[STN],SE_2[IdeaEligibility],"w/o disability",0)</f>
        <v>w/o disability</v>
      </c>
      <c r="F674" t="str">
        <f>_xlfn.XLOOKUP(PE_2[[#This Row],[STN]],SE_2[STN],SE_2[Ethnicity],"",0)</f>
        <v/>
      </c>
    </row>
    <row r="675" spans="1:6" ht="13.9">
      <c r="A675" s="3">
        <v>24111362</v>
      </c>
      <c r="B675" s="10">
        <v>38722</v>
      </c>
      <c r="C675" s="19">
        <v>15.904175222450377</v>
      </c>
      <c r="D675" s="3"/>
      <c r="E675" t="str">
        <f>_xlfn.XLOOKUP(PE_2[[#This Row],[STN]],SE_2[STN],SE_2[IdeaEligibility],"w/o disability",0)</f>
        <v>w/o disability</v>
      </c>
      <c r="F675" t="str">
        <f>_xlfn.XLOOKUP(PE_2[[#This Row],[STN]],SE_2[STN],SE_2[Ethnicity],"",0)</f>
        <v/>
      </c>
    </row>
    <row r="676" spans="1:6" ht="13.9">
      <c r="A676" s="3">
        <v>22911344</v>
      </c>
      <c r="B676" s="10">
        <v>39182</v>
      </c>
      <c r="C676" s="19">
        <v>14.644095637890127</v>
      </c>
      <c r="D676" s="3"/>
      <c r="E676" t="str">
        <f>_xlfn.XLOOKUP(PE_2[[#This Row],[STN]],SE_2[STN],SE_2[IdeaEligibility],"w/o disability",0)</f>
        <v>w/o disability</v>
      </c>
      <c r="F676" t="str">
        <f>_xlfn.XLOOKUP(PE_2[[#This Row],[STN]],SE_2[STN],SE_2[Ethnicity],"",0)</f>
        <v/>
      </c>
    </row>
    <row r="677" spans="1:6" ht="13.9">
      <c r="A677" s="3">
        <v>15901141</v>
      </c>
      <c r="B677" s="10">
        <v>38582</v>
      </c>
      <c r="C677" s="19">
        <v>16.288130133676919</v>
      </c>
      <c r="D677" s="3"/>
      <c r="E677" t="str">
        <f>_xlfn.XLOOKUP(PE_2[[#This Row],[STN]],SE_2[STN],SE_2[IdeaEligibility],"w/o disability",0)</f>
        <v>w/o disability</v>
      </c>
      <c r="F677" t="str">
        <f>_xlfn.XLOOKUP(PE_2[[#This Row],[STN]],SE_2[STN],SE_2[Ethnicity],"",0)</f>
        <v/>
      </c>
    </row>
    <row r="678" spans="1:6" ht="13.9">
      <c r="A678" s="3">
        <v>13611316</v>
      </c>
      <c r="B678" s="10">
        <v>38590</v>
      </c>
      <c r="C678" s="19">
        <v>16.266226445482364</v>
      </c>
      <c r="D678" s="3"/>
      <c r="E678" t="str">
        <f>_xlfn.XLOOKUP(PE_2[[#This Row],[STN]],SE_2[STN],SE_2[IdeaEligibility],"w/o disability",0)</f>
        <v>w/o disability</v>
      </c>
      <c r="F678" t="str">
        <f>_xlfn.XLOOKUP(PE_2[[#This Row],[STN]],SE_2[STN],SE_2[Ethnicity],"",0)</f>
        <v/>
      </c>
    </row>
    <row r="679" spans="1:6" ht="13.9">
      <c r="A679" s="3">
        <v>24111387</v>
      </c>
      <c r="B679" s="10">
        <v>38741</v>
      </c>
      <c r="C679" s="19">
        <v>15.852156057494867</v>
      </c>
      <c r="D679" s="3"/>
      <c r="E679" t="str">
        <f>_xlfn.XLOOKUP(PE_2[[#This Row],[STN]],SE_2[STN],SE_2[IdeaEligibility],"w/o disability",0)</f>
        <v>w/o disability</v>
      </c>
      <c r="F679" t="str">
        <f>_xlfn.XLOOKUP(PE_2[[#This Row],[STN]],SE_2[STN],SE_2[Ethnicity],"",0)</f>
        <v/>
      </c>
    </row>
    <row r="680" spans="1:6" ht="13.9">
      <c r="A680" s="3">
        <v>24111389</v>
      </c>
      <c r="B680" s="10">
        <v>38758</v>
      </c>
      <c r="C680" s="19">
        <v>15.805612594113621</v>
      </c>
      <c r="D680" s="3"/>
      <c r="E680" t="str">
        <f>_xlfn.XLOOKUP(PE_2[[#This Row],[STN]],SE_2[STN],SE_2[IdeaEligibility],"w/o disability",0)</f>
        <v>w/o disability</v>
      </c>
      <c r="F680" t="str">
        <f>_xlfn.XLOOKUP(PE_2[[#This Row],[STN]],SE_2[STN],SE_2[Ethnicity],"",0)</f>
        <v/>
      </c>
    </row>
    <row r="681" spans="1:6" ht="13.9">
      <c r="A681" s="3">
        <v>24111405</v>
      </c>
      <c r="B681" s="10">
        <v>38407</v>
      </c>
      <c r="C681" s="19">
        <v>16.76727331293284</v>
      </c>
      <c r="D681" s="3"/>
      <c r="E681" t="str">
        <f>_xlfn.XLOOKUP(PE_2[[#This Row],[STN]],SE_2[STN],SE_2[IdeaEligibility],"w/o disability",0)</f>
        <v>w/o disability</v>
      </c>
      <c r="F681" t="str">
        <f>_xlfn.XLOOKUP(PE_2[[#This Row],[STN]],SE_2[STN],SE_2[Ethnicity],"",0)</f>
        <v/>
      </c>
    </row>
    <row r="682" spans="1:6" ht="13.9">
      <c r="A682" s="3">
        <v>24911312</v>
      </c>
      <c r="B682" s="10">
        <v>38888</v>
      </c>
      <c r="C682" s="19">
        <v>15.449691991786448</v>
      </c>
      <c r="D682" s="3"/>
      <c r="E682" t="str">
        <f>_xlfn.XLOOKUP(PE_2[[#This Row],[STN]],SE_2[STN],SE_2[IdeaEligibility],"w/o disability",0)</f>
        <v>w/o disability</v>
      </c>
      <c r="F682" t="str">
        <f>_xlfn.XLOOKUP(PE_2[[#This Row],[STN]],SE_2[STN],SE_2[Ethnicity],"",0)</f>
        <v/>
      </c>
    </row>
    <row r="683" spans="1:6" ht="13.9">
      <c r="A683" s="3">
        <v>14911314</v>
      </c>
      <c r="B683" s="10">
        <v>38246</v>
      </c>
      <c r="C683" s="19">
        <v>17.206083650190113</v>
      </c>
      <c r="D683" s="3"/>
      <c r="E683" t="str">
        <f>_xlfn.XLOOKUP(PE_2[[#This Row],[STN]],SE_2[STN],SE_2[IdeaEligibility],"w/o disability",0)</f>
        <v>w/o disability</v>
      </c>
      <c r="F683" t="str">
        <f>_xlfn.XLOOKUP(PE_2[[#This Row],[STN]],SE_2[STN],SE_2[Ethnicity],"",0)</f>
        <v/>
      </c>
    </row>
    <row r="684" spans="1:6" ht="13.9">
      <c r="A684" s="3">
        <v>15111312</v>
      </c>
      <c r="B684" s="10">
        <v>39247</v>
      </c>
      <c r="C684" s="19">
        <v>14.466143456835189</v>
      </c>
      <c r="D684" s="3"/>
      <c r="E684" t="str">
        <f>_xlfn.XLOOKUP(PE_2[[#This Row],[STN]],SE_2[STN],SE_2[IdeaEligibility],"w/o disability",0)</f>
        <v>w/o disability</v>
      </c>
      <c r="F684" t="str">
        <f>_xlfn.XLOOKUP(PE_2[[#This Row],[STN]],SE_2[STN],SE_2[Ethnicity],"",0)</f>
        <v/>
      </c>
    </row>
    <row r="685" spans="1:6" ht="13.9">
      <c r="A685" s="3">
        <v>15111344</v>
      </c>
      <c r="B685" s="10">
        <v>39169</v>
      </c>
      <c r="C685" s="19">
        <v>14.679686074101115</v>
      </c>
      <c r="D685" s="3"/>
      <c r="E685" t="str">
        <f>_xlfn.XLOOKUP(PE_2[[#This Row],[STN]],SE_2[STN],SE_2[IdeaEligibility],"w/o disability",0)</f>
        <v>w/o disability</v>
      </c>
      <c r="F685" t="str">
        <f>_xlfn.XLOOKUP(PE_2[[#This Row],[STN]],SE_2[STN],SE_2[Ethnicity],"",0)</f>
        <v/>
      </c>
    </row>
    <row r="686" spans="1:6" ht="13.9">
      <c r="A686" s="3">
        <v>13711322</v>
      </c>
      <c r="B686" s="10">
        <v>38468</v>
      </c>
      <c r="C686" s="19">
        <v>16.600257690449347</v>
      </c>
      <c r="D686" s="3"/>
      <c r="E686" t="str">
        <f>_xlfn.XLOOKUP(PE_2[[#This Row],[STN]],SE_2[STN],SE_2[IdeaEligibility],"w/o disability",0)</f>
        <v>w/o disability</v>
      </c>
      <c r="F686" t="str">
        <f>_xlfn.XLOOKUP(PE_2[[#This Row],[STN]],SE_2[STN],SE_2[Ethnicity],"",0)</f>
        <v/>
      </c>
    </row>
    <row r="687" spans="1:6" ht="13.9">
      <c r="A687" s="3">
        <v>13711324</v>
      </c>
      <c r="B687" s="10">
        <v>38516</v>
      </c>
      <c r="C687" s="19">
        <v>16.46883556128201</v>
      </c>
      <c r="D687" s="3"/>
      <c r="E687" t="str">
        <f>_xlfn.XLOOKUP(PE_2[[#This Row],[STN]],SE_2[STN],SE_2[IdeaEligibility],"w/o disability",0)</f>
        <v>w/o disability</v>
      </c>
      <c r="F687" t="str">
        <f>_xlfn.XLOOKUP(PE_2[[#This Row],[STN]],SE_2[STN],SE_2[Ethnicity],"",0)</f>
        <v/>
      </c>
    </row>
    <row r="688" spans="1:6" ht="13.9">
      <c r="A688" s="3">
        <v>14111316</v>
      </c>
      <c r="B688" s="10">
        <v>38440</v>
      </c>
      <c r="C688" s="19">
        <v>16.676920599130295</v>
      </c>
      <c r="D688" s="3"/>
      <c r="E688" t="str">
        <f>_xlfn.XLOOKUP(PE_2[[#This Row],[STN]],SE_2[STN],SE_2[IdeaEligibility],"w/o disability",0)</f>
        <v>w/o disability</v>
      </c>
      <c r="F688" t="str">
        <f>_xlfn.XLOOKUP(PE_2[[#This Row],[STN]],SE_2[STN],SE_2[Ethnicity],"",0)</f>
        <v/>
      </c>
    </row>
    <row r="689" spans="1:6" ht="13.9">
      <c r="A689" s="3">
        <v>13711304</v>
      </c>
      <c r="B689" s="10">
        <v>38691</v>
      </c>
      <c r="C689" s="19">
        <v>15.989692382026091</v>
      </c>
      <c r="D689" s="3"/>
      <c r="E689" t="str">
        <f>_xlfn.XLOOKUP(PE_2[[#This Row],[STN]],SE_2[STN],SE_2[IdeaEligibility],"w/o disability",0)</f>
        <v>w/o disability</v>
      </c>
      <c r="F689" t="str">
        <f>_xlfn.XLOOKUP(PE_2[[#This Row],[STN]],SE_2[STN],SE_2[Ethnicity],"",0)</f>
        <v/>
      </c>
    </row>
    <row r="690" spans="1:6" ht="13.9">
      <c r="A690" s="3">
        <v>24111350</v>
      </c>
      <c r="B690" s="10">
        <v>38625</v>
      </c>
      <c r="C690" s="19">
        <v>16.170397809631179</v>
      </c>
      <c r="D690" s="3"/>
      <c r="E690" t="str">
        <f>_xlfn.XLOOKUP(PE_2[[#This Row],[STN]],SE_2[STN],SE_2[IdeaEligibility],"w/o disability",0)</f>
        <v>w/o disability</v>
      </c>
      <c r="F690" t="str">
        <f>_xlfn.XLOOKUP(PE_2[[#This Row],[STN]],SE_2[STN],SE_2[Ethnicity],"",0)</f>
        <v/>
      </c>
    </row>
    <row r="691" spans="1:6" ht="13.9">
      <c r="A691" s="3">
        <v>24111352</v>
      </c>
      <c r="B691" s="10">
        <v>38778</v>
      </c>
      <c r="C691" s="19">
        <v>15.750855578370979</v>
      </c>
      <c r="D691" s="3"/>
      <c r="E691" t="str">
        <f>_xlfn.XLOOKUP(PE_2[[#This Row],[STN]],SE_2[STN],SE_2[IdeaEligibility],"w/o disability",0)</f>
        <v>w/o disability</v>
      </c>
      <c r="F691" t="str">
        <f>_xlfn.XLOOKUP(PE_2[[#This Row],[STN]],SE_2[STN],SE_2[Ethnicity],"",0)</f>
        <v/>
      </c>
    </row>
    <row r="692" spans="1:6" ht="13.9">
      <c r="A692" s="3">
        <v>18911327</v>
      </c>
      <c r="B692" s="10">
        <v>38581</v>
      </c>
      <c r="C692" s="19">
        <v>16.290868094701239</v>
      </c>
      <c r="D692" s="3"/>
      <c r="E692" t="str">
        <f>_xlfn.XLOOKUP(PE_2[[#This Row],[STN]],SE_2[STN],SE_2[IdeaEligibility],"w/o disability",0)</f>
        <v>w/o disability</v>
      </c>
      <c r="F692" t="str">
        <f>_xlfn.XLOOKUP(PE_2[[#This Row],[STN]],SE_2[STN],SE_2[Ethnicity],"",0)</f>
        <v/>
      </c>
    </row>
    <row r="693" spans="1:6" ht="13.9">
      <c r="A693" s="3">
        <v>18911329</v>
      </c>
      <c r="B693" s="10">
        <v>38650</v>
      </c>
      <c r="C693" s="19">
        <v>16.101948784023193</v>
      </c>
      <c r="D693" s="3"/>
      <c r="E693" t="str">
        <f>_xlfn.XLOOKUP(PE_2[[#This Row],[STN]],SE_2[STN],SE_2[IdeaEligibility],"w/o disability",0)</f>
        <v>w/o disability</v>
      </c>
      <c r="F693" t="str">
        <f>_xlfn.XLOOKUP(PE_2[[#This Row],[STN]],SE_2[STN],SE_2[Ethnicity],"",0)</f>
        <v/>
      </c>
    </row>
    <row r="694" spans="1:6" ht="13.9">
      <c r="A694" s="3">
        <v>24111300</v>
      </c>
      <c r="B694" s="10">
        <v>38697</v>
      </c>
      <c r="C694" s="19">
        <v>15.973264615880174</v>
      </c>
      <c r="D694" s="3"/>
      <c r="E694" t="str">
        <f>_xlfn.XLOOKUP(PE_2[[#This Row],[STN]],SE_2[STN],SE_2[IdeaEligibility],"w/o disability",0)</f>
        <v>w/o disability</v>
      </c>
      <c r="F694" t="str">
        <f>_xlfn.XLOOKUP(PE_2[[#This Row],[STN]],SE_2[STN],SE_2[Ethnicity],"",0)</f>
        <v/>
      </c>
    </row>
    <row r="695" spans="1:6" ht="13.9">
      <c r="A695" s="3">
        <v>24111341</v>
      </c>
      <c r="B695" s="10">
        <v>38916</v>
      </c>
      <c r="C695" s="19">
        <v>15.373032169746748</v>
      </c>
      <c r="D695" s="3"/>
      <c r="E695" t="str">
        <f>_xlfn.XLOOKUP(PE_2[[#This Row],[STN]],SE_2[STN],SE_2[IdeaEligibility],"w/o disability",0)</f>
        <v>w/o disability</v>
      </c>
      <c r="F695" t="str">
        <f>_xlfn.XLOOKUP(PE_2[[#This Row],[STN]],SE_2[STN],SE_2[Ethnicity],"",0)</f>
        <v/>
      </c>
    </row>
    <row r="696" spans="1:6" ht="13.9">
      <c r="A696" s="3">
        <v>18610550</v>
      </c>
      <c r="B696" s="10">
        <v>39235</v>
      </c>
      <c r="C696" s="19">
        <v>14.498996167183794</v>
      </c>
      <c r="D696" s="3"/>
      <c r="E696" t="b">
        <f>_xlfn.XLOOKUP(PE_2[[#This Row],[STN]],SE_2[STN],SE_2[IdeaEligibility],"w/o disability",0)</f>
        <v>1</v>
      </c>
      <c r="F696" t="str">
        <f>_xlfn.XLOOKUP(PE_2[[#This Row],[STN]],SE_2[STN],SE_2[Ethnicity],"",0)</f>
        <v>White</v>
      </c>
    </row>
    <row r="697" spans="1:6" ht="13.9">
      <c r="A697" s="3">
        <v>19711313</v>
      </c>
      <c r="B697" s="10">
        <v>38457</v>
      </c>
      <c r="C697" s="19">
        <v>16.630375261716861</v>
      </c>
      <c r="D697" s="3"/>
      <c r="E697" t="str">
        <f>_xlfn.XLOOKUP(PE_2[[#This Row],[STN]],SE_2[STN],SE_2[IdeaEligibility],"w/o disability",0)</f>
        <v>w/o disability</v>
      </c>
      <c r="F697" t="str">
        <f>_xlfn.XLOOKUP(PE_2[[#This Row],[STN]],SE_2[STN],SE_2[Ethnicity],"",0)</f>
        <v/>
      </c>
    </row>
    <row r="698" spans="1:6" ht="13.9">
      <c r="A698" s="3">
        <v>31012135</v>
      </c>
      <c r="B698" s="10">
        <v>38880</v>
      </c>
      <c r="C698" s="19">
        <v>15.471594798083505</v>
      </c>
      <c r="D698" s="3"/>
      <c r="E698" t="str">
        <f>_xlfn.XLOOKUP(PE_2[[#This Row],[STN]],SE_2[STN],SE_2[IdeaEligibility],"w/o disability",0)</f>
        <v>w/o disability</v>
      </c>
      <c r="F698" t="str">
        <f>_xlfn.XLOOKUP(PE_2[[#This Row],[STN]],SE_2[STN],SE_2[Ethnicity],"",0)</f>
        <v/>
      </c>
    </row>
    <row r="699" spans="1:6" ht="13.9">
      <c r="A699" s="5">
        <v>394511139</v>
      </c>
      <c r="B699" s="10">
        <v>38817</v>
      </c>
      <c r="C699" s="19">
        <v>15.644079397672828</v>
      </c>
      <c r="D699" s="3"/>
      <c r="E699" t="str">
        <f>_xlfn.XLOOKUP(PE_2[[#This Row],[STN]],SE_2[STN],SE_2[IdeaEligibility],"w/o disability",0)</f>
        <v>w/o disability</v>
      </c>
      <c r="F699" t="str">
        <f>_xlfn.XLOOKUP(PE_2[[#This Row],[STN]],SE_2[STN],SE_2[Ethnicity],"",0)</f>
        <v/>
      </c>
    </row>
    <row r="700" spans="1:6" ht="13.9">
      <c r="A700" s="3">
        <v>18911324</v>
      </c>
      <c r="B700" s="10">
        <v>38676</v>
      </c>
      <c r="C700" s="19">
        <v>16.030761797390884</v>
      </c>
      <c r="D700" s="3"/>
      <c r="E700" t="str">
        <f>_xlfn.XLOOKUP(PE_2[[#This Row],[STN]],SE_2[STN],SE_2[IdeaEligibility],"w/o disability",0)</f>
        <v>w/o disability</v>
      </c>
      <c r="F700" t="str">
        <f>_xlfn.XLOOKUP(PE_2[[#This Row],[STN]],SE_2[STN],SE_2[Ethnicity],"",0)</f>
        <v/>
      </c>
    </row>
    <row r="701" spans="1:6" ht="13.9">
      <c r="A701" s="3">
        <v>13611550</v>
      </c>
      <c r="B701" s="10">
        <v>38309</v>
      </c>
      <c r="C701" s="19">
        <v>17.03361216730038</v>
      </c>
      <c r="D701" s="3"/>
      <c r="E701" t="str">
        <f>_xlfn.XLOOKUP(PE_2[[#This Row],[STN]],SE_2[STN],SE_2[IdeaEligibility],"w/o disability",0)</f>
        <v>w/o disability</v>
      </c>
      <c r="F701" t="str">
        <f>_xlfn.XLOOKUP(PE_2[[#This Row],[STN]],SE_2[STN],SE_2[Ethnicity],"",0)</f>
        <v/>
      </c>
    </row>
    <row r="702" spans="1:6" ht="13.9">
      <c r="A702" s="3">
        <v>24111339</v>
      </c>
      <c r="B702" s="10">
        <v>38890</v>
      </c>
      <c r="C702" s="19">
        <v>15.444216290212184</v>
      </c>
      <c r="D702" s="3"/>
      <c r="E702" t="str">
        <f>_xlfn.XLOOKUP(PE_2[[#This Row],[STN]],SE_2[STN],SE_2[IdeaEligibility],"w/o disability",0)</f>
        <v>w/o disability</v>
      </c>
      <c r="F702" t="str">
        <f>_xlfn.XLOOKUP(PE_2[[#This Row],[STN]],SE_2[STN],SE_2[Ethnicity],"",0)</f>
        <v/>
      </c>
    </row>
    <row r="703" spans="1:6" ht="13.9">
      <c r="A703" s="5">
        <v>522711112</v>
      </c>
      <c r="B703" s="10">
        <v>38573</v>
      </c>
      <c r="C703" s="19">
        <v>16.312771782895794</v>
      </c>
      <c r="D703" s="3"/>
      <c r="E703" t="str">
        <f>_xlfn.XLOOKUP(PE_2[[#This Row],[STN]],SE_2[STN],SE_2[IdeaEligibility],"w/o disability",0)</f>
        <v>w/o disability</v>
      </c>
      <c r="F703" t="str">
        <f>_xlfn.XLOOKUP(PE_2[[#This Row],[STN]],SE_2[STN],SE_2[Ethnicity],"",0)</f>
        <v/>
      </c>
    </row>
    <row r="704" spans="1:6" ht="13.9">
      <c r="A704" s="3">
        <v>24111340</v>
      </c>
      <c r="B704" s="10">
        <v>38609</v>
      </c>
      <c r="C704" s="19">
        <v>16.214205186020294</v>
      </c>
      <c r="D704" s="3"/>
      <c r="E704" t="str">
        <f>_xlfn.XLOOKUP(PE_2[[#This Row],[STN]],SE_2[STN],SE_2[IdeaEligibility],"w/o disability",0)</f>
        <v>w/o disability</v>
      </c>
      <c r="F704" t="str">
        <f>_xlfn.XLOOKUP(PE_2[[#This Row],[STN]],SE_2[STN],SE_2[Ethnicity],"",0)</f>
        <v/>
      </c>
    </row>
    <row r="705" spans="1:6" ht="13.9">
      <c r="A705" s="3">
        <v>24111375</v>
      </c>
      <c r="B705" s="10">
        <v>38839</v>
      </c>
      <c r="C705" s="19">
        <v>15.58384668035592</v>
      </c>
      <c r="D705" s="3"/>
      <c r="E705" t="str">
        <f>_xlfn.XLOOKUP(PE_2[[#This Row],[STN]],SE_2[STN],SE_2[IdeaEligibility],"w/o disability",0)</f>
        <v>w/o disability</v>
      </c>
      <c r="F705" t="str">
        <f>_xlfn.XLOOKUP(PE_2[[#This Row],[STN]],SE_2[STN],SE_2[Ethnicity],"",0)</f>
        <v/>
      </c>
    </row>
    <row r="706" spans="1:6" ht="13.9">
      <c r="A706" s="3">
        <v>24111376</v>
      </c>
      <c r="B706" s="10">
        <v>38750</v>
      </c>
      <c r="C706" s="19">
        <v>15.827515400410677</v>
      </c>
      <c r="D706" s="3"/>
      <c r="E706" t="str">
        <f>_xlfn.XLOOKUP(PE_2[[#This Row],[STN]],SE_2[STN],SE_2[IdeaEligibility],"w/o disability",0)</f>
        <v>w/o disability</v>
      </c>
      <c r="F706" t="str">
        <f>_xlfn.XLOOKUP(PE_2[[#This Row],[STN]],SE_2[STN],SE_2[Ethnicity],"",0)</f>
        <v/>
      </c>
    </row>
    <row r="707" spans="1:6" ht="13.9">
      <c r="A707" s="3">
        <v>24111382</v>
      </c>
      <c r="B707" s="10">
        <v>38791</v>
      </c>
      <c r="C707" s="19">
        <v>15.715263518138261</v>
      </c>
      <c r="D707" s="3"/>
      <c r="E707" t="str">
        <f>_xlfn.XLOOKUP(PE_2[[#This Row],[STN]],SE_2[STN],SE_2[IdeaEligibility],"w/o disability",0)</f>
        <v>w/o disability</v>
      </c>
      <c r="F707" t="str">
        <f>_xlfn.XLOOKUP(PE_2[[#This Row],[STN]],SE_2[STN],SE_2[Ethnicity],"",0)</f>
        <v/>
      </c>
    </row>
    <row r="708" spans="1:6" ht="15.75" customHeight="1">
      <c r="A708" s="1">
        <v>22911047</v>
      </c>
    </row>
  </sheetData>
  <phoneticPr fontId="10"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outlinePr summaryBelow="0" summaryRight="0"/>
  </sheetPr>
  <dimension ref="A1:F995"/>
  <sheetViews>
    <sheetView topLeftCell="C1" workbookViewId="0">
      <selection activeCell="K17" sqref="K17"/>
    </sheetView>
  </sheetViews>
  <sheetFormatPr defaultColWidth="12.5703125" defaultRowHeight="15.75" customHeight="1"/>
  <cols>
    <col min="2" max="2" width="16.7109375" customWidth="1"/>
    <col min="3" max="3" width="27.28515625" style="20" customWidth="1"/>
    <col min="4" max="4" width="27.28515625" customWidth="1"/>
  </cols>
  <sheetData>
    <row r="1" spans="1:6" ht="13.9">
      <c r="A1" s="3" t="s">
        <v>10</v>
      </c>
      <c r="B1" s="3" t="s">
        <v>161</v>
      </c>
      <c r="C1" s="19" t="s">
        <v>162</v>
      </c>
      <c r="D1" s="3" t="s">
        <v>52</v>
      </c>
      <c r="E1" s="15" t="s">
        <v>163</v>
      </c>
      <c r="F1" s="15" t="s">
        <v>23</v>
      </c>
    </row>
    <row r="2" spans="1:6" ht="15.75" customHeight="1">
      <c r="A2" s="1">
        <v>919610141</v>
      </c>
      <c r="B2" s="6">
        <v>42284</v>
      </c>
      <c r="C2" s="19">
        <v>7.1512662559890483</v>
      </c>
      <c r="D2" s="3"/>
      <c r="E2" t="b">
        <f>_xlfn.XLOOKUP(PE_3[[#This Row],[STN]],SE_3[STN],SE_3[IdeaEligibility],"w/o disability",0)</f>
        <v>1</v>
      </c>
      <c r="F2" t="str">
        <f>_xlfn.XLOOKUP(PE_3[[#This Row],[STN]],SE_3[STN],SE_3[Ethnicity],"",0)</f>
        <v>White</v>
      </c>
    </row>
    <row r="3" spans="1:6" ht="15.75" customHeight="1">
      <c r="A3" s="1">
        <v>919618110</v>
      </c>
      <c r="B3" s="6">
        <v>40625</v>
      </c>
      <c r="C3" s="19">
        <v>11.693360711841205</v>
      </c>
      <c r="D3" s="3"/>
      <c r="E3" t="b">
        <f>_xlfn.XLOOKUP(PE_3[[#This Row],[STN]],SE_3[STN],SE_3[IdeaEligibility],"w/o disability",0)</f>
        <v>1</v>
      </c>
      <c r="F3" t="str">
        <f>_xlfn.XLOOKUP(PE_3[[#This Row],[STN]],SE_3[STN],SE_3[Ethnicity],"",0)</f>
        <v>White</v>
      </c>
    </row>
    <row r="4" spans="1:6" ht="15.75" customHeight="1">
      <c r="A4" s="1">
        <v>999810022</v>
      </c>
      <c r="B4" s="6">
        <v>40938</v>
      </c>
      <c r="C4" s="19">
        <v>10.835739173718268</v>
      </c>
      <c r="D4" s="3"/>
      <c r="E4" t="b">
        <f>_xlfn.XLOOKUP(PE_3[[#This Row],[STN]],SE_3[STN],SE_3[IdeaEligibility],"w/o disability",0)</f>
        <v>1</v>
      </c>
      <c r="F4" t="str">
        <f>_xlfn.XLOOKUP(PE_3[[#This Row],[STN]],SE_3[STN],SE_3[Ethnicity],"",0)</f>
        <v>White</v>
      </c>
    </row>
    <row r="5" spans="1:6" ht="15.75" customHeight="1">
      <c r="A5" s="1">
        <v>536918032</v>
      </c>
      <c r="B5" s="6">
        <v>39328</v>
      </c>
      <c r="C5" s="19">
        <v>15.24435318275154</v>
      </c>
      <c r="D5" s="3"/>
      <c r="E5" t="b">
        <f>_xlfn.XLOOKUP(PE_3[[#This Row],[STN]],SE_3[STN],SE_3[IdeaEligibility],"w/o disability",0)</f>
        <v>1</v>
      </c>
      <c r="F5" t="str">
        <f>_xlfn.XLOOKUP(PE_3[[#This Row],[STN]],SE_3[STN],SE_3[Ethnicity],"",0)</f>
        <v>White</v>
      </c>
    </row>
    <row r="6" spans="1:6" ht="15.75" customHeight="1">
      <c r="A6" s="1">
        <v>536918032</v>
      </c>
      <c r="B6" s="6">
        <v>42265</v>
      </c>
      <c r="C6" s="19">
        <v>7.2032854209445585</v>
      </c>
      <c r="D6" s="3"/>
      <c r="E6" t="b">
        <f>_xlfn.XLOOKUP(PE_3[[#This Row],[STN]],SE_3[STN],SE_3[IdeaEligibility],"w/o disability",0)</f>
        <v>1</v>
      </c>
      <c r="F6" t="str">
        <f>_xlfn.XLOOKUP(PE_3[[#This Row],[STN]],SE_3[STN],SE_3[Ethnicity],"",0)</f>
        <v>White</v>
      </c>
    </row>
    <row r="7" spans="1:6" ht="15.75" customHeight="1">
      <c r="A7" s="1">
        <v>537320019</v>
      </c>
      <c r="B7" s="9">
        <v>38489</v>
      </c>
      <c r="C7" s="19">
        <v>17.542744143595982</v>
      </c>
      <c r="D7" s="3"/>
      <c r="E7" t="b">
        <f>_xlfn.XLOOKUP(PE_3[[#This Row],[STN]],SE_3[STN],SE_3[IdeaEligibility],"w/o disability",0)</f>
        <v>1</v>
      </c>
      <c r="F7" t="str">
        <f>_xlfn.XLOOKUP(PE_3[[#This Row],[STN]],SE_3[STN],SE_3[Ethnicity],"",0)</f>
        <v>White</v>
      </c>
    </row>
    <row r="8" spans="1:6" ht="15.75" customHeight="1">
      <c r="A8" s="1">
        <v>537320019</v>
      </c>
      <c r="B8" s="6">
        <v>42713</v>
      </c>
      <c r="C8" s="19">
        <v>5.9761439186546736</v>
      </c>
      <c r="D8" s="3"/>
      <c r="E8" t="b">
        <f>_xlfn.XLOOKUP(PE_3[[#This Row],[STN]],SE_3[STN],SE_3[IdeaEligibility],"w/o disability",0)</f>
        <v>1</v>
      </c>
      <c r="F8" t="str">
        <f>_xlfn.XLOOKUP(PE_3[[#This Row],[STN]],SE_3[STN],SE_3[Ethnicity],"",0)</f>
        <v>White</v>
      </c>
    </row>
    <row r="9" spans="1:6" ht="15.75" customHeight="1">
      <c r="A9" s="1">
        <v>537514058</v>
      </c>
      <c r="B9" s="6">
        <v>39479</v>
      </c>
      <c r="C9" s="19">
        <v>14.830260996532214</v>
      </c>
      <c r="D9" s="3"/>
      <c r="E9" t="b">
        <f>_xlfn.XLOOKUP(PE_3[[#This Row],[STN]],SE_3[STN],SE_3[IdeaEligibility],"w/o disability",0)</f>
        <v>1</v>
      </c>
      <c r="F9" t="str">
        <f>_xlfn.XLOOKUP(PE_3[[#This Row],[STN]],SE_3[STN],SE_3[Ethnicity],"",0)</f>
        <v>White</v>
      </c>
    </row>
    <row r="10" spans="1:6" ht="15.75" customHeight="1">
      <c r="A10" s="1">
        <v>537711024</v>
      </c>
      <c r="B10" s="6">
        <v>39003</v>
      </c>
      <c r="C10" s="19">
        <v>16.134804316315027</v>
      </c>
      <c r="D10" s="3"/>
      <c r="E10" t="b">
        <f>_xlfn.XLOOKUP(PE_3[[#This Row],[STN]],SE_3[STN],SE_3[IdeaEligibility],"w/o disability",0)</f>
        <v>1</v>
      </c>
      <c r="F10" t="str">
        <f>_xlfn.XLOOKUP(PE_3[[#This Row],[STN]],SE_3[STN],SE_3[Ethnicity],"",0)</f>
        <v>White</v>
      </c>
    </row>
    <row r="11" spans="1:6" ht="15.75" customHeight="1">
      <c r="A11" s="1">
        <v>537711738</v>
      </c>
      <c r="B11" s="6">
        <v>39486</v>
      </c>
      <c r="C11" s="19">
        <v>14.811096915495529</v>
      </c>
      <c r="D11" s="3"/>
      <c r="E11" t="b">
        <f>_xlfn.XLOOKUP(PE_3[[#This Row],[STN]],SE_3[STN],SE_3[IdeaEligibility],"w/o disability",0)</f>
        <v>1</v>
      </c>
      <c r="F11" t="str">
        <f>_xlfn.XLOOKUP(PE_3[[#This Row],[STN]],SE_3[STN],SE_3[Ethnicity],"",0)</f>
        <v>White</v>
      </c>
    </row>
    <row r="12" spans="1:6" ht="15.75" customHeight="1">
      <c r="A12" s="1">
        <v>538110109</v>
      </c>
      <c r="B12" s="6">
        <v>39980</v>
      </c>
      <c r="C12" s="19">
        <v>13.460590651281048</v>
      </c>
      <c r="D12" s="3"/>
      <c r="E12" t="b">
        <f>_xlfn.XLOOKUP(PE_3[[#This Row],[STN]],SE_3[STN],SE_3[IdeaEligibility],"w/o disability",0)</f>
        <v>1</v>
      </c>
      <c r="F12" t="str">
        <f>_xlfn.XLOOKUP(PE_3[[#This Row],[STN]],SE_3[STN],SE_3[Ethnicity],"",0)</f>
        <v>White</v>
      </c>
    </row>
    <row r="13" spans="1:6" ht="15.75" customHeight="1">
      <c r="A13" s="1">
        <v>538110109</v>
      </c>
      <c r="B13" s="6">
        <v>41427</v>
      </c>
      <c r="C13" s="19">
        <v>9.4989047097480839</v>
      </c>
      <c r="D13" s="3"/>
      <c r="E13" t="b">
        <f>_xlfn.XLOOKUP(PE_3[[#This Row],[STN]],SE_3[STN],SE_3[IdeaEligibility],"w/o disability",0)</f>
        <v>1</v>
      </c>
      <c r="F13" t="str">
        <f>_xlfn.XLOOKUP(PE_3[[#This Row],[STN]],SE_3[STN],SE_3[Ethnicity],"",0)</f>
        <v>White</v>
      </c>
    </row>
    <row r="14" spans="1:6" ht="15.75" customHeight="1">
      <c r="A14" s="1">
        <v>538611871</v>
      </c>
      <c r="B14" s="6">
        <v>39196</v>
      </c>
      <c r="C14" s="19">
        <v>15.605749486652977</v>
      </c>
      <c r="D14" s="3"/>
      <c r="E14" t="b">
        <f>_xlfn.XLOOKUP(PE_3[[#This Row],[STN]],SE_3[STN],SE_3[IdeaEligibility],"w/o disability",0)</f>
        <v>1</v>
      </c>
      <c r="F14" t="str">
        <f>_xlfn.XLOOKUP(PE_3[[#This Row],[STN]],SE_3[STN],SE_3[Ethnicity],"",0)</f>
        <v>White</v>
      </c>
    </row>
    <row r="15" spans="1:6" ht="15.75" customHeight="1">
      <c r="A15" s="1">
        <v>538611871</v>
      </c>
      <c r="B15" s="6">
        <v>42203</v>
      </c>
      <c r="C15" s="19">
        <v>7.3730321697467485</v>
      </c>
      <c r="D15" s="3"/>
      <c r="E15" t="b">
        <f>_xlfn.XLOOKUP(PE_3[[#This Row],[STN]],SE_3[STN],SE_3[IdeaEligibility],"w/o disability",0)</f>
        <v>1</v>
      </c>
      <c r="F15" t="str">
        <f>_xlfn.XLOOKUP(PE_3[[#This Row],[STN]],SE_3[STN],SE_3[Ethnicity],"",0)</f>
        <v>White</v>
      </c>
    </row>
    <row r="16" spans="1:6" ht="15.75" customHeight="1">
      <c r="A16" s="1">
        <v>538611871</v>
      </c>
      <c r="B16" s="6">
        <v>41887</v>
      </c>
      <c r="C16" s="19">
        <v>8.2388195923334351</v>
      </c>
      <c r="D16" s="3"/>
      <c r="E16" t="b">
        <f>_xlfn.XLOOKUP(PE_3[[#This Row],[STN]],SE_3[STN],SE_3[IdeaEligibility],"w/o disability",0)</f>
        <v>1</v>
      </c>
      <c r="F16" t="str">
        <f>_xlfn.XLOOKUP(PE_3[[#This Row],[STN]],SE_3[STN],SE_3[Ethnicity],"",0)</f>
        <v>White</v>
      </c>
    </row>
    <row r="17" spans="1:6" ht="15.75" customHeight="1">
      <c r="A17" s="1">
        <v>538612110</v>
      </c>
      <c r="B17" s="6">
        <v>39770</v>
      </c>
      <c r="C17" s="19">
        <v>14.033582770578573</v>
      </c>
      <c r="D17" s="3"/>
      <c r="E17" t="b">
        <f>_xlfn.XLOOKUP(PE_3[[#This Row],[STN]],SE_3[STN],SE_3[IdeaEligibility],"w/o disability",0)</f>
        <v>1</v>
      </c>
      <c r="F17" t="str">
        <f>_xlfn.XLOOKUP(PE_3[[#This Row],[STN]],SE_3[STN],SE_3[Ethnicity],"",0)</f>
        <v>White</v>
      </c>
    </row>
    <row r="18" spans="1:6" ht="15.75" customHeight="1">
      <c r="A18" s="1">
        <v>538612160</v>
      </c>
      <c r="B18" s="6">
        <v>39118</v>
      </c>
      <c r="C18" s="19">
        <v>15.819301848049282</v>
      </c>
      <c r="D18" s="3"/>
      <c r="E18" t="b">
        <f>_xlfn.XLOOKUP(PE_3[[#This Row],[STN]],SE_3[STN],SE_3[IdeaEligibility],"w/o disability",0)</f>
        <v>1</v>
      </c>
      <c r="F18" t="str">
        <f>_xlfn.XLOOKUP(PE_3[[#This Row],[STN]],SE_3[STN],SE_3[Ethnicity],"",0)</f>
        <v>White</v>
      </c>
    </row>
    <row r="19" spans="1:6" ht="15.75" customHeight="1">
      <c r="A19" s="1">
        <v>538919030</v>
      </c>
      <c r="B19" s="6">
        <v>42296</v>
      </c>
      <c r="C19" s="19">
        <v>7.1184120465434635</v>
      </c>
      <c r="D19" s="3"/>
      <c r="E19" t="b">
        <f>_xlfn.XLOOKUP(PE_3[[#This Row],[STN]],SE_3[STN],SE_3[IdeaEligibility],"w/o disability",0)</f>
        <v>1</v>
      </c>
      <c r="F19" t="str">
        <f>_xlfn.XLOOKUP(PE_3[[#This Row],[STN]],SE_3[STN],SE_3[Ethnicity],"",0)</f>
        <v>Multiracial (two or more races)</v>
      </c>
    </row>
    <row r="20" spans="1:6" ht="15.75" customHeight="1">
      <c r="A20" s="1">
        <v>539112111</v>
      </c>
      <c r="B20" s="6">
        <v>40591</v>
      </c>
      <c r="C20" s="19">
        <v>11.786447638603697</v>
      </c>
      <c r="D20" s="3"/>
      <c r="E20" t="b">
        <f>_xlfn.XLOOKUP(PE_3[[#This Row],[STN]],SE_3[STN],SE_3[IdeaEligibility],"w/o disability",0)</f>
        <v>1</v>
      </c>
      <c r="F20" t="str">
        <f>_xlfn.XLOOKUP(PE_3[[#This Row],[STN]],SE_3[STN],SE_3[Ethnicity],"",0)</f>
        <v>White</v>
      </c>
    </row>
    <row r="21" spans="1:6" ht="15.75" customHeight="1">
      <c r="A21" s="1">
        <v>539507260</v>
      </c>
      <c r="B21" s="6">
        <v>39673</v>
      </c>
      <c r="C21" s="19">
        <v>14.299142179229786</v>
      </c>
      <c r="D21" s="3"/>
      <c r="E21" t="b">
        <f>_xlfn.XLOOKUP(PE_3[[#This Row],[STN]],SE_3[STN],SE_3[IdeaEligibility],"w/o disability",0)</f>
        <v>1</v>
      </c>
      <c r="F21" t="str">
        <f>_xlfn.XLOOKUP(PE_3[[#This Row],[STN]],SE_3[STN],SE_3[Ethnicity],"",0)</f>
        <v>Black - African American</v>
      </c>
    </row>
    <row r="22" spans="1:6" ht="15.75" customHeight="1">
      <c r="A22" s="1">
        <v>539508242</v>
      </c>
      <c r="B22" s="6">
        <v>37115</v>
      </c>
      <c r="C22" s="19">
        <v>21.304542626011198</v>
      </c>
      <c r="D22" s="3"/>
      <c r="E22" t="b">
        <f>_xlfn.XLOOKUP(PE_3[[#This Row],[STN]],SE_3[STN],SE_3[IdeaEligibility],"w/o disability",0)</f>
        <v>1</v>
      </c>
      <c r="F22" t="str">
        <f>_xlfn.XLOOKUP(PE_3[[#This Row],[STN]],SE_3[STN],SE_3[Ethnicity],"",0)</f>
        <v>White</v>
      </c>
    </row>
    <row r="23" spans="1:6" ht="14.45">
      <c r="A23" s="1">
        <v>535418069</v>
      </c>
      <c r="B23" s="6">
        <v>40742</v>
      </c>
      <c r="C23" s="19">
        <v>11.373032169746748</v>
      </c>
      <c r="D23" s="3"/>
      <c r="E23" t="b">
        <f>_xlfn.XLOOKUP(PE_3[[#This Row],[STN]],SE_3[STN],SE_3[IdeaEligibility],"w/o disability",0)</f>
        <v>1</v>
      </c>
      <c r="F23" t="str">
        <f>_xlfn.XLOOKUP(PE_3[[#This Row],[STN]],SE_3[STN],SE_3[Ethnicity],"",0)</f>
        <v>Black - African American</v>
      </c>
    </row>
    <row r="24" spans="1:6" ht="14.45">
      <c r="A24" s="1">
        <v>535711125</v>
      </c>
      <c r="B24" s="6">
        <v>38692</v>
      </c>
      <c r="C24" s="19">
        <v>16.986918162458167</v>
      </c>
      <c r="D24" s="3"/>
      <c r="E24" t="b">
        <f>_xlfn.XLOOKUP(PE_3[[#This Row],[STN]],SE_3[STN],SE_3[IdeaEligibility],"w/o disability",0)</f>
        <v>1</v>
      </c>
      <c r="F24" t="str">
        <f>_xlfn.XLOOKUP(PE_3[[#This Row],[STN]],SE_3[STN],SE_3[Ethnicity],"",0)</f>
        <v>White</v>
      </c>
    </row>
    <row r="25" spans="1:6" ht="14.45">
      <c r="A25" s="1">
        <v>540610121</v>
      </c>
      <c r="B25" s="6">
        <v>42112</v>
      </c>
      <c r="C25" s="19">
        <v>7.6221765913757702</v>
      </c>
      <c r="D25" s="3"/>
      <c r="E25" t="b">
        <f>_xlfn.XLOOKUP(PE_3[[#This Row],[STN]],SE_3[STN],SE_3[IdeaEligibility],"w/o disability",0)</f>
        <v>1</v>
      </c>
      <c r="F25" t="str">
        <f>_xlfn.XLOOKUP(PE_3[[#This Row],[STN]],SE_3[STN],SE_3[Ethnicity],"",0)</f>
        <v>White</v>
      </c>
    </row>
    <row r="26" spans="1:6" ht="14.45">
      <c r="A26" s="1">
        <v>543017005</v>
      </c>
      <c r="B26" s="6">
        <v>41546</v>
      </c>
      <c r="C26" s="19">
        <v>9.1730558598028473</v>
      </c>
      <c r="D26" s="3"/>
      <c r="E26" t="b">
        <f>_xlfn.XLOOKUP(PE_3[[#This Row],[STN]],SE_3[STN],SE_3[IdeaEligibility],"w/o disability",0)</f>
        <v>1</v>
      </c>
      <c r="F26" t="str">
        <f>_xlfn.XLOOKUP(PE_3[[#This Row],[STN]],SE_3[STN],SE_3[Ethnicity],"",0)</f>
        <v>White</v>
      </c>
    </row>
    <row r="27" spans="1:6" ht="14.45">
      <c r="A27" s="1">
        <v>543020013</v>
      </c>
      <c r="B27" s="6">
        <v>39784</v>
      </c>
      <c r="C27" s="19">
        <v>13.995254608505203</v>
      </c>
      <c r="D27" s="3"/>
      <c r="E27" t="b">
        <f>_xlfn.XLOOKUP(PE_3[[#This Row],[STN]],SE_3[STN],SE_3[IdeaEligibility],"w/o disability",0)</f>
        <v>1</v>
      </c>
      <c r="F27" t="str">
        <f>_xlfn.XLOOKUP(PE_3[[#This Row],[STN]],SE_3[STN],SE_3[Ethnicity],"",0)</f>
        <v>Black - African American</v>
      </c>
    </row>
    <row r="28" spans="1:6" ht="14.45">
      <c r="A28" s="1">
        <v>543020013</v>
      </c>
      <c r="B28" s="6">
        <v>42470</v>
      </c>
      <c r="C28" s="19">
        <v>6.6413766132186156</v>
      </c>
      <c r="D28" s="3"/>
      <c r="E28" t="b">
        <f>_xlfn.XLOOKUP(PE_3[[#This Row],[STN]],SE_3[STN],SE_3[IdeaEligibility],"w/o disability",0)</f>
        <v>1</v>
      </c>
      <c r="F28" t="str">
        <f>_xlfn.XLOOKUP(PE_3[[#This Row],[STN]],SE_3[STN],SE_3[Ethnicity],"",0)</f>
        <v>Black - African American</v>
      </c>
    </row>
    <row r="29" spans="1:6" ht="14.45">
      <c r="A29" s="1">
        <v>543020013</v>
      </c>
      <c r="B29" s="6">
        <v>41355</v>
      </c>
      <c r="C29" s="19">
        <v>9.6960569550931002</v>
      </c>
      <c r="D29" s="3"/>
      <c r="E29" t="b">
        <f>_xlfn.XLOOKUP(PE_3[[#This Row],[STN]],SE_3[STN],SE_3[IdeaEligibility],"w/o disability",0)</f>
        <v>1</v>
      </c>
      <c r="F29" t="str">
        <f>_xlfn.XLOOKUP(PE_3[[#This Row],[STN]],SE_3[STN],SE_3[Ethnicity],"",0)</f>
        <v>Black - African American</v>
      </c>
    </row>
    <row r="30" spans="1:6" ht="14.45">
      <c r="A30" s="1">
        <v>543020052</v>
      </c>
      <c r="B30" s="6">
        <v>38952</v>
      </c>
      <c r="C30" s="19">
        <v>16.274440328555322</v>
      </c>
      <c r="D30" s="3"/>
      <c r="E30" t="b">
        <f>_xlfn.XLOOKUP(PE_3[[#This Row],[STN]],SE_3[STN],SE_3[IdeaEligibility],"w/o disability",0)</f>
        <v>1</v>
      </c>
      <c r="F30" t="str">
        <f>_xlfn.XLOOKUP(PE_3[[#This Row],[STN]],SE_3[STN],SE_3[Ethnicity],"",0)</f>
        <v>White</v>
      </c>
    </row>
    <row r="31" spans="1:6" ht="14.45">
      <c r="A31" s="1">
        <v>543616042</v>
      </c>
      <c r="B31" s="6">
        <v>40966</v>
      </c>
      <c r="C31" s="19">
        <v>10.75908412145346</v>
      </c>
      <c r="D31" s="3"/>
      <c r="E31" t="b">
        <f>_xlfn.XLOOKUP(PE_3[[#This Row],[STN]],SE_3[STN],SE_3[IdeaEligibility],"w/o disability",0)</f>
        <v>1</v>
      </c>
      <c r="F31" t="str">
        <f>_xlfn.XLOOKUP(PE_3[[#This Row],[STN]],SE_3[STN],SE_3[Ethnicity],"",0)</f>
        <v>White</v>
      </c>
    </row>
    <row r="32" spans="1:6" ht="14.45">
      <c r="A32" s="1">
        <v>544410051</v>
      </c>
      <c r="B32" s="6">
        <v>41222</v>
      </c>
      <c r="C32" s="19">
        <v>10.05823792931807</v>
      </c>
      <c r="D32" s="3"/>
      <c r="E32" t="b">
        <f>_xlfn.XLOOKUP(PE_3[[#This Row],[STN]],SE_3[STN],SE_3[IdeaEligibility],"w/o disability",0)</f>
        <v>1</v>
      </c>
      <c r="F32" t="str">
        <f>_xlfn.XLOOKUP(PE_3[[#This Row],[STN]],SE_3[STN],SE_3[Ethnicity],"",0)</f>
        <v>White</v>
      </c>
    </row>
    <row r="33" spans="1:6" ht="14.45">
      <c r="A33" s="1">
        <v>539508242</v>
      </c>
      <c r="B33" s="6">
        <v>40822</v>
      </c>
      <c r="C33" s="19">
        <v>11.154004106776181</v>
      </c>
      <c r="D33" s="3"/>
      <c r="E33" t="b">
        <f>_xlfn.XLOOKUP(PE_3[[#This Row],[STN]],SE_3[STN],SE_3[IdeaEligibility],"w/o disability",0)</f>
        <v>1</v>
      </c>
      <c r="F33" t="str">
        <f>_xlfn.XLOOKUP(PE_3[[#This Row],[STN]],SE_3[STN],SE_3[Ethnicity],"",0)</f>
        <v>White</v>
      </c>
    </row>
    <row r="34" spans="1:6" ht="14.45">
      <c r="A34" s="1">
        <v>539509187</v>
      </c>
      <c r="B34" s="6">
        <v>41974</v>
      </c>
      <c r="C34" s="19">
        <v>8.0006084575600855</v>
      </c>
      <c r="D34" s="3"/>
      <c r="E34" t="b">
        <f>_xlfn.XLOOKUP(PE_3[[#This Row],[STN]],SE_3[STN],SE_3[IdeaEligibility],"w/o disability",0)</f>
        <v>1</v>
      </c>
      <c r="F34" t="str">
        <f>_xlfn.XLOOKUP(PE_3[[#This Row],[STN]],SE_3[STN],SE_3[Ethnicity],"",0)</f>
        <v>White</v>
      </c>
    </row>
    <row r="35" spans="1:6" ht="14.45">
      <c r="A35" s="1">
        <v>539509194</v>
      </c>
      <c r="B35" s="6">
        <v>42936</v>
      </c>
      <c r="C35" s="19">
        <v>5.3674121405750794</v>
      </c>
      <c r="D35" s="3"/>
      <c r="E35" t="b">
        <f>_xlfn.XLOOKUP(PE_3[[#This Row],[STN]],SE_3[STN],SE_3[IdeaEligibility],"w/o disability",0)</f>
        <v>1</v>
      </c>
      <c r="F35" t="str">
        <f>_xlfn.XLOOKUP(PE_3[[#This Row],[STN]],SE_3[STN],SE_3[Ethnicity],"",0)</f>
        <v>White</v>
      </c>
    </row>
    <row r="36" spans="1:6" ht="14.45">
      <c r="A36" s="1">
        <v>539516005</v>
      </c>
      <c r="B36" s="6">
        <v>39744</v>
      </c>
      <c r="C36" s="19">
        <v>14.104763643000549</v>
      </c>
      <c r="D36" s="3"/>
      <c r="E36" t="b">
        <f>_xlfn.XLOOKUP(PE_3[[#This Row],[STN]],SE_3[STN],SE_3[IdeaEligibility],"w/o disability",0)</f>
        <v>1</v>
      </c>
      <c r="F36" t="str">
        <f>_xlfn.XLOOKUP(PE_3[[#This Row],[STN]],SE_3[STN],SE_3[Ethnicity],"",0)</f>
        <v>White</v>
      </c>
    </row>
    <row r="37" spans="1:6" ht="14.45">
      <c r="A37" s="1">
        <v>539550823</v>
      </c>
      <c r="B37" s="6">
        <v>39768</v>
      </c>
      <c r="C37" s="19">
        <v>14.039058222303341</v>
      </c>
      <c r="D37" s="3"/>
      <c r="E37" t="b">
        <f>_xlfn.XLOOKUP(PE_3[[#This Row],[STN]],SE_3[STN],SE_3[IdeaEligibility],"w/o disability",0)</f>
        <v>1</v>
      </c>
      <c r="F37" t="str">
        <f>_xlfn.XLOOKUP(PE_3[[#This Row],[STN]],SE_3[STN],SE_3[Ethnicity],"",0)</f>
        <v>White</v>
      </c>
    </row>
    <row r="38" spans="1:6" ht="14.45">
      <c r="A38" s="1">
        <v>539550823</v>
      </c>
      <c r="B38" s="6">
        <v>40014</v>
      </c>
      <c r="C38" s="19">
        <v>13.367494621552904</v>
      </c>
      <c r="D38" s="3"/>
      <c r="E38" t="b">
        <f>_xlfn.XLOOKUP(PE_3[[#This Row],[STN]],SE_3[STN],SE_3[IdeaEligibility],"w/o disability",0)</f>
        <v>1</v>
      </c>
      <c r="F38" t="str">
        <f>_xlfn.XLOOKUP(PE_3[[#This Row],[STN]],SE_3[STN],SE_3[Ethnicity],"",0)</f>
        <v>White</v>
      </c>
    </row>
    <row r="39" spans="1:6" ht="14.45">
      <c r="A39" s="1">
        <v>539550897</v>
      </c>
      <c r="B39" s="6">
        <v>41638</v>
      </c>
      <c r="C39" s="19">
        <v>8.9211391018619945</v>
      </c>
      <c r="D39" s="3"/>
      <c r="E39" t="b">
        <f>_xlfn.XLOOKUP(PE_3[[#This Row],[STN]],SE_3[STN],SE_3[IdeaEligibility],"w/o disability",0)</f>
        <v>1</v>
      </c>
      <c r="F39" t="str">
        <f>_xlfn.XLOOKUP(PE_3[[#This Row],[STN]],SE_3[STN],SE_3[Ethnicity],"",0)</f>
        <v>White</v>
      </c>
    </row>
    <row r="40" spans="1:6" ht="14.45">
      <c r="A40" s="1">
        <v>539550897</v>
      </c>
      <c r="B40" s="9">
        <v>39945</v>
      </c>
      <c r="C40" s="19">
        <v>13.556424799530609</v>
      </c>
      <c r="D40" s="3"/>
      <c r="E40" t="b">
        <f>_xlfn.XLOOKUP(PE_3[[#This Row],[STN]],SE_3[STN],SE_3[IdeaEligibility],"w/o disability",0)</f>
        <v>1</v>
      </c>
      <c r="F40" t="str">
        <f>_xlfn.XLOOKUP(PE_3[[#This Row],[STN]],SE_3[STN],SE_3[Ethnicity],"",0)</f>
        <v>White</v>
      </c>
    </row>
    <row r="41" spans="1:6" ht="14.45">
      <c r="A41" s="1">
        <v>539550897</v>
      </c>
      <c r="B41" s="6">
        <v>42230</v>
      </c>
      <c r="C41" s="19">
        <v>7.2991101984941817</v>
      </c>
      <c r="D41" s="3"/>
      <c r="E41" t="b">
        <f>_xlfn.XLOOKUP(PE_3[[#This Row],[STN]],SE_3[STN],SE_3[IdeaEligibility],"w/o disability",0)</f>
        <v>1</v>
      </c>
      <c r="F41" t="str">
        <f>_xlfn.XLOOKUP(PE_3[[#This Row],[STN]],SE_3[STN],SE_3[Ethnicity],"",0)</f>
        <v>White</v>
      </c>
    </row>
    <row r="42" spans="1:6" ht="14.45">
      <c r="A42" s="1">
        <v>539550897</v>
      </c>
      <c r="B42" s="6">
        <v>38470</v>
      </c>
      <c r="C42" s="19">
        <v>17.594767264983268</v>
      </c>
      <c r="D42" s="3"/>
      <c r="E42" t="b">
        <f>_xlfn.XLOOKUP(PE_3[[#This Row],[STN]],SE_3[STN],SE_3[IdeaEligibility],"w/o disability",0)</f>
        <v>1</v>
      </c>
      <c r="F42" t="str">
        <f>_xlfn.XLOOKUP(PE_3[[#This Row],[STN]],SE_3[STN],SE_3[Ethnicity],"",0)</f>
        <v>White</v>
      </c>
    </row>
    <row r="43" spans="1:6" ht="14.45">
      <c r="A43" s="1">
        <v>539550897</v>
      </c>
      <c r="B43" s="6">
        <v>40553</v>
      </c>
      <c r="C43" s="19">
        <v>11.890485968514716</v>
      </c>
      <c r="D43" s="3"/>
      <c r="E43" t="b">
        <f>_xlfn.XLOOKUP(PE_3[[#This Row],[STN]],SE_3[STN],SE_3[IdeaEligibility],"w/o disability",0)</f>
        <v>1</v>
      </c>
      <c r="F43" t="str">
        <f>_xlfn.XLOOKUP(PE_3[[#This Row],[STN]],SE_3[STN],SE_3[Ethnicity],"",0)</f>
        <v>White</v>
      </c>
    </row>
    <row r="44" spans="1:6" ht="14.45">
      <c r="A44" s="1">
        <v>539716043</v>
      </c>
      <c r="B44" s="6">
        <v>40955</v>
      </c>
      <c r="C44" s="19">
        <v>10.789198606271778</v>
      </c>
      <c r="D44" s="3"/>
      <c r="E44" t="b">
        <f>_xlfn.XLOOKUP(PE_3[[#This Row],[STN]],SE_3[STN],SE_3[IdeaEligibility],"w/o disability",0)</f>
        <v>1</v>
      </c>
      <c r="F44" t="str">
        <f>_xlfn.XLOOKUP(PE_3[[#This Row],[STN]],SE_3[STN],SE_3[Ethnicity],"",0)</f>
        <v>White</v>
      </c>
    </row>
    <row r="45" spans="1:6" ht="14.45">
      <c r="A45" s="1">
        <v>539716081</v>
      </c>
      <c r="B45" s="6">
        <v>38777</v>
      </c>
      <c r="C45" s="19">
        <v>16.753583507811243</v>
      </c>
      <c r="D45" s="3"/>
      <c r="E45" t="b">
        <f>_xlfn.XLOOKUP(PE_3[[#This Row],[STN]],SE_3[STN],SE_3[IdeaEligibility],"w/o disability",0)</f>
        <v>1</v>
      </c>
      <c r="F45" t="str">
        <f>_xlfn.XLOOKUP(PE_3[[#This Row],[STN]],SE_3[STN],SE_3[Ethnicity],"",0)</f>
        <v>Black - African American</v>
      </c>
    </row>
    <row r="46" spans="1:6" ht="14.45">
      <c r="A46" s="1">
        <v>539716081</v>
      </c>
      <c r="B46" s="9">
        <v>41045</v>
      </c>
      <c r="C46" s="19">
        <v>10.542807366849178</v>
      </c>
      <c r="D46" s="3"/>
      <c r="E46" t="b">
        <f>_xlfn.XLOOKUP(PE_3[[#This Row],[STN]],SE_3[STN],SE_3[IdeaEligibility],"w/o disability",0)</f>
        <v>1</v>
      </c>
      <c r="F46" t="str">
        <f>_xlfn.XLOOKUP(PE_3[[#This Row],[STN]],SE_3[STN],SE_3[Ethnicity],"",0)</f>
        <v>Black - African American</v>
      </c>
    </row>
    <row r="47" spans="1:6" ht="14.45">
      <c r="A47" s="1">
        <v>539716081</v>
      </c>
      <c r="B47" s="6">
        <v>41002</v>
      </c>
      <c r="C47" s="19">
        <v>10.66052762568442</v>
      </c>
      <c r="D47" s="3"/>
      <c r="E47" t="b">
        <f>_xlfn.XLOOKUP(PE_3[[#This Row],[STN]],SE_3[STN],SE_3[IdeaEligibility],"w/o disability",0)</f>
        <v>1</v>
      </c>
      <c r="F47" t="str">
        <f>_xlfn.XLOOKUP(PE_3[[#This Row],[STN]],SE_3[STN],SE_3[Ethnicity],"",0)</f>
        <v>Black - African American</v>
      </c>
    </row>
    <row r="48" spans="1:6" ht="14.45">
      <c r="A48" s="1">
        <v>539716081</v>
      </c>
      <c r="B48" s="6">
        <v>41185</v>
      </c>
      <c r="C48" s="19">
        <v>10.159532105525138</v>
      </c>
      <c r="D48" s="3"/>
      <c r="E48" t="b">
        <f>_xlfn.XLOOKUP(PE_3[[#This Row],[STN]],SE_3[STN],SE_3[IdeaEligibility],"w/o disability",0)</f>
        <v>1</v>
      </c>
      <c r="F48" t="str">
        <f>_xlfn.XLOOKUP(PE_3[[#This Row],[STN]],SE_3[STN],SE_3[Ethnicity],"",0)</f>
        <v>Black - African American</v>
      </c>
    </row>
    <row r="49" spans="1:6" ht="14.45">
      <c r="A49" s="1">
        <v>539716081</v>
      </c>
      <c r="B49" s="6">
        <v>40266</v>
      </c>
      <c r="C49" s="19">
        <v>12.676916596461668</v>
      </c>
      <c r="D49" s="3"/>
      <c r="E49" t="b">
        <f>_xlfn.XLOOKUP(PE_3[[#This Row],[STN]],SE_3[STN],SE_3[IdeaEligibility],"w/o disability",0)</f>
        <v>1</v>
      </c>
      <c r="F49" t="str">
        <f>_xlfn.XLOOKUP(PE_3[[#This Row],[STN]],SE_3[STN],SE_3[Ethnicity],"",0)</f>
        <v>Black - African American</v>
      </c>
    </row>
    <row r="50" spans="1:6" ht="14.45">
      <c r="A50" s="1">
        <v>539716081</v>
      </c>
      <c r="B50" s="6">
        <v>38415</v>
      </c>
      <c r="C50" s="19">
        <v>17.745360511104352</v>
      </c>
      <c r="D50" s="3"/>
      <c r="E50" t="b">
        <f>_xlfn.XLOOKUP(PE_3[[#This Row],[STN]],SE_3[STN],SE_3[IdeaEligibility],"w/o disability",0)</f>
        <v>1</v>
      </c>
      <c r="F50" t="str">
        <f>_xlfn.XLOOKUP(PE_3[[#This Row],[STN]],SE_3[STN],SE_3[Ethnicity],"",0)</f>
        <v>Black - African American</v>
      </c>
    </row>
    <row r="51" spans="1:6" ht="14.45">
      <c r="A51" s="1">
        <v>810410072</v>
      </c>
      <c r="B51" s="6">
        <v>40835</v>
      </c>
      <c r="C51" s="19">
        <v>11.118412046543463</v>
      </c>
      <c r="D51" s="3"/>
      <c r="E51" t="b">
        <f>_xlfn.XLOOKUP(PE_3[[#This Row],[STN]],SE_3[STN],SE_3[IdeaEligibility],"w/o disability",0)</f>
        <v>1</v>
      </c>
      <c r="F51" t="str">
        <f>_xlfn.XLOOKUP(PE_3[[#This Row],[STN]],SE_3[STN],SE_3[Ethnicity],"",0)</f>
        <v>White</v>
      </c>
    </row>
    <row r="52" spans="1:6" ht="14.45">
      <c r="A52" s="1">
        <v>810411045</v>
      </c>
      <c r="B52" s="6">
        <v>38253</v>
      </c>
      <c r="C52" s="19">
        <v>18.186887608069167</v>
      </c>
      <c r="D52" s="3"/>
      <c r="E52" t="b">
        <f>_xlfn.XLOOKUP(PE_3[[#This Row],[STN]],SE_3[STN],SE_3[IdeaEligibility],"w/o disability",0)</f>
        <v>1</v>
      </c>
      <c r="F52" t="str">
        <f>_xlfn.XLOOKUP(PE_3[[#This Row],[STN]],SE_3[STN],SE_3[Ethnicity],"",0)</f>
        <v>White</v>
      </c>
    </row>
    <row r="53" spans="1:6" ht="14.45">
      <c r="A53" s="1">
        <v>820314053</v>
      </c>
      <c r="B53" s="6">
        <v>39636</v>
      </c>
      <c r="C53" s="19">
        <v>14.400438036137983</v>
      </c>
      <c r="D53" s="3"/>
      <c r="E53" t="b">
        <f>_xlfn.XLOOKUP(PE_3[[#This Row],[STN]],SE_3[STN],SE_3[IdeaEligibility],"w/o disability",0)</f>
        <v>1</v>
      </c>
      <c r="F53" t="str">
        <f>_xlfn.XLOOKUP(PE_3[[#This Row],[STN]],SE_3[STN],SE_3[Ethnicity],"",0)</f>
        <v>White</v>
      </c>
    </row>
    <row r="54" spans="1:6" ht="14.45">
      <c r="A54" s="1">
        <v>808907012</v>
      </c>
      <c r="B54" s="6">
        <v>37967</v>
      </c>
      <c r="C54" s="19">
        <v>18.970568104038328</v>
      </c>
      <c r="D54" s="3"/>
      <c r="E54" t="b">
        <f>_xlfn.XLOOKUP(PE_3[[#This Row],[STN]],SE_3[STN],SE_3[IdeaEligibility],"w/o disability",0)</f>
        <v>1</v>
      </c>
      <c r="F54" t="str">
        <f>_xlfn.XLOOKUP(PE_3[[#This Row],[STN]],SE_3[STN],SE_3[Ethnicity],"",0)</f>
        <v>White</v>
      </c>
    </row>
    <row r="55" spans="1:6" ht="14.45">
      <c r="A55" s="1">
        <v>822514028</v>
      </c>
      <c r="B55" s="6">
        <v>40647</v>
      </c>
      <c r="C55" s="19">
        <v>11.633127994524298</v>
      </c>
      <c r="D55" s="3"/>
      <c r="E55" t="b">
        <f>_xlfn.XLOOKUP(PE_3[[#This Row],[STN]],SE_3[STN],SE_3[IdeaEligibility],"w/o disability",0)</f>
        <v>1</v>
      </c>
      <c r="F55" t="str">
        <f>_xlfn.XLOOKUP(PE_3[[#This Row],[STN]],SE_3[STN],SE_3[Ethnicity],"",0)</f>
        <v>White</v>
      </c>
    </row>
    <row r="56" spans="1:6" ht="14.45">
      <c r="A56" s="1">
        <v>823114064</v>
      </c>
      <c r="B56" s="6">
        <v>41953</v>
      </c>
      <c r="C56" s="19">
        <v>8.0581076969881344</v>
      </c>
      <c r="D56" s="3"/>
      <c r="E56" t="b">
        <f>_xlfn.XLOOKUP(PE_3[[#This Row],[STN]],SE_3[STN],SE_3[IdeaEligibility],"w/o disability",0)</f>
        <v>1</v>
      </c>
      <c r="F56" t="str">
        <f>_xlfn.XLOOKUP(PE_3[[#This Row],[STN]],SE_3[STN],SE_3[Ethnicity],"",0)</f>
        <v>White</v>
      </c>
    </row>
    <row r="57" spans="1:6" ht="14.45">
      <c r="A57" s="1">
        <v>823721021</v>
      </c>
      <c r="B57" s="6">
        <v>40774</v>
      </c>
      <c r="C57" s="19">
        <v>11.285420944558522</v>
      </c>
      <c r="D57" s="3"/>
      <c r="E57" t="b">
        <f>_xlfn.XLOOKUP(PE_3[[#This Row],[STN]],SE_3[STN],SE_3[IdeaEligibility],"w/o disability",0)</f>
        <v>1</v>
      </c>
      <c r="F57" t="str">
        <f>_xlfn.XLOOKUP(PE_3[[#This Row],[STN]],SE_3[STN],SE_3[Ethnicity],"",0)</f>
        <v>Black - African American</v>
      </c>
    </row>
    <row r="58" spans="1:6" ht="14.45">
      <c r="A58" s="1">
        <v>825108010</v>
      </c>
      <c r="B58" s="6">
        <v>41755</v>
      </c>
      <c r="C58" s="19">
        <v>8.6002433830240346</v>
      </c>
      <c r="D58" s="3"/>
      <c r="E58" t="b">
        <f>_xlfn.XLOOKUP(PE_3[[#This Row],[STN]],SE_3[STN],SE_3[IdeaEligibility],"w/o disability",0)</f>
        <v>1</v>
      </c>
      <c r="F58" t="str">
        <f>_xlfn.XLOOKUP(PE_3[[#This Row],[STN]],SE_3[STN],SE_3[Ethnicity],"",0)</f>
        <v>White</v>
      </c>
    </row>
    <row r="59" spans="1:6" ht="14.45">
      <c r="A59" s="1">
        <v>825108051</v>
      </c>
      <c r="B59" s="6">
        <v>38938</v>
      </c>
      <c r="C59" s="19">
        <v>16.312771782895794</v>
      </c>
      <c r="D59" s="3"/>
      <c r="E59" t="b">
        <f>_xlfn.XLOOKUP(PE_3[[#This Row],[STN]],SE_3[STN],SE_3[IdeaEligibility],"w/o disability",0)</f>
        <v>1</v>
      </c>
      <c r="F59" t="str">
        <f>_xlfn.XLOOKUP(PE_3[[#This Row],[STN]],SE_3[STN],SE_3[Ethnicity],"",0)</f>
        <v>White</v>
      </c>
    </row>
    <row r="60" spans="1:6" ht="14.45">
      <c r="A60" s="1">
        <v>825108051</v>
      </c>
      <c r="B60" s="9">
        <v>39226</v>
      </c>
      <c r="C60" s="19">
        <v>15.523613963039015</v>
      </c>
      <c r="D60" s="3"/>
      <c r="E60" t="b">
        <f>_xlfn.XLOOKUP(PE_3[[#This Row],[STN]],SE_3[STN],SE_3[IdeaEligibility],"w/o disability",0)</f>
        <v>1</v>
      </c>
      <c r="F60" t="str">
        <f>_xlfn.XLOOKUP(PE_3[[#This Row],[STN]],SE_3[STN],SE_3[Ethnicity],"",0)</f>
        <v>White</v>
      </c>
    </row>
    <row r="61" spans="1:6" ht="14.45">
      <c r="A61" s="1">
        <v>825110043</v>
      </c>
      <c r="B61" s="6">
        <v>39450</v>
      </c>
      <c r="C61" s="19">
        <v>14.90965504654134</v>
      </c>
      <c r="D61" s="3"/>
      <c r="E61" t="b">
        <f>_xlfn.XLOOKUP(PE_3[[#This Row],[STN]],SE_3[STN],SE_3[IdeaEligibility],"w/o disability",0)</f>
        <v>1</v>
      </c>
      <c r="F61" t="str">
        <f>_xlfn.XLOOKUP(PE_3[[#This Row],[STN]],SE_3[STN],SE_3[Ethnicity],"",0)</f>
        <v>White</v>
      </c>
    </row>
    <row r="62" spans="1:6" ht="14.45">
      <c r="A62" s="1">
        <v>825110043</v>
      </c>
      <c r="B62" s="9">
        <v>39211</v>
      </c>
      <c r="C62" s="19">
        <v>15.564681724845997</v>
      </c>
      <c r="D62" s="3"/>
      <c r="E62" t="b">
        <f>_xlfn.XLOOKUP(PE_3[[#This Row],[STN]],SE_3[STN],SE_3[IdeaEligibility],"w/o disability",0)</f>
        <v>1</v>
      </c>
      <c r="F62" t="str">
        <f>_xlfn.XLOOKUP(PE_3[[#This Row],[STN]],SE_3[STN],SE_3[Ethnicity],"",0)</f>
        <v>White</v>
      </c>
    </row>
    <row r="63" spans="1:6" ht="14.45">
      <c r="A63" s="1">
        <v>825110043</v>
      </c>
      <c r="B63" s="6">
        <v>39829</v>
      </c>
      <c r="C63" s="19">
        <v>13.874046548014864</v>
      </c>
      <c r="D63" s="3"/>
      <c r="E63" t="b">
        <f>_xlfn.XLOOKUP(PE_3[[#This Row],[STN]],SE_3[STN],SE_3[IdeaEligibility],"w/o disability",0)</f>
        <v>1</v>
      </c>
      <c r="F63" t="str">
        <f>_xlfn.XLOOKUP(PE_3[[#This Row],[STN]],SE_3[STN],SE_3[Ethnicity],"",0)</f>
        <v>White</v>
      </c>
    </row>
    <row r="64" spans="1:6" ht="14.45">
      <c r="A64" s="1">
        <v>825111019</v>
      </c>
      <c r="B64" s="6">
        <v>41730</v>
      </c>
      <c r="C64" s="19">
        <v>8.6686948585336179</v>
      </c>
      <c r="D64" s="3"/>
      <c r="E64" t="b">
        <f>_xlfn.XLOOKUP(PE_3[[#This Row],[STN]],SE_3[STN],SE_3[IdeaEligibility],"w/o disability",0)</f>
        <v>1</v>
      </c>
      <c r="F64" t="str">
        <f>_xlfn.XLOOKUP(PE_3[[#This Row],[STN]],SE_3[STN],SE_3[Ethnicity],"",0)</f>
        <v>Black - African American</v>
      </c>
    </row>
    <row r="65" spans="1:6" ht="14.45">
      <c r="A65" s="1">
        <v>825111019</v>
      </c>
      <c r="B65" s="6">
        <v>42448</v>
      </c>
      <c r="C65" s="19">
        <v>6.701603441533047</v>
      </c>
      <c r="D65" s="3"/>
      <c r="E65" t="b">
        <f>_xlfn.XLOOKUP(PE_3[[#This Row],[STN]],SE_3[STN],SE_3[IdeaEligibility],"w/o disability",0)</f>
        <v>1</v>
      </c>
      <c r="F65" t="str">
        <f>_xlfn.XLOOKUP(PE_3[[#This Row],[STN]],SE_3[STN],SE_3[Ethnicity],"",0)</f>
        <v>Black - African American</v>
      </c>
    </row>
    <row r="66" spans="1:6" ht="14.45">
      <c r="A66" s="1">
        <v>825115011</v>
      </c>
      <c r="B66" s="6">
        <v>38833</v>
      </c>
      <c r="C66" s="19">
        <v>16.600257690449347</v>
      </c>
      <c r="D66" s="3"/>
      <c r="E66" t="b">
        <f>_xlfn.XLOOKUP(PE_3[[#This Row],[STN]],SE_3[STN],SE_3[IdeaEligibility],"w/o disability",0)</f>
        <v>1</v>
      </c>
      <c r="F66" t="str">
        <f>_xlfn.XLOOKUP(PE_3[[#This Row],[STN]],SE_3[STN],SE_3[Ethnicity],"",0)</f>
        <v>White</v>
      </c>
    </row>
    <row r="67" spans="1:6" ht="14.45">
      <c r="A67" s="1">
        <v>826110041</v>
      </c>
      <c r="B67" s="6">
        <v>41515</v>
      </c>
      <c r="C67" s="19">
        <v>9.2579408543263959</v>
      </c>
      <c r="D67" s="3"/>
      <c r="E67" t="b">
        <f>_xlfn.XLOOKUP(PE_3[[#This Row],[STN]],SE_3[STN],SE_3[IdeaEligibility],"w/o disability",0)</f>
        <v>1</v>
      </c>
      <c r="F67" t="str">
        <f>_xlfn.XLOOKUP(PE_3[[#This Row],[STN]],SE_3[STN],SE_3[Ethnicity],"",0)</f>
        <v>White</v>
      </c>
    </row>
    <row r="68" spans="1:6" ht="14.45">
      <c r="A68" s="1">
        <v>826114093</v>
      </c>
      <c r="B68" s="6">
        <v>41243</v>
      </c>
      <c r="C68" s="19">
        <v>10.000746640119463</v>
      </c>
      <c r="D68" s="3"/>
      <c r="E68" t="b">
        <f>_xlfn.XLOOKUP(PE_3[[#This Row],[STN]],SE_3[STN],SE_3[IdeaEligibility],"w/o disability",0)</f>
        <v>1</v>
      </c>
      <c r="F68" t="str">
        <f>_xlfn.XLOOKUP(PE_3[[#This Row],[STN]],SE_3[STN],SE_3[Ethnicity],"",0)</f>
        <v>Multiracial (two or more races)</v>
      </c>
    </row>
    <row r="69" spans="1:6" ht="14.45">
      <c r="A69" s="1">
        <v>826114093</v>
      </c>
      <c r="B69" s="6">
        <v>39337</v>
      </c>
      <c r="C69" s="19">
        <v>15.219712525667351</v>
      </c>
      <c r="D69" s="3"/>
      <c r="E69" t="b">
        <f>_xlfn.XLOOKUP(PE_3[[#This Row],[STN]],SE_3[STN],SE_3[IdeaEligibility],"w/o disability",0)</f>
        <v>1</v>
      </c>
      <c r="F69" t="str">
        <f>_xlfn.XLOOKUP(PE_3[[#This Row],[STN]],SE_3[STN],SE_3[Ethnicity],"",0)</f>
        <v>Multiracial (two or more races)</v>
      </c>
    </row>
    <row r="70" spans="1:6" ht="14.45">
      <c r="A70" s="1">
        <v>919716019</v>
      </c>
      <c r="B70" s="6">
        <v>38385</v>
      </c>
      <c r="C70" s="19">
        <v>17.827502281715851</v>
      </c>
      <c r="D70" s="3"/>
      <c r="E70" t="b">
        <f>_xlfn.XLOOKUP(PE_3[[#This Row],[STN]],SE_3[STN],SE_3[IdeaEligibility],"w/o disability",0)</f>
        <v>1</v>
      </c>
      <c r="F70" t="str">
        <f>_xlfn.XLOOKUP(PE_3[[#This Row],[STN]],SE_3[STN],SE_3[Ethnicity],"",0)</f>
        <v>White</v>
      </c>
    </row>
    <row r="71" spans="1:6" ht="14.45">
      <c r="A71" s="1" t="s">
        <v>51</v>
      </c>
      <c r="B71" s="6">
        <v>40404</v>
      </c>
      <c r="C71" s="19">
        <v>12.299073294018534</v>
      </c>
      <c r="D71" s="3"/>
      <c r="E71" t="b">
        <f>_xlfn.XLOOKUP(PE_3[[#This Row],[STN]],SE_3[STN],SE_3[IdeaEligibility],"w/o disability",0)</f>
        <v>1</v>
      </c>
      <c r="F71" t="str">
        <f>_xlfn.XLOOKUP(PE_3[[#This Row],[STN]],SE_3[STN],SE_3[Ethnicity],"",0)</f>
        <v>White</v>
      </c>
    </row>
    <row r="72" spans="1:6" ht="14.45">
      <c r="A72" s="1">
        <v>537520042</v>
      </c>
      <c r="B72" s="6">
        <v>42656</v>
      </c>
      <c r="C72" s="19">
        <v>6.1321861556511541</v>
      </c>
      <c r="D72" s="3"/>
      <c r="E72" t="b">
        <f>_xlfn.XLOOKUP(PE_3[[#This Row],[STN]],SE_3[STN],SE_3[IdeaEligibility],"w/o disability",0)</f>
        <v>1</v>
      </c>
      <c r="F72" t="str">
        <f>_xlfn.XLOOKUP(PE_3[[#This Row],[STN]],SE_3[STN],SE_3[Ethnicity],"",0)</f>
        <v>White</v>
      </c>
    </row>
    <row r="73" spans="1:6" ht="14.45">
      <c r="A73" s="1">
        <v>538611691</v>
      </c>
      <c r="B73" s="6">
        <v>40561</v>
      </c>
      <c r="C73" s="19">
        <v>11.868583162217659</v>
      </c>
      <c r="D73" s="3"/>
      <c r="E73" t="b">
        <f>_xlfn.XLOOKUP(PE_3[[#This Row],[STN]],SE_3[STN],SE_3[IdeaEligibility],"w/o disability",0)</f>
        <v>1</v>
      </c>
      <c r="F73" t="str">
        <f>_xlfn.XLOOKUP(PE_3[[#This Row],[STN]],SE_3[STN],SE_3[Ethnicity],"",0)</f>
        <v>Hispanic Ethnicity and of any race</v>
      </c>
    </row>
    <row r="74" spans="1:6" ht="14.45">
      <c r="A74" s="1">
        <v>538614067</v>
      </c>
      <c r="B74" s="6">
        <v>38576</v>
      </c>
      <c r="C74" s="19">
        <v>17.304533008822634</v>
      </c>
      <c r="D74" s="3"/>
      <c r="E74" t="b">
        <f>_xlfn.XLOOKUP(PE_3[[#This Row],[STN]],SE_3[STN],SE_3[IdeaEligibility],"w/o disability",0)</f>
        <v>1</v>
      </c>
      <c r="F74" t="str">
        <f>_xlfn.XLOOKUP(PE_3[[#This Row],[STN]],SE_3[STN],SE_3[Ethnicity],"",0)</f>
        <v>White</v>
      </c>
    </row>
    <row r="75" spans="1:6" ht="14.45">
      <c r="A75" s="1">
        <v>538614068</v>
      </c>
      <c r="B75" s="6">
        <v>39182</v>
      </c>
      <c r="C75" s="19">
        <v>15.644079397672828</v>
      </c>
      <c r="D75" s="3"/>
      <c r="E75" t="b">
        <f>_xlfn.XLOOKUP(PE_3[[#This Row],[STN]],SE_3[STN],SE_3[IdeaEligibility],"w/o disability",0)</f>
        <v>1</v>
      </c>
      <c r="F75" t="str">
        <f>_xlfn.XLOOKUP(PE_3[[#This Row],[STN]],SE_3[STN],SE_3[Ethnicity],"",0)</f>
        <v>White</v>
      </c>
    </row>
    <row r="76" spans="1:6" ht="14.45">
      <c r="A76" s="1">
        <v>538919019</v>
      </c>
      <c r="B76" s="6">
        <v>39396</v>
      </c>
      <c r="C76" s="19">
        <v>15.058179329226558</v>
      </c>
      <c r="D76" s="3"/>
      <c r="E76" t="b">
        <f>_xlfn.XLOOKUP(PE_3[[#This Row],[STN]],SE_3[STN],SE_3[IdeaEligibility],"w/o disability",0)</f>
        <v>1</v>
      </c>
      <c r="F76" t="str">
        <f>_xlfn.XLOOKUP(PE_3[[#This Row],[STN]],SE_3[STN],SE_3[Ethnicity],"",0)</f>
        <v>White</v>
      </c>
    </row>
    <row r="77" spans="1:6" ht="14.45">
      <c r="A77" s="1">
        <v>539116031</v>
      </c>
      <c r="B77" s="6">
        <v>39134</v>
      </c>
      <c r="C77" s="19">
        <v>15.775496235455167</v>
      </c>
      <c r="D77" s="3"/>
      <c r="E77" t="b">
        <f>_xlfn.XLOOKUP(PE_3[[#This Row],[STN]],SE_3[STN],SE_3[IdeaEligibility],"w/o disability",0)</f>
        <v>1</v>
      </c>
      <c r="F77" t="str">
        <f>_xlfn.XLOOKUP(PE_3[[#This Row],[STN]],SE_3[STN],SE_3[Ethnicity],"",0)</f>
        <v>White</v>
      </c>
    </row>
    <row r="78" spans="1:6" ht="14.45">
      <c r="A78" s="1">
        <v>533718007</v>
      </c>
      <c r="B78" s="6">
        <v>41649</v>
      </c>
      <c r="C78" s="19">
        <v>8.8904776391846667</v>
      </c>
      <c r="D78" s="3"/>
      <c r="E78" t="b">
        <f>_xlfn.XLOOKUP(PE_3[[#This Row],[STN]],SE_3[STN],SE_3[IdeaEligibility],"w/o disability",0)</f>
        <v>1</v>
      </c>
      <c r="F78" t="str">
        <f>_xlfn.XLOOKUP(PE_3[[#This Row],[STN]],SE_3[STN],SE_3[Ethnicity],"",0)</f>
        <v>White</v>
      </c>
    </row>
    <row r="79" spans="1:6" ht="14.45">
      <c r="A79" s="1">
        <v>533718034</v>
      </c>
      <c r="B79" s="6">
        <v>39464</v>
      </c>
      <c r="C79" s="19">
        <v>14.871326884467969</v>
      </c>
      <c r="D79" s="3"/>
      <c r="E79" t="b">
        <f>_xlfn.XLOOKUP(PE_3[[#This Row],[STN]],SE_3[STN],SE_3[IdeaEligibility],"w/o disability",0)</f>
        <v>1</v>
      </c>
      <c r="F79" t="str">
        <f>_xlfn.XLOOKUP(PE_3[[#This Row],[STN]],SE_3[STN],SE_3[Ethnicity],"",0)</f>
        <v>White</v>
      </c>
    </row>
    <row r="80" spans="1:6" ht="14.45">
      <c r="A80" s="1">
        <v>533718111</v>
      </c>
      <c r="B80" s="6">
        <v>40610</v>
      </c>
      <c r="C80" s="19">
        <v>11.734428473648187</v>
      </c>
      <c r="D80" s="3"/>
      <c r="E80" t="b">
        <f>_xlfn.XLOOKUP(PE_3[[#This Row],[STN]],SE_3[STN],SE_3[IdeaEligibility],"w/o disability",0)</f>
        <v>1</v>
      </c>
      <c r="F80" t="str">
        <f>_xlfn.XLOOKUP(PE_3[[#This Row],[STN]],SE_3[STN],SE_3[Ethnicity],"",0)</f>
        <v>White</v>
      </c>
    </row>
    <row r="81" spans="1:6" ht="14.45">
      <c r="A81" s="1">
        <v>533718173</v>
      </c>
      <c r="B81" s="6">
        <v>42167</v>
      </c>
      <c r="C81" s="19">
        <v>7.4715947980835047</v>
      </c>
      <c r="D81" s="3"/>
      <c r="E81" t="b">
        <f>_xlfn.XLOOKUP(PE_3[[#This Row],[STN]],SE_3[STN],SE_3[IdeaEligibility],"w/o disability",0)</f>
        <v>1</v>
      </c>
      <c r="F81" t="str">
        <f>_xlfn.XLOOKUP(PE_3[[#This Row],[STN]],SE_3[STN],SE_3[Ethnicity],"",0)</f>
        <v>White</v>
      </c>
    </row>
    <row r="82" spans="1:6" ht="14.45">
      <c r="A82" s="1">
        <v>533719067</v>
      </c>
      <c r="B82" s="6">
        <v>40748</v>
      </c>
      <c r="C82" s="19">
        <v>11.356605065023956</v>
      </c>
      <c r="D82" s="3"/>
      <c r="E82" t="b">
        <f>_xlfn.XLOOKUP(PE_3[[#This Row],[STN]],SE_3[STN],SE_3[IdeaEligibility],"w/o disability",0)</f>
        <v>1</v>
      </c>
      <c r="F82" t="str">
        <f>_xlfn.XLOOKUP(PE_3[[#This Row],[STN]],SE_3[STN],SE_3[Ethnicity],"",0)</f>
        <v>White</v>
      </c>
    </row>
    <row r="83" spans="1:6" ht="14.45">
      <c r="A83" s="1">
        <v>533820022</v>
      </c>
      <c r="B83" s="6">
        <v>41236</v>
      </c>
      <c r="C83" s="19">
        <v>10.019910403185666</v>
      </c>
      <c r="D83" s="3"/>
      <c r="E83" t="b">
        <f>_xlfn.XLOOKUP(PE_3[[#This Row],[STN]],SE_3[STN],SE_3[IdeaEligibility],"w/o disability",0)</f>
        <v>1</v>
      </c>
      <c r="F83" t="str">
        <f>_xlfn.XLOOKUP(PE_3[[#This Row],[STN]],SE_3[STN],SE_3[Ethnicity],"",0)</f>
        <v>Multiracial (two or more races)</v>
      </c>
    </row>
    <row r="84" spans="1:6" ht="14.45">
      <c r="A84" s="1">
        <v>533820227</v>
      </c>
      <c r="B84" s="6">
        <v>39653</v>
      </c>
      <c r="C84" s="19">
        <v>14.353896696477459</v>
      </c>
      <c r="D84" s="3"/>
      <c r="E84" t="b">
        <f>_xlfn.XLOOKUP(PE_3[[#This Row],[STN]],SE_3[STN],SE_3[IdeaEligibility],"w/o disability",0)</f>
        <v>1</v>
      </c>
      <c r="F84" t="str">
        <f>_xlfn.XLOOKUP(PE_3[[#This Row],[STN]],SE_3[STN],SE_3[Ethnicity],"",0)</f>
        <v>Multiracial (two or more races)</v>
      </c>
    </row>
    <row r="85" spans="1:6" ht="14.45">
      <c r="A85" s="1">
        <v>534711032</v>
      </c>
      <c r="B85" s="6">
        <v>39507</v>
      </c>
      <c r="C85" s="19">
        <v>14.753604672385473</v>
      </c>
      <c r="D85" s="3"/>
      <c r="E85" t="b">
        <f>_xlfn.XLOOKUP(PE_3[[#This Row],[STN]],SE_3[STN],SE_3[IdeaEligibility],"w/o disability",0)</f>
        <v>1</v>
      </c>
      <c r="F85" t="str">
        <f>_xlfn.XLOOKUP(PE_3[[#This Row],[STN]],SE_3[STN],SE_3[Ethnicity],"",0)</f>
        <v>White</v>
      </c>
    </row>
    <row r="86" spans="1:6" ht="14.45">
      <c r="A86" s="1">
        <v>534712125</v>
      </c>
      <c r="B86" s="6">
        <v>41592</v>
      </c>
      <c r="C86" s="19">
        <v>9.04709748083242</v>
      </c>
      <c r="D86" s="3"/>
      <c r="E86" t="b">
        <f>_xlfn.XLOOKUP(PE_3[[#This Row],[STN]],SE_3[STN],SE_3[IdeaEligibility],"w/o disability",0)</f>
        <v>1</v>
      </c>
      <c r="F86" t="str">
        <f>_xlfn.XLOOKUP(PE_3[[#This Row],[STN]],SE_3[STN],SE_3[Ethnicity],"",0)</f>
        <v>White</v>
      </c>
    </row>
    <row r="87" spans="1:6" ht="14.45">
      <c r="A87" s="1">
        <v>534716126</v>
      </c>
      <c r="B87" s="6">
        <v>42475</v>
      </c>
      <c r="C87" s="19">
        <v>6.6276886976926086</v>
      </c>
      <c r="D87" s="3"/>
      <c r="E87" t="b">
        <f>_xlfn.XLOOKUP(PE_3[[#This Row],[STN]],SE_3[STN],SE_3[IdeaEligibility],"w/o disability",0)</f>
        <v>1</v>
      </c>
      <c r="F87" t="str">
        <f>_xlfn.XLOOKUP(PE_3[[#This Row],[STN]],SE_3[STN],SE_3[Ethnicity],"",0)</f>
        <v>White</v>
      </c>
    </row>
    <row r="88" spans="1:6" ht="14.45">
      <c r="A88" s="1">
        <v>538615070</v>
      </c>
      <c r="B88" s="6">
        <v>41673</v>
      </c>
      <c r="C88" s="19">
        <v>8.8247642226954675</v>
      </c>
      <c r="D88" s="3"/>
      <c r="E88" t="b">
        <f>_xlfn.XLOOKUP(PE_3[[#This Row],[STN]],SE_3[STN],SE_3[IdeaEligibility],"w/o disability",0)</f>
        <v>1</v>
      </c>
      <c r="F88" t="str">
        <f>_xlfn.XLOOKUP(PE_3[[#This Row],[STN]],SE_3[STN],SE_3[Ethnicity],"",0)</f>
        <v>White</v>
      </c>
    </row>
    <row r="89" spans="1:6" ht="14.45">
      <c r="A89" s="1">
        <v>538615070</v>
      </c>
      <c r="B89" s="6">
        <v>40121</v>
      </c>
      <c r="C89" s="19">
        <v>13.074515939761392</v>
      </c>
      <c r="D89" s="3"/>
      <c r="E89" t="b">
        <f>_xlfn.XLOOKUP(PE_3[[#This Row],[STN]],SE_3[STN],SE_3[IdeaEligibility],"w/o disability",0)</f>
        <v>1</v>
      </c>
      <c r="F89" t="str">
        <f>_xlfn.XLOOKUP(PE_3[[#This Row],[STN]],SE_3[STN],SE_3[Ethnicity],"",0)</f>
        <v>White</v>
      </c>
    </row>
    <row r="90" spans="1:6" ht="14.45">
      <c r="A90" s="1">
        <v>538616045</v>
      </c>
      <c r="B90" s="6">
        <v>39054</v>
      </c>
      <c r="C90" s="19">
        <v>15.995168304074729</v>
      </c>
      <c r="D90" s="3"/>
      <c r="E90" t="b">
        <f>_xlfn.XLOOKUP(PE_3[[#This Row],[STN]],SE_3[STN],SE_3[IdeaEligibility],"w/o disability",0)</f>
        <v>1</v>
      </c>
      <c r="F90" t="str">
        <f>_xlfn.XLOOKUP(PE_3[[#This Row],[STN]],SE_3[STN],SE_3[Ethnicity],"",0)</f>
        <v>White</v>
      </c>
    </row>
    <row r="91" spans="1:6" ht="14.45">
      <c r="A91" s="1">
        <v>535116018</v>
      </c>
      <c r="B91" s="6">
        <v>41478</v>
      </c>
      <c r="C91" s="19">
        <v>9.359255202628697</v>
      </c>
      <c r="D91" s="3"/>
      <c r="E91" t="b">
        <f>_xlfn.XLOOKUP(PE_3[[#This Row],[STN]],SE_3[STN],SE_3[IdeaEligibility],"w/o disability",0)</f>
        <v>1</v>
      </c>
      <c r="F91" t="str">
        <f>_xlfn.XLOOKUP(PE_3[[#This Row],[STN]],SE_3[STN],SE_3[Ethnicity],"",0)</f>
        <v>Multiracial (two or more races)</v>
      </c>
    </row>
    <row r="92" spans="1:6" ht="14.45">
      <c r="A92" s="1">
        <v>816310222</v>
      </c>
      <c r="B92" s="6">
        <v>41711</v>
      </c>
      <c r="C92" s="19">
        <v>8.7207179799209005</v>
      </c>
      <c r="D92" s="3"/>
      <c r="E92" t="b">
        <f>_xlfn.XLOOKUP(PE_3[[#This Row],[STN]],SE_3[STN],SE_3[IdeaEligibility],"w/o disability",0)</f>
        <v>1</v>
      </c>
      <c r="F92" t="str">
        <f>_xlfn.XLOOKUP(PE_3[[#This Row],[STN]],SE_3[STN],SE_3[Ethnicity],"",0)</f>
        <v>White</v>
      </c>
    </row>
    <row r="93" spans="1:6" ht="14.45">
      <c r="A93" s="1">
        <v>371414051</v>
      </c>
      <c r="B93" s="6">
        <v>42557</v>
      </c>
      <c r="C93" s="19">
        <v>6.4032068830660931</v>
      </c>
      <c r="D93" s="3"/>
      <c r="E93" t="b">
        <f>_xlfn.XLOOKUP(PE_3[[#This Row],[STN]],SE_3[STN],SE_3[IdeaEligibility],"w/o disability",0)</f>
        <v>1</v>
      </c>
      <c r="F93" t="str">
        <f>_xlfn.XLOOKUP(PE_3[[#This Row],[STN]],SE_3[STN],SE_3[Ethnicity],"",0)</f>
        <v>White</v>
      </c>
    </row>
    <row r="94" spans="1:6" ht="14.45">
      <c r="A94" s="1">
        <v>649111043</v>
      </c>
      <c r="B94" s="6">
        <v>38987</v>
      </c>
      <c r="C94" s="19">
        <v>16.178611692704138</v>
      </c>
      <c r="D94" s="3"/>
      <c r="E94" t="b">
        <f>_xlfn.XLOOKUP(PE_3[[#This Row],[STN]],SE_3[STN],SE_3[IdeaEligibility],"w/o disability",0)</f>
        <v>1</v>
      </c>
      <c r="F94" t="str">
        <f>_xlfn.XLOOKUP(PE_3[[#This Row],[STN]],SE_3[STN],SE_3[Ethnicity],"",0)</f>
        <v>White</v>
      </c>
    </row>
    <row r="95" spans="1:6" ht="14.45">
      <c r="A95" s="1">
        <v>809118099</v>
      </c>
      <c r="B95" s="6">
        <v>38939</v>
      </c>
      <c r="C95" s="19">
        <v>16.310033821871475</v>
      </c>
      <c r="D95" s="3"/>
      <c r="E95" t="b">
        <f>_xlfn.XLOOKUP(PE_3[[#This Row],[STN]],SE_3[STN],SE_3[IdeaEligibility],"w/o disability",0)</f>
        <v>1</v>
      </c>
      <c r="F95" t="str">
        <f>_xlfn.XLOOKUP(PE_3[[#This Row],[STN]],SE_3[STN],SE_3[Ethnicity],"",0)</f>
        <v>White</v>
      </c>
    </row>
    <row r="96" spans="1:6" ht="14.45">
      <c r="A96" s="1">
        <v>535415073</v>
      </c>
      <c r="B96" s="6">
        <v>38462</v>
      </c>
      <c r="C96" s="19">
        <v>17.616671737146333</v>
      </c>
      <c r="D96" s="3"/>
      <c r="E96" t="b">
        <f>_xlfn.XLOOKUP(PE_3[[#This Row],[STN]],SE_3[STN],SE_3[IdeaEligibility],"w/o disability",0)</f>
        <v>1</v>
      </c>
      <c r="F96" t="str">
        <f>_xlfn.XLOOKUP(PE_3[[#This Row],[STN]],SE_3[STN],SE_3[Ethnicity],"",0)</f>
        <v>White</v>
      </c>
    </row>
    <row r="97" spans="1:6" ht="14.45">
      <c r="A97" s="1">
        <v>535416021</v>
      </c>
      <c r="B97" s="6">
        <v>40817</v>
      </c>
      <c r="C97" s="19">
        <v>11.167693360711841</v>
      </c>
      <c r="D97" s="3"/>
      <c r="E97" t="b">
        <f>_xlfn.XLOOKUP(PE_3[[#This Row],[STN]],SE_3[STN],SE_3[IdeaEligibility],"w/o disability",0)</f>
        <v>1</v>
      </c>
      <c r="F97" t="str">
        <f>_xlfn.XLOOKUP(PE_3[[#This Row],[STN]],SE_3[STN],SE_3[Ethnicity],"",0)</f>
        <v>White</v>
      </c>
    </row>
    <row r="98" spans="1:6" ht="14.45">
      <c r="A98" s="1">
        <v>535416021</v>
      </c>
      <c r="B98" s="6">
        <v>39549</v>
      </c>
      <c r="C98" s="19">
        <v>14.63862018616536</v>
      </c>
      <c r="D98" s="3"/>
      <c r="E98" t="b">
        <f>_xlfn.XLOOKUP(PE_3[[#This Row],[STN]],SE_3[STN],SE_3[IdeaEligibility],"w/o disability",0)</f>
        <v>1</v>
      </c>
      <c r="F98" t="str">
        <f>_xlfn.XLOOKUP(PE_3[[#This Row],[STN]],SE_3[STN],SE_3[Ethnicity],"",0)</f>
        <v>White</v>
      </c>
    </row>
    <row r="99" spans="1:6" ht="14.45">
      <c r="A99" s="1">
        <v>919609006</v>
      </c>
      <c r="B99" s="6">
        <v>39669</v>
      </c>
      <c r="C99" s="19">
        <v>14.310093082679321</v>
      </c>
      <c r="D99" s="3"/>
      <c r="E99" t="b">
        <f>_xlfn.XLOOKUP(PE_3[[#This Row],[STN]],SE_3[STN],SE_3[IdeaEligibility],"w/o disability",0)</f>
        <v>1</v>
      </c>
      <c r="F99" t="str">
        <f>_xlfn.XLOOKUP(PE_3[[#This Row],[STN]],SE_3[STN],SE_3[Ethnicity],"",0)</f>
        <v>White</v>
      </c>
    </row>
    <row r="100" spans="1:6" ht="14.45">
      <c r="A100" s="1">
        <v>919609006</v>
      </c>
      <c r="B100" s="6">
        <v>39645</v>
      </c>
      <c r="C100" s="19">
        <v>14.375798503376529</v>
      </c>
      <c r="D100" s="3"/>
      <c r="E100" t="b">
        <f>_xlfn.XLOOKUP(PE_3[[#This Row],[STN]],SE_3[STN],SE_3[IdeaEligibility],"w/o disability",0)</f>
        <v>1</v>
      </c>
      <c r="F100" t="str">
        <f>_xlfn.XLOOKUP(PE_3[[#This Row],[STN]],SE_3[STN],SE_3[Ethnicity],"",0)</f>
        <v>White</v>
      </c>
    </row>
    <row r="101" spans="1:6" ht="14.45">
      <c r="A101" s="1">
        <v>919609006</v>
      </c>
      <c r="B101" s="6">
        <v>41717</v>
      </c>
      <c r="C101" s="19">
        <v>8.7042896257985998</v>
      </c>
      <c r="D101" s="3"/>
      <c r="E101" t="b">
        <f>_xlfn.XLOOKUP(PE_3[[#This Row],[STN]],SE_3[STN],SE_3[IdeaEligibility],"w/o disability",0)</f>
        <v>1</v>
      </c>
      <c r="F101" t="str">
        <f>_xlfn.XLOOKUP(PE_3[[#This Row],[STN]],SE_3[STN],SE_3[Ethnicity],"",0)</f>
        <v>White</v>
      </c>
    </row>
    <row r="102" spans="1:6" ht="14.45">
      <c r="A102" s="1">
        <v>535716082</v>
      </c>
      <c r="B102" s="6">
        <v>41600</v>
      </c>
      <c r="C102" s="19">
        <v>9.0251916757940851</v>
      </c>
      <c r="D102" s="3"/>
      <c r="E102" t="b">
        <f>_xlfn.XLOOKUP(PE_3[[#This Row],[STN]],SE_3[STN],SE_3[IdeaEligibility],"w/o disability",0)</f>
        <v>1</v>
      </c>
      <c r="F102" t="str">
        <f>_xlfn.XLOOKUP(PE_3[[#This Row],[STN]],SE_3[STN],SE_3[Ethnicity],"",0)</f>
        <v>White</v>
      </c>
    </row>
    <row r="103" spans="1:6" ht="14.45">
      <c r="A103" s="1">
        <v>342312206</v>
      </c>
      <c r="B103" s="6">
        <v>40654</v>
      </c>
      <c r="C103" s="19">
        <v>11.613963039014374</v>
      </c>
      <c r="D103" s="3"/>
      <c r="E103" t="b">
        <f>_xlfn.XLOOKUP(PE_3[[#This Row],[STN]],SE_3[STN],SE_3[IdeaEligibility],"w/o disability",0)</f>
        <v>1</v>
      </c>
      <c r="F103" t="str">
        <f>_xlfn.XLOOKUP(PE_3[[#This Row],[STN]],SE_3[STN],SE_3[Ethnicity],"",0)</f>
        <v>White</v>
      </c>
    </row>
    <row r="104" spans="1:6" ht="14.45">
      <c r="A104" s="1">
        <v>535807899</v>
      </c>
      <c r="B104" s="6">
        <v>42284</v>
      </c>
      <c r="C104" s="19">
        <v>7.1512662559890483</v>
      </c>
      <c r="D104" s="3"/>
      <c r="E104" t="b">
        <f>_xlfn.XLOOKUP(PE_3[[#This Row],[STN]],SE_3[STN],SE_3[IdeaEligibility],"w/o disability",0)</f>
        <v>1</v>
      </c>
      <c r="F104" t="str">
        <f>_xlfn.XLOOKUP(PE_3[[#This Row],[STN]],SE_3[STN],SE_3[Ethnicity],"",0)</f>
        <v>Black - African American</v>
      </c>
    </row>
    <row r="105" spans="1:6" ht="14.45">
      <c r="A105" s="1">
        <v>535807899</v>
      </c>
      <c r="B105" s="6">
        <v>41089</v>
      </c>
      <c r="C105" s="19">
        <v>10.422349427575909</v>
      </c>
      <c r="D105" s="3"/>
      <c r="E105" t="b">
        <f>_xlfn.XLOOKUP(PE_3[[#This Row],[STN]],SE_3[STN],SE_3[IdeaEligibility],"w/o disability",0)</f>
        <v>1</v>
      </c>
      <c r="F105" t="str">
        <f>_xlfn.XLOOKUP(PE_3[[#This Row],[STN]],SE_3[STN],SE_3[Ethnicity],"",0)</f>
        <v>Black - African American</v>
      </c>
    </row>
    <row r="106" spans="1:6" ht="14.45">
      <c r="A106" s="1">
        <v>536912979</v>
      </c>
      <c r="B106" s="6">
        <v>38793</v>
      </c>
      <c r="C106" s="19">
        <v>16.709776131422128</v>
      </c>
      <c r="D106" s="3"/>
      <c r="E106" t="b">
        <f>_xlfn.XLOOKUP(PE_3[[#This Row],[STN]],SE_3[STN],SE_3[IdeaEligibility],"w/o disability",0)</f>
        <v>1</v>
      </c>
      <c r="F106" t="str">
        <f>_xlfn.XLOOKUP(PE_3[[#This Row],[STN]],SE_3[STN],SE_3[Ethnicity],"",0)</f>
        <v>White</v>
      </c>
    </row>
    <row r="107" spans="1:6" ht="14.45">
      <c r="A107" s="1">
        <v>537012061</v>
      </c>
      <c r="B107" s="6">
        <v>38662</v>
      </c>
      <c r="C107" s="19">
        <v>17.069059933069667</v>
      </c>
      <c r="D107" s="3"/>
      <c r="E107" t="b">
        <f>_xlfn.XLOOKUP(PE_3[[#This Row],[STN]],SE_3[STN],SE_3[IdeaEligibility],"w/o disability",0)</f>
        <v>1</v>
      </c>
      <c r="F107" t="str">
        <f>_xlfn.XLOOKUP(PE_3[[#This Row],[STN]],SE_3[STN],SE_3[Ethnicity],"",0)</f>
        <v>Black - African American</v>
      </c>
    </row>
    <row r="108" spans="1:6" ht="14.45">
      <c r="A108" s="1">
        <v>537012061</v>
      </c>
      <c r="B108" s="6">
        <v>40925</v>
      </c>
      <c r="C108" s="19">
        <v>10.871329019412643</v>
      </c>
      <c r="D108" s="3"/>
      <c r="E108" t="b">
        <f>_xlfn.XLOOKUP(PE_3[[#This Row],[STN]],SE_3[STN],SE_3[IdeaEligibility],"w/o disability",0)</f>
        <v>1</v>
      </c>
      <c r="F108" t="str">
        <f>_xlfn.XLOOKUP(PE_3[[#This Row],[STN]],SE_3[STN],SE_3[Ethnicity],"",0)</f>
        <v>Black - African American</v>
      </c>
    </row>
    <row r="109" spans="1:6" ht="14.45">
      <c r="A109" s="1">
        <v>536914037</v>
      </c>
      <c r="B109" s="6">
        <v>42065</v>
      </c>
      <c r="C109" s="19">
        <v>7.7508555783709792</v>
      </c>
      <c r="D109" s="3"/>
      <c r="E109" t="b">
        <f>_xlfn.XLOOKUP(PE_3[[#This Row],[STN]],SE_3[STN],SE_3[IdeaEligibility],"w/o disability",0)</f>
        <v>1</v>
      </c>
      <c r="F109" t="str">
        <f>_xlfn.XLOOKUP(PE_3[[#This Row],[STN]],SE_3[STN],SE_3[Ethnicity],"",0)</f>
        <v>White</v>
      </c>
    </row>
    <row r="110" spans="1:6" ht="14.45">
      <c r="A110" s="1">
        <v>953221023</v>
      </c>
      <c r="B110" s="6">
        <v>39396</v>
      </c>
      <c r="C110" s="19">
        <v>15.058179329226558</v>
      </c>
      <c r="D110" s="3"/>
      <c r="E110" t="b">
        <f>_xlfn.XLOOKUP(PE_3[[#This Row],[STN]],SE_3[STN],SE_3[IdeaEligibility],"w/o disability",0)</f>
        <v>1</v>
      </c>
      <c r="F110" t="str">
        <f>_xlfn.XLOOKUP(PE_3[[#This Row],[STN]],SE_3[STN],SE_3[Ethnicity],"",0)</f>
        <v>Hispanic Ethnicity and of any race</v>
      </c>
    </row>
    <row r="111" spans="1:6" ht="14.45">
      <c r="A111" s="1">
        <v>342314001</v>
      </c>
      <c r="B111" s="6">
        <v>42240</v>
      </c>
      <c r="C111" s="19">
        <v>7.2717316906228611</v>
      </c>
      <c r="D111" s="3"/>
      <c r="E111" t="b">
        <f>_xlfn.XLOOKUP(PE_3[[#This Row],[STN]],SE_3[STN],SE_3[IdeaEligibility],"w/o disability",0)</f>
        <v>1</v>
      </c>
      <c r="F111" t="str">
        <f>_xlfn.XLOOKUP(PE_3[[#This Row],[STN]],SE_3[STN],SE_3[Ethnicity],"",0)</f>
        <v>White</v>
      </c>
    </row>
    <row r="112" spans="1:6" ht="14.45">
      <c r="A112" s="1">
        <v>342314001</v>
      </c>
      <c r="B112" s="6">
        <v>39433</v>
      </c>
      <c r="C112" s="19">
        <v>14.956878850102669</v>
      </c>
      <c r="D112" s="3"/>
      <c r="E112" t="b">
        <f>_xlfn.XLOOKUP(PE_3[[#This Row],[STN]],SE_3[STN],SE_3[IdeaEligibility],"w/o disability",0)</f>
        <v>1</v>
      </c>
      <c r="F112" t="str">
        <f>_xlfn.XLOOKUP(PE_3[[#This Row],[STN]],SE_3[STN],SE_3[Ethnicity],"",0)</f>
        <v>White</v>
      </c>
    </row>
    <row r="113" spans="1:6" ht="14.45">
      <c r="A113" s="1">
        <v>536317088</v>
      </c>
      <c r="B113" s="6">
        <v>38397</v>
      </c>
      <c r="C113" s="19">
        <v>17.79464557347125</v>
      </c>
      <c r="D113" s="3"/>
      <c r="E113" t="b">
        <f>_xlfn.XLOOKUP(PE_3[[#This Row],[STN]],SE_3[STN],SE_3[IdeaEligibility],"w/o disability",0)</f>
        <v>1</v>
      </c>
      <c r="F113" t="str">
        <f>_xlfn.XLOOKUP(PE_3[[#This Row],[STN]],SE_3[STN],SE_3[Ethnicity],"",0)</f>
        <v>White</v>
      </c>
    </row>
    <row r="114" spans="1:6" ht="14.45">
      <c r="A114" s="1">
        <v>810419028</v>
      </c>
      <c r="B114" s="6">
        <v>41109</v>
      </c>
      <c r="C114" s="19">
        <v>10.367595818815332</v>
      </c>
      <c r="D114" s="3"/>
      <c r="E114" t="b">
        <f>_xlfn.XLOOKUP(PE_3[[#This Row],[STN]],SE_3[STN],SE_3[IdeaEligibility],"w/o disability",0)</f>
        <v>1</v>
      </c>
      <c r="F114" t="str">
        <f>_xlfn.XLOOKUP(PE_3[[#This Row],[STN]],SE_3[STN],SE_3[Ethnicity],"",0)</f>
        <v>Black - African American</v>
      </c>
    </row>
    <row r="115" spans="1:6" ht="14.45">
      <c r="A115" s="1">
        <v>533712014</v>
      </c>
      <c r="B115" s="6">
        <v>39552</v>
      </c>
      <c r="C115" s="19">
        <v>14.630407008578208</v>
      </c>
      <c r="D115" s="3"/>
      <c r="E115" t="b">
        <f>_xlfn.XLOOKUP(PE_3[[#This Row],[STN]],SE_3[STN],SE_3[IdeaEligibility],"w/o disability",0)</f>
        <v>1</v>
      </c>
      <c r="F115" t="str">
        <f>_xlfn.XLOOKUP(PE_3[[#This Row],[STN]],SE_3[STN],SE_3[Ethnicity],"",0)</f>
        <v>White</v>
      </c>
    </row>
    <row r="116" spans="1:6" ht="14.45">
      <c r="A116" s="1">
        <v>541816048</v>
      </c>
      <c r="B116" s="6">
        <v>40450</v>
      </c>
      <c r="C116" s="19">
        <v>12.17312552653749</v>
      </c>
      <c r="D116" s="3"/>
      <c r="E116" t="b">
        <f>_xlfn.XLOOKUP(PE_3[[#This Row],[STN]],SE_3[STN],SE_3[IdeaEligibility],"w/o disability",0)</f>
        <v>1</v>
      </c>
      <c r="F116" t="str">
        <f>_xlfn.XLOOKUP(PE_3[[#This Row],[STN]],SE_3[STN],SE_3[Ethnicity],"",0)</f>
        <v>Hispanic Ethnicity and of any race</v>
      </c>
    </row>
    <row r="117" spans="1:6" ht="14.45">
      <c r="A117" s="1">
        <v>541818107</v>
      </c>
      <c r="B117" s="6">
        <v>40340</v>
      </c>
      <c r="C117" s="19">
        <v>12.4743049705139</v>
      </c>
      <c r="D117" s="3"/>
      <c r="E117" t="b">
        <f>_xlfn.XLOOKUP(PE_3[[#This Row],[STN]],SE_3[STN],SE_3[IdeaEligibility],"w/o disability",0)</f>
        <v>1</v>
      </c>
      <c r="F117" t="str">
        <f>_xlfn.XLOOKUP(PE_3[[#This Row],[STN]],SE_3[STN],SE_3[Ethnicity],"",0)</f>
        <v>White</v>
      </c>
    </row>
    <row r="118" spans="1:6" ht="14.45">
      <c r="A118" s="1">
        <v>541818107</v>
      </c>
      <c r="B118" s="6">
        <v>38377</v>
      </c>
      <c r="C118" s="19">
        <v>17.849406753878917</v>
      </c>
      <c r="D118" s="3"/>
      <c r="E118" t="b">
        <f>_xlfn.XLOOKUP(PE_3[[#This Row],[STN]],SE_3[STN],SE_3[IdeaEligibility],"w/o disability",0)</f>
        <v>1</v>
      </c>
      <c r="F118" t="str">
        <f>_xlfn.XLOOKUP(PE_3[[#This Row],[STN]],SE_3[STN],SE_3[Ethnicity],"",0)</f>
        <v>White</v>
      </c>
    </row>
    <row r="119" spans="1:6" ht="14.45">
      <c r="A119" s="1">
        <v>542719001</v>
      </c>
      <c r="B119" s="6">
        <v>40162</v>
      </c>
      <c r="C119" s="19">
        <v>12.962253080383336</v>
      </c>
      <c r="D119" s="3"/>
      <c r="E119" t="b">
        <f>_xlfn.XLOOKUP(PE_3[[#This Row],[STN]],SE_3[STN],SE_3[IdeaEligibility],"w/o disability",0)</f>
        <v>1</v>
      </c>
      <c r="F119" t="str">
        <f>_xlfn.XLOOKUP(PE_3[[#This Row],[STN]],SE_3[STN],SE_3[Ethnicity],"",0)</f>
        <v>White</v>
      </c>
    </row>
    <row r="120" spans="1:6" ht="14.45">
      <c r="A120" s="1">
        <v>543015043</v>
      </c>
      <c r="B120" s="6">
        <v>41294</v>
      </c>
      <c r="C120" s="19">
        <v>9.8630887185104061</v>
      </c>
      <c r="D120" s="3"/>
      <c r="E120" t="b">
        <f>_xlfn.XLOOKUP(PE_3[[#This Row],[STN]],SE_3[STN],SE_3[IdeaEligibility],"w/o disability",0)</f>
        <v>1</v>
      </c>
      <c r="F120" t="str">
        <f>_xlfn.XLOOKUP(PE_3[[#This Row],[STN]],SE_3[STN],SE_3[Ethnicity],"",0)</f>
        <v>Hispanic Ethnicity and of any race</v>
      </c>
    </row>
    <row r="121" spans="1:6" ht="14.45">
      <c r="A121" s="1">
        <v>537017031</v>
      </c>
      <c r="B121" s="6">
        <v>39535</v>
      </c>
      <c r="C121" s="19">
        <v>14.67694834823873</v>
      </c>
      <c r="D121" s="3"/>
      <c r="E121" t="b">
        <f>_xlfn.XLOOKUP(PE_3[[#This Row],[STN]],SE_3[STN],SE_3[IdeaEligibility],"w/o disability",0)</f>
        <v>1</v>
      </c>
      <c r="F121" t="str">
        <f>_xlfn.XLOOKUP(PE_3[[#This Row],[STN]],SE_3[STN],SE_3[Ethnicity],"",0)</f>
        <v>White</v>
      </c>
    </row>
    <row r="122" spans="1:6" ht="14.45">
      <c r="A122" s="1">
        <v>537109065</v>
      </c>
      <c r="B122" s="6">
        <v>41605</v>
      </c>
      <c r="C122" s="19">
        <v>9.0115005476451255</v>
      </c>
      <c r="D122" s="3"/>
      <c r="E122" t="b">
        <f>_xlfn.XLOOKUP(PE_3[[#This Row],[STN]],SE_3[STN],SE_3[IdeaEligibility],"w/o disability",0)</f>
        <v>1</v>
      </c>
      <c r="F122" t="str">
        <f>_xlfn.XLOOKUP(PE_3[[#This Row],[STN]],SE_3[STN],SE_3[Ethnicity],"",0)</f>
        <v>Hispanic Ethnicity and of any race</v>
      </c>
    </row>
    <row r="123" spans="1:6" ht="14.45">
      <c r="A123" s="1">
        <v>537316039</v>
      </c>
      <c r="B123" s="9">
        <v>40677</v>
      </c>
      <c r="C123" s="19">
        <v>11.550992470910336</v>
      </c>
      <c r="D123" s="3"/>
      <c r="E123" t="b">
        <f>_xlfn.XLOOKUP(PE_3[[#This Row],[STN]],SE_3[STN],SE_3[IdeaEligibility],"w/o disability",0)</f>
        <v>1</v>
      </c>
      <c r="F123" t="str">
        <f>_xlfn.XLOOKUP(PE_3[[#This Row],[STN]],SE_3[STN],SE_3[Ethnicity],"",0)</f>
        <v>Multiracial (two or more races)</v>
      </c>
    </row>
    <row r="124" spans="1:6" ht="14.45">
      <c r="A124" s="1">
        <v>537316039</v>
      </c>
      <c r="B124" s="6">
        <v>42817</v>
      </c>
      <c r="C124" s="19">
        <v>5.6932907348242807</v>
      </c>
      <c r="D124" s="3"/>
      <c r="E124" t="b">
        <f>_xlfn.XLOOKUP(PE_3[[#This Row],[STN]],SE_3[STN],SE_3[IdeaEligibility],"w/o disability",0)</f>
        <v>1</v>
      </c>
      <c r="F124" t="str">
        <f>_xlfn.XLOOKUP(PE_3[[#This Row],[STN]],SE_3[STN],SE_3[Ethnicity],"",0)</f>
        <v>Multiracial (two or more races)</v>
      </c>
    </row>
    <row r="125" spans="1:6" ht="14.45">
      <c r="A125" s="1">
        <v>536317133</v>
      </c>
      <c r="B125" s="6">
        <v>38091</v>
      </c>
      <c r="C125" s="19">
        <v>18.630403458213259</v>
      </c>
      <c r="D125" s="3"/>
      <c r="E125" t="b">
        <f>_xlfn.XLOOKUP(PE_3[[#This Row],[STN]],SE_3[STN],SE_3[IdeaEligibility],"w/o disability",0)</f>
        <v>1</v>
      </c>
      <c r="F125" t="str">
        <f>_xlfn.XLOOKUP(PE_3[[#This Row],[STN]],SE_3[STN],SE_3[Ethnicity],"",0)</f>
        <v>White</v>
      </c>
    </row>
    <row r="126" spans="1:6" ht="14.45">
      <c r="A126" s="1">
        <v>536317133</v>
      </c>
      <c r="B126" s="6">
        <v>40894</v>
      </c>
      <c r="C126" s="19">
        <v>10.956878850102669</v>
      </c>
      <c r="D126" s="3"/>
      <c r="E126" t="b">
        <f>_xlfn.XLOOKUP(PE_3[[#This Row],[STN]],SE_3[STN],SE_3[IdeaEligibility],"w/o disability",0)</f>
        <v>1</v>
      </c>
      <c r="F126" t="str">
        <f>_xlfn.XLOOKUP(PE_3[[#This Row],[STN]],SE_3[STN],SE_3[Ethnicity],"",0)</f>
        <v>White</v>
      </c>
    </row>
    <row r="127" spans="1:6" ht="14.45">
      <c r="A127" s="1">
        <v>536317133</v>
      </c>
      <c r="B127" s="6">
        <v>40127</v>
      </c>
      <c r="C127" s="19">
        <v>13.058087228632896</v>
      </c>
      <c r="D127" s="3"/>
      <c r="E127" t="b">
        <f>_xlfn.XLOOKUP(PE_3[[#This Row],[STN]],SE_3[STN],SE_3[IdeaEligibility],"w/o disability",0)</f>
        <v>1</v>
      </c>
      <c r="F127" t="str">
        <f>_xlfn.XLOOKUP(PE_3[[#This Row],[STN]],SE_3[STN],SE_3[Ethnicity],"",0)</f>
        <v>White</v>
      </c>
    </row>
    <row r="128" spans="1:6" ht="14.45">
      <c r="A128" s="1">
        <v>536317133</v>
      </c>
      <c r="B128" s="6">
        <v>41227</v>
      </c>
      <c r="C128" s="19">
        <v>10.044549527127925</v>
      </c>
      <c r="D128" s="3"/>
      <c r="E128" t="b">
        <f>_xlfn.XLOOKUP(PE_3[[#This Row],[STN]],SE_3[STN],SE_3[IdeaEligibility],"w/o disability",0)</f>
        <v>1</v>
      </c>
      <c r="F128" t="str">
        <f>_xlfn.XLOOKUP(PE_3[[#This Row],[STN]],SE_3[STN],SE_3[Ethnicity],"",0)</f>
        <v>White</v>
      </c>
    </row>
    <row r="129" spans="1:6" ht="14.45">
      <c r="A129" s="1">
        <v>536317133</v>
      </c>
      <c r="B129" s="6">
        <v>39982</v>
      </c>
      <c r="C129" s="19">
        <v>13.455114414238215</v>
      </c>
      <c r="D129" s="3"/>
      <c r="E129" t="b">
        <f>_xlfn.XLOOKUP(PE_3[[#This Row],[STN]],SE_3[STN],SE_3[IdeaEligibility],"w/o disability",0)</f>
        <v>1</v>
      </c>
      <c r="F129" t="str">
        <f>_xlfn.XLOOKUP(PE_3[[#This Row],[STN]],SE_3[STN],SE_3[Ethnicity],"",0)</f>
        <v>White</v>
      </c>
    </row>
    <row r="130" spans="1:6" ht="14.45">
      <c r="A130" s="1">
        <v>536317133</v>
      </c>
      <c r="B130" s="6">
        <v>39464</v>
      </c>
      <c r="C130" s="19">
        <v>14.871326884467969</v>
      </c>
      <c r="D130" s="3"/>
      <c r="E130" t="b">
        <f>_xlfn.XLOOKUP(PE_3[[#This Row],[STN]],SE_3[STN],SE_3[IdeaEligibility],"w/o disability",0)</f>
        <v>1</v>
      </c>
      <c r="F130" t="str">
        <f>_xlfn.XLOOKUP(PE_3[[#This Row],[STN]],SE_3[STN],SE_3[Ethnicity],"",0)</f>
        <v>White</v>
      </c>
    </row>
    <row r="131" spans="1:6" ht="14.45">
      <c r="A131" s="1">
        <v>533713155</v>
      </c>
      <c r="B131" s="6">
        <v>41899</v>
      </c>
      <c r="C131" s="19">
        <v>8.2059628840888355</v>
      </c>
      <c r="D131" s="3"/>
      <c r="E131" t="b">
        <f>_xlfn.XLOOKUP(PE_3[[#This Row],[STN]],SE_3[STN],SE_3[IdeaEligibility],"w/o disability",0)</f>
        <v>1</v>
      </c>
      <c r="F131" t="str">
        <f>_xlfn.XLOOKUP(PE_3[[#This Row],[STN]],SE_3[STN],SE_3[Ethnicity],"",0)</f>
        <v>White</v>
      </c>
    </row>
    <row r="132" spans="1:6" ht="14.45">
      <c r="A132" s="1">
        <v>651010142</v>
      </c>
      <c r="B132" s="6">
        <v>39270</v>
      </c>
      <c r="C132" s="19">
        <v>15.403148528405202</v>
      </c>
      <c r="D132" s="3"/>
      <c r="E132" t="b">
        <f>_xlfn.XLOOKUP(PE_3[[#This Row],[STN]],SE_3[STN],SE_3[IdeaEligibility],"w/o disability",0)</f>
        <v>1</v>
      </c>
      <c r="F132" t="str">
        <f>_xlfn.XLOOKUP(PE_3[[#This Row],[STN]],SE_3[STN],SE_3[Ethnicity],"",0)</f>
        <v>White</v>
      </c>
    </row>
    <row r="133" spans="1:6" ht="14.45">
      <c r="A133" s="1">
        <v>809121052</v>
      </c>
      <c r="B133" s="6">
        <v>40793</v>
      </c>
      <c r="C133" s="19">
        <v>11.233401779603012</v>
      </c>
      <c r="D133" s="3"/>
      <c r="E133" t="b">
        <f>_xlfn.XLOOKUP(PE_3[[#This Row],[STN]],SE_3[STN],SE_3[IdeaEligibility],"w/o disability",0)</f>
        <v>1</v>
      </c>
      <c r="F133" t="str">
        <f>_xlfn.XLOOKUP(PE_3[[#This Row],[STN]],SE_3[STN],SE_3[Ethnicity],"",0)</f>
        <v>White</v>
      </c>
    </row>
    <row r="134" spans="1:6" ht="14.45">
      <c r="A134" s="1">
        <v>809121052</v>
      </c>
      <c r="B134" s="6">
        <v>41370</v>
      </c>
      <c r="C134" s="19">
        <v>9.6549835706462215</v>
      </c>
      <c r="D134" s="3"/>
      <c r="E134" t="b">
        <f>_xlfn.XLOOKUP(PE_3[[#This Row],[STN]],SE_3[STN],SE_3[IdeaEligibility],"w/o disability",0)</f>
        <v>1</v>
      </c>
      <c r="F134" t="str">
        <f>_xlfn.XLOOKUP(PE_3[[#This Row],[STN]],SE_3[STN],SE_3[Ethnicity],"",0)</f>
        <v>White</v>
      </c>
    </row>
    <row r="135" spans="1:6" ht="14.45">
      <c r="A135" s="1">
        <v>810318925</v>
      </c>
      <c r="B135" s="6">
        <v>42783</v>
      </c>
      <c r="C135" s="19">
        <v>5.7863989046097668</v>
      </c>
      <c r="D135" s="3"/>
      <c r="E135" t="b">
        <f>_xlfn.XLOOKUP(PE_3[[#This Row],[STN]],SE_3[STN],SE_3[IdeaEligibility],"w/o disability",0)</f>
        <v>1</v>
      </c>
      <c r="F135" t="str">
        <f>_xlfn.XLOOKUP(PE_3[[#This Row],[STN]],SE_3[STN],SE_3[Ethnicity],"",0)</f>
        <v>Asian</v>
      </c>
    </row>
    <row r="136" spans="1:6" ht="14.45">
      <c r="A136" s="1">
        <v>810318925</v>
      </c>
      <c r="B136" s="6">
        <v>42703</v>
      </c>
      <c r="C136" s="19">
        <v>6.0035197497066877</v>
      </c>
      <c r="D136" s="3"/>
      <c r="E136" t="b">
        <f>_xlfn.XLOOKUP(PE_3[[#This Row],[STN]],SE_3[STN],SE_3[IdeaEligibility],"w/o disability",0)</f>
        <v>1</v>
      </c>
      <c r="F136" t="str">
        <f>_xlfn.XLOOKUP(PE_3[[#This Row],[STN]],SE_3[STN],SE_3[Ethnicity],"",0)</f>
        <v>Asian</v>
      </c>
    </row>
    <row r="137" spans="1:6" ht="14.45">
      <c r="A137" s="1">
        <v>810321088</v>
      </c>
      <c r="B137" s="6">
        <v>42465</v>
      </c>
      <c r="C137" s="19">
        <v>6.6550645287446226</v>
      </c>
      <c r="D137" s="3"/>
      <c r="E137" t="b">
        <f>_xlfn.XLOOKUP(PE_3[[#This Row],[STN]],SE_3[STN],SE_3[IdeaEligibility],"w/o disability",0)</f>
        <v>1</v>
      </c>
      <c r="F137" t="str">
        <f>_xlfn.XLOOKUP(PE_3[[#This Row],[STN]],SE_3[STN],SE_3[Ethnicity],"",0)</f>
        <v>White</v>
      </c>
    </row>
    <row r="138" spans="1:6" ht="14.45">
      <c r="A138" s="1">
        <v>533712014</v>
      </c>
      <c r="B138" s="6">
        <v>39825</v>
      </c>
      <c r="C138" s="19">
        <v>13.884999022100528</v>
      </c>
      <c r="D138" s="3"/>
      <c r="E138" t="b">
        <f>_xlfn.XLOOKUP(PE_3[[#This Row],[STN]],SE_3[STN],SE_3[IdeaEligibility],"w/o disability",0)</f>
        <v>1</v>
      </c>
      <c r="F138" t="str">
        <f>_xlfn.XLOOKUP(PE_3[[#This Row],[STN]],SE_3[STN],SE_3[Ethnicity],"",0)</f>
        <v>White</v>
      </c>
    </row>
    <row r="139" spans="1:6" ht="14.45">
      <c r="A139" s="1">
        <v>533712014</v>
      </c>
      <c r="B139" s="6">
        <v>42752</v>
      </c>
      <c r="C139" s="19">
        <v>5.8712916476494748</v>
      </c>
      <c r="D139" s="3"/>
      <c r="E139" t="b">
        <f>_xlfn.XLOOKUP(PE_3[[#This Row],[STN]],SE_3[STN],SE_3[IdeaEligibility],"w/o disability",0)</f>
        <v>1</v>
      </c>
      <c r="F139" t="str">
        <f>_xlfn.XLOOKUP(PE_3[[#This Row],[STN]],SE_3[STN],SE_3[Ethnicity],"",0)</f>
        <v>White</v>
      </c>
    </row>
    <row r="140" spans="1:6" ht="14.45">
      <c r="A140" s="1">
        <v>657708109</v>
      </c>
      <c r="B140" s="6">
        <v>38997</v>
      </c>
      <c r="C140" s="19">
        <v>16.151232082460943</v>
      </c>
      <c r="D140" s="3"/>
      <c r="E140" t="b">
        <f>_xlfn.XLOOKUP(PE_3[[#This Row],[STN]],SE_3[STN],SE_3[IdeaEligibility],"w/o disability",0)</f>
        <v>1</v>
      </c>
      <c r="F140" t="str">
        <f>_xlfn.XLOOKUP(PE_3[[#This Row],[STN]],SE_3[STN],SE_3[Ethnicity],"",0)</f>
        <v>Hispanic Ethnicity and of any race</v>
      </c>
    </row>
    <row r="141" spans="1:6" ht="14.45">
      <c r="A141" s="1">
        <v>657711202</v>
      </c>
      <c r="B141" s="6">
        <v>41260</v>
      </c>
      <c r="C141" s="19">
        <v>9.9542060726729726</v>
      </c>
      <c r="D141" s="3"/>
      <c r="E141" t="b">
        <f>_xlfn.XLOOKUP(PE_3[[#This Row],[STN]],SE_3[STN],SE_3[IdeaEligibility],"w/o disability",0)</f>
        <v>1</v>
      </c>
      <c r="F141" t="str">
        <f>_xlfn.XLOOKUP(PE_3[[#This Row],[STN]],SE_3[STN],SE_3[Ethnicity],"",0)</f>
        <v>White</v>
      </c>
    </row>
    <row r="142" spans="1:6" ht="14.45">
      <c r="A142" s="1">
        <v>657711202</v>
      </c>
      <c r="B142" s="6">
        <v>41983</v>
      </c>
      <c r="C142" s="19">
        <v>7.9759659263766354</v>
      </c>
      <c r="D142" s="3"/>
      <c r="E142" t="b">
        <f>_xlfn.XLOOKUP(PE_3[[#This Row],[STN]],SE_3[STN],SE_3[IdeaEligibility],"w/o disability",0)</f>
        <v>1</v>
      </c>
      <c r="F142" t="str">
        <f>_xlfn.XLOOKUP(PE_3[[#This Row],[STN]],SE_3[STN],SE_3[Ethnicity],"",0)</f>
        <v>White</v>
      </c>
    </row>
    <row r="143" spans="1:6" ht="14.45">
      <c r="A143" s="1">
        <v>657711202</v>
      </c>
      <c r="B143" s="9">
        <v>41761</v>
      </c>
      <c r="C143" s="19">
        <v>8.5838150289017339</v>
      </c>
      <c r="D143" s="3"/>
      <c r="E143" t="b">
        <f>_xlfn.XLOOKUP(PE_3[[#This Row],[STN]],SE_3[STN],SE_3[IdeaEligibility],"w/o disability",0)</f>
        <v>1</v>
      </c>
      <c r="F143" t="str">
        <f>_xlfn.XLOOKUP(PE_3[[#This Row],[STN]],SE_3[STN],SE_3[Ethnicity],"",0)</f>
        <v>White</v>
      </c>
    </row>
    <row r="144" spans="1:6" ht="14.45">
      <c r="A144" s="1">
        <v>657711202</v>
      </c>
      <c r="B144" s="6">
        <v>38683</v>
      </c>
      <c r="C144" s="19">
        <v>17.01156069364162</v>
      </c>
      <c r="D144" s="3"/>
      <c r="E144" t="b">
        <f>_xlfn.XLOOKUP(PE_3[[#This Row],[STN]],SE_3[STN],SE_3[IdeaEligibility],"w/o disability",0)</f>
        <v>1</v>
      </c>
      <c r="F144" t="str">
        <f>_xlfn.XLOOKUP(PE_3[[#This Row],[STN]],SE_3[STN],SE_3[Ethnicity],"",0)</f>
        <v>White</v>
      </c>
    </row>
    <row r="145" spans="1:6" ht="14.45">
      <c r="A145" s="1">
        <v>658710016</v>
      </c>
      <c r="B145" s="6">
        <v>41795</v>
      </c>
      <c r="C145" s="19">
        <v>8.4907210222087013</v>
      </c>
      <c r="D145" s="3"/>
      <c r="E145" t="b">
        <f>_xlfn.XLOOKUP(PE_3[[#This Row],[STN]],SE_3[STN],SE_3[IdeaEligibility],"w/o disability",0)</f>
        <v>1</v>
      </c>
      <c r="F145" t="str">
        <f>_xlfn.XLOOKUP(PE_3[[#This Row],[STN]],SE_3[STN],SE_3[Ethnicity],"",0)</f>
        <v>White</v>
      </c>
    </row>
    <row r="146" spans="1:6" ht="14.45">
      <c r="A146" s="1">
        <v>534712128</v>
      </c>
      <c r="B146" s="6">
        <v>40910</v>
      </c>
      <c r="C146" s="19">
        <v>10.912394225983077</v>
      </c>
      <c r="D146" s="3"/>
      <c r="E146" t="b">
        <f>_xlfn.XLOOKUP(PE_3[[#This Row],[STN]],SE_3[STN],SE_3[IdeaEligibility],"w/o disability",0)</f>
        <v>1</v>
      </c>
      <c r="F146" t="str">
        <f>_xlfn.XLOOKUP(PE_3[[#This Row],[STN]],SE_3[STN],SE_3[Ethnicity],"",0)</f>
        <v>White</v>
      </c>
    </row>
    <row r="147" spans="1:6" ht="14.45">
      <c r="A147" s="1">
        <v>537512073</v>
      </c>
      <c r="B147" s="6">
        <v>38957</v>
      </c>
      <c r="C147" s="19">
        <v>16.260750523433725</v>
      </c>
      <c r="D147" s="3"/>
      <c r="E147" t="b">
        <f>_xlfn.XLOOKUP(PE_3[[#This Row],[STN]],SE_3[STN],SE_3[IdeaEligibility],"w/o disability",0)</f>
        <v>1</v>
      </c>
      <c r="F147" t="str">
        <f>_xlfn.XLOOKUP(PE_3[[#This Row],[STN]],SE_3[STN],SE_3[Ethnicity],"",0)</f>
        <v>Multiracial (two or more races)</v>
      </c>
    </row>
    <row r="148" spans="1:6" ht="14.45">
      <c r="A148" s="1">
        <v>810411045</v>
      </c>
      <c r="B148" s="6">
        <v>41538</v>
      </c>
      <c r="C148" s="19">
        <v>9.194961664841184</v>
      </c>
      <c r="D148" s="3"/>
      <c r="E148" t="b">
        <f>_xlfn.XLOOKUP(PE_3[[#This Row],[STN]],SE_3[STN],SE_3[IdeaEligibility],"w/o disability",0)</f>
        <v>1</v>
      </c>
      <c r="F148" t="str">
        <f>_xlfn.XLOOKUP(PE_3[[#This Row],[STN]],SE_3[STN],SE_3[Ethnicity],"",0)</f>
        <v>White</v>
      </c>
    </row>
    <row r="149" spans="1:6" ht="14.45">
      <c r="A149" s="1">
        <v>810411901</v>
      </c>
      <c r="B149" s="6">
        <v>42410</v>
      </c>
      <c r="C149" s="19">
        <v>6.8056315995307006</v>
      </c>
      <c r="D149" s="3"/>
      <c r="E149" t="b">
        <f>_xlfn.XLOOKUP(PE_3[[#This Row],[STN]],SE_3[STN],SE_3[IdeaEligibility],"w/o disability",0)</f>
        <v>1</v>
      </c>
      <c r="F149" t="str">
        <f>_xlfn.XLOOKUP(PE_3[[#This Row],[STN]],SE_3[STN],SE_3[Ethnicity],"",0)</f>
        <v>White</v>
      </c>
    </row>
    <row r="150" spans="1:6" ht="14.45">
      <c r="A150" s="1">
        <v>810412009</v>
      </c>
      <c r="B150" s="6">
        <v>41915</v>
      </c>
      <c r="C150" s="19">
        <v>8.1621539397627014</v>
      </c>
      <c r="D150" s="3"/>
      <c r="E150" t="b">
        <f>_xlfn.XLOOKUP(PE_3[[#This Row],[STN]],SE_3[STN],SE_3[IdeaEligibility],"w/o disability",0)</f>
        <v>1</v>
      </c>
      <c r="F150" t="str">
        <f>_xlfn.XLOOKUP(PE_3[[#This Row],[STN]],SE_3[STN],SE_3[Ethnicity],"",0)</f>
        <v>White</v>
      </c>
    </row>
    <row r="151" spans="1:6" ht="14.45">
      <c r="A151" s="1">
        <v>810412039</v>
      </c>
      <c r="B151" s="6">
        <v>39248</v>
      </c>
      <c r="C151" s="19">
        <v>15.463381245722108</v>
      </c>
      <c r="D151" s="3"/>
      <c r="E151" t="b">
        <f>_xlfn.XLOOKUP(PE_3[[#This Row],[STN]],SE_3[STN],SE_3[IdeaEligibility],"w/o disability",0)</f>
        <v>1</v>
      </c>
      <c r="F151" t="str">
        <f>_xlfn.XLOOKUP(PE_3[[#This Row],[STN]],SE_3[STN],SE_3[Ethnicity],"",0)</f>
        <v>White</v>
      </c>
    </row>
    <row r="152" spans="1:6" ht="14.45">
      <c r="A152" s="1">
        <v>810413032</v>
      </c>
      <c r="B152" s="6">
        <v>38405</v>
      </c>
      <c r="C152" s="19">
        <v>17.772741101308185</v>
      </c>
      <c r="D152" s="3"/>
      <c r="E152" t="b">
        <f>_xlfn.XLOOKUP(PE_3[[#This Row],[STN]],SE_3[STN],SE_3[IdeaEligibility],"w/o disability",0)</f>
        <v>1</v>
      </c>
      <c r="F152" t="str">
        <f>_xlfn.XLOOKUP(PE_3[[#This Row],[STN]],SE_3[STN],SE_3[Ethnicity],"",0)</f>
        <v>White</v>
      </c>
    </row>
    <row r="153" spans="1:6" ht="14.45">
      <c r="A153" s="1">
        <v>810413032</v>
      </c>
      <c r="B153" s="6">
        <v>40525</v>
      </c>
      <c r="C153" s="19">
        <v>11.967775905644482</v>
      </c>
      <c r="D153" s="3"/>
      <c r="E153" t="b">
        <f>_xlfn.XLOOKUP(PE_3[[#This Row],[STN]],SE_3[STN],SE_3[IdeaEligibility],"w/o disability",0)</f>
        <v>1</v>
      </c>
      <c r="F153" t="str">
        <f>_xlfn.XLOOKUP(PE_3[[#This Row],[STN]],SE_3[STN],SE_3[Ethnicity],"",0)</f>
        <v>White</v>
      </c>
    </row>
    <row r="154" spans="1:6" ht="14.45">
      <c r="A154" s="1">
        <v>810413035</v>
      </c>
      <c r="B154" s="6">
        <v>39108</v>
      </c>
      <c r="C154" s="19">
        <v>15.846680355920602</v>
      </c>
      <c r="D154" s="3"/>
      <c r="E154" t="b">
        <f>_xlfn.XLOOKUP(PE_3[[#This Row],[STN]],SE_3[STN],SE_3[IdeaEligibility],"w/o disability",0)</f>
        <v>1</v>
      </c>
      <c r="F154" t="str">
        <f>_xlfn.XLOOKUP(PE_3[[#This Row],[STN]],SE_3[STN],SE_3[Ethnicity],"",0)</f>
        <v>Black - African American</v>
      </c>
    </row>
    <row r="155" spans="1:6" ht="14.45">
      <c r="A155" s="1">
        <v>810413035</v>
      </c>
      <c r="B155" s="6">
        <v>40852</v>
      </c>
      <c r="C155" s="19">
        <v>11.071868583162217</v>
      </c>
      <c r="D155" s="3"/>
      <c r="E155" t="b">
        <f>_xlfn.XLOOKUP(PE_3[[#This Row],[STN]],SE_3[STN],SE_3[IdeaEligibility],"w/o disability",0)</f>
        <v>1</v>
      </c>
      <c r="F155" t="str">
        <f>_xlfn.XLOOKUP(PE_3[[#This Row],[STN]],SE_3[STN],SE_3[Ethnicity],"",0)</f>
        <v>Black - African American</v>
      </c>
    </row>
    <row r="156" spans="1:6" ht="14.45">
      <c r="A156" s="1">
        <v>810413057</v>
      </c>
      <c r="B156" s="6">
        <v>40533</v>
      </c>
      <c r="C156" s="19">
        <v>11.945871946082562</v>
      </c>
      <c r="D156" s="3"/>
      <c r="E156" t="b">
        <f>_xlfn.XLOOKUP(PE_3[[#This Row],[STN]],SE_3[STN],SE_3[IdeaEligibility],"w/o disability",0)</f>
        <v>1</v>
      </c>
      <c r="F156" t="str">
        <f>_xlfn.XLOOKUP(PE_3[[#This Row],[STN]],SE_3[STN],SE_3[Ethnicity],"",0)</f>
        <v>White</v>
      </c>
    </row>
    <row r="157" spans="1:6" ht="14.45">
      <c r="A157" s="1">
        <v>810413057</v>
      </c>
      <c r="B157" s="6">
        <v>39968</v>
      </c>
      <c r="C157" s="19">
        <v>13.49344807353804</v>
      </c>
      <c r="D157" s="3"/>
      <c r="E157" t="b">
        <f>_xlfn.XLOOKUP(PE_3[[#This Row],[STN]],SE_3[STN],SE_3[IdeaEligibility],"w/o disability",0)</f>
        <v>1</v>
      </c>
      <c r="F157" t="str">
        <f>_xlfn.XLOOKUP(PE_3[[#This Row],[STN]],SE_3[STN],SE_3[Ethnicity],"",0)</f>
        <v>White</v>
      </c>
    </row>
    <row r="158" spans="1:6" ht="14.45">
      <c r="A158" s="1">
        <v>810413057</v>
      </c>
      <c r="B158" s="6">
        <v>39793</v>
      </c>
      <c r="C158" s="19">
        <v>13.97061507574375</v>
      </c>
      <c r="D158" s="3"/>
      <c r="E158" t="b">
        <f>_xlfn.XLOOKUP(PE_3[[#This Row],[STN]],SE_3[STN],SE_3[IdeaEligibility],"w/o disability",0)</f>
        <v>1</v>
      </c>
      <c r="F158" t="str">
        <f>_xlfn.XLOOKUP(PE_3[[#This Row],[STN]],SE_3[STN],SE_3[Ethnicity],"",0)</f>
        <v>White</v>
      </c>
    </row>
    <row r="159" spans="1:6" ht="14.45">
      <c r="A159" s="1">
        <v>810414142</v>
      </c>
      <c r="B159" s="6">
        <v>40530</v>
      </c>
      <c r="C159" s="19">
        <v>11.954085930918282</v>
      </c>
      <c r="D159" s="3"/>
      <c r="E159" t="b">
        <f>_xlfn.XLOOKUP(PE_3[[#This Row],[STN]],SE_3[STN],SE_3[IdeaEligibility],"w/o disability",0)</f>
        <v>1</v>
      </c>
      <c r="F159" t="str">
        <f>_xlfn.XLOOKUP(PE_3[[#This Row],[STN]],SE_3[STN],SE_3[Ethnicity],"",0)</f>
        <v>White</v>
      </c>
    </row>
    <row r="160" spans="1:6" ht="14.45">
      <c r="A160" s="1">
        <v>810414142</v>
      </c>
      <c r="B160" s="6">
        <v>40981</v>
      </c>
      <c r="C160" s="19">
        <v>10.718018914883027</v>
      </c>
      <c r="D160" s="3"/>
      <c r="E160" t="b">
        <f>_xlfn.XLOOKUP(PE_3[[#This Row],[STN]],SE_3[STN],SE_3[IdeaEligibility],"w/o disability",0)</f>
        <v>1</v>
      </c>
      <c r="F160" t="str">
        <f>_xlfn.XLOOKUP(PE_3[[#This Row],[STN]],SE_3[STN],SE_3[Ethnicity],"",0)</f>
        <v>White</v>
      </c>
    </row>
    <row r="161" spans="1:6" ht="14.45">
      <c r="A161" s="1">
        <v>810414142</v>
      </c>
      <c r="B161" s="6">
        <v>41509</v>
      </c>
      <c r="C161" s="19">
        <v>9.2743702081051484</v>
      </c>
      <c r="D161" s="3"/>
      <c r="E161" t="b">
        <f>_xlfn.XLOOKUP(PE_3[[#This Row],[STN]],SE_3[STN],SE_3[IdeaEligibility],"w/o disability",0)</f>
        <v>1</v>
      </c>
      <c r="F161" t="str">
        <f>_xlfn.XLOOKUP(PE_3[[#This Row],[STN]],SE_3[STN],SE_3[Ethnicity],"",0)</f>
        <v>White</v>
      </c>
    </row>
    <row r="162" spans="1:6" ht="14.45">
      <c r="A162" s="1">
        <v>810414142</v>
      </c>
      <c r="B162" s="6">
        <v>39498</v>
      </c>
      <c r="C162" s="19">
        <v>14.778244205146926</v>
      </c>
      <c r="D162" s="3"/>
      <c r="E162" t="b">
        <f>_xlfn.XLOOKUP(PE_3[[#This Row],[STN]],SE_3[STN],SE_3[IdeaEligibility],"w/o disability",0)</f>
        <v>1</v>
      </c>
      <c r="F162" t="str">
        <f>_xlfn.XLOOKUP(PE_3[[#This Row],[STN]],SE_3[STN],SE_3[Ethnicity],"",0)</f>
        <v>White</v>
      </c>
    </row>
    <row r="163" spans="1:6" ht="14.45">
      <c r="A163" s="1">
        <v>810414142</v>
      </c>
      <c r="B163" s="6">
        <v>42896</v>
      </c>
      <c r="C163" s="19">
        <v>5.4769511638521218</v>
      </c>
      <c r="D163" s="3"/>
      <c r="E163" t="b">
        <f>_xlfn.XLOOKUP(PE_3[[#This Row],[STN]],SE_3[STN],SE_3[IdeaEligibility],"w/o disability",0)</f>
        <v>1</v>
      </c>
      <c r="F163" t="str">
        <f>_xlfn.XLOOKUP(PE_3[[#This Row],[STN]],SE_3[STN],SE_3[Ethnicity],"",0)</f>
        <v>White</v>
      </c>
    </row>
    <row r="164" spans="1:6" ht="14.45">
      <c r="A164" s="1">
        <v>810414142</v>
      </c>
      <c r="B164" s="6">
        <v>40016</v>
      </c>
      <c r="C164" s="19">
        <v>13.362018384510073</v>
      </c>
      <c r="D164" s="3"/>
      <c r="E164" t="b">
        <f>_xlfn.XLOOKUP(PE_3[[#This Row],[STN]],SE_3[STN],SE_3[IdeaEligibility],"w/o disability",0)</f>
        <v>1</v>
      </c>
      <c r="F164" t="str">
        <f>_xlfn.XLOOKUP(PE_3[[#This Row],[STN]],SE_3[STN],SE_3[Ethnicity],"",0)</f>
        <v>White</v>
      </c>
    </row>
    <row r="165" spans="1:6" ht="14.45">
      <c r="A165" s="1">
        <v>810414150</v>
      </c>
      <c r="B165" s="6">
        <v>41796</v>
      </c>
      <c r="C165" s="19">
        <v>8.4879829631883172</v>
      </c>
      <c r="D165" s="3"/>
      <c r="E165" t="b">
        <f>_xlfn.XLOOKUP(PE_3[[#This Row],[STN]],SE_3[STN],SE_3[IdeaEligibility],"w/o disability",0)</f>
        <v>1</v>
      </c>
      <c r="F165" t="str">
        <f>_xlfn.XLOOKUP(PE_3[[#This Row],[STN]],SE_3[STN],SE_3[Ethnicity],"",0)</f>
        <v>Multiracial (two or more races)</v>
      </c>
    </row>
    <row r="166" spans="1:6" ht="14.45">
      <c r="A166" s="1">
        <v>810419090</v>
      </c>
      <c r="B166" s="6">
        <v>40472</v>
      </c>
      <c r="C166" s="19">
        <v>12.112889637742207</v>
      </c>
      <c r="D166" s="3"/>
      <c r="E166" t="b">
        <f>_xlfn.XLOOKUP(PE_3[[#This Row],[STN]],SE_3[STN],SE_3[IdeaEligibility],"w/o disability",0)</f>
        <v>1</v>
      </c>
      <c r="F166" t="str">
        <f>_xlfn.XLOOKUP(PE_3[[#This Row],[STN]],SE_3[STN],SE_3[Ethnicity],"",0)</f>
        <v>White</v>
      </c>
    </row>
    <row r="167" spans="1:6" ht="14.45">
      <c r="A167" s="1">
        <v>810419090</v>
      </c>
      <c r="B167" s="9">
        <v>42141</v>
      </c>
      <c r="C167" s="19">
        <v>7.5427789185489393</v>
      </c>
      <c r="D167" s="3"/>
      <c r="E167" t="b">
        <f>_xlfn.XLOOKUP(PE_3[[#This Row],[STN]],SE_3[STN],SE_3[IdeaEligibility],"w/o disability",0)</f>
        <v>1</v>
      </c>
      <c r="F167" t="str">
        <f>_xlfn.XLOOKUP(PE_3[[#This Row],[STN]],SE_3[STN],SE_3[Ethnicity],"",0)</f>
        <v>White</v>
      </c>
    </row>
    <row r="168" spans="1:6" ht="14.45">
      <c r="A168" s="1">
        <v>810509910</v>
      </c>
      <c r="B168" s="6">
        <v>40857</v>
      </c>
      <c r="C168" s="19">
        <v>11.058179329226558</v>
      </c>
      <c r="D168" s="3"/>
      <c r="E168" t="b">
        <f>_xlfn.XLOOKUP(PE_3[[#This Row],[STN]],SE_3[STN],SE_3[IdeaEligibility],"w/o disability",0)</f>
        <v>1</v>
      </c>
      <c r="F168" t="str">
        <f>_xlfn.XLOOKUP(PE_3[[#This Row],[STN]],SE_3[STN],SE_3[Ethnicity],"",0)</f>
        <v>White</v>
      </c>
    </row>
    <row r="169" spans="1:6" ht="14.45">
      <c r="A169" s="1">
        <v>810512012</v>
      </c>
      <c r="B169" s="9">
        <v>41424</v>
      </c>
      <c r="C169" s="19">
        <v>9.5071193866374593</v>
      </c>
      <c r="D169" s="3"/>
      <c r="E169" t="b">
        <f>_xlfn.XLOOKUP(PE_3[[#This Row],[STN]],SE_3[STN],SE_3[IdeaEligibility],"w/o disability",0)</f>
        <v>1</v>
      </c>
      <c r="F169" t="str">
        <f>_xlfn.XLOOKUP(PE_3[[#This Row],[STN]],SE_3[STN],SE_3[Ethnicity],"",0)</f>
        <v>White</v>
      </c>
    </row>
    <row r="170" spans="1:6" ht="14.45">
      <c r="A170" s="1">
        <v>810513032</v>
      </c>
      <c r="B170" s="6">
        <v>38179</v>
      </c>
      <c r="C170" s="19">
        <v>18.389481268011529</v>
      </c>
      <c r="D170" s="3"/>
      <c r="E170" t="b">
        <f>_xlfn.XLOOKUP(PE_3[[#This Row],[STN]],SE_3[STN],SE_3[IdeaEligibility],"w/o disability",0)</f>
        <v>1</v>
      </c>
      <c r="F170" t="str">
        <f>_xlfn.XLOOKUP(PE_3[[#This Row],[STN]],SE_3[STN],SE_3[Ethnicity],"",0)</f>
        <v>White</v>
      </c>
    </row>
    <row r="171" spans="1:6" ht="14.45">
      <c r="A171" s="1">
        <v>810513032</v>
      </c>
      <c r="B171" s="6">
        <v>42685</v>
      </c>
      <c r="C171" s="19">
        <v>6.0527962456003133</v>
      </c>
      <c r="D171" s="3"/>
      <c r="E171" t="b">
        <f>_xlfn.XLOOKUP(PE_3[[#This Row],[STN]],SE_3[STN],SE_3[IdeaEligibility],"w/o disability",0)</f>
        <v>1</v>
      </c>
      <c r="F171" t="str">
        <f>_xlfn.XLOOKUP(PE_3[[#This Row],[STN]],SE_3[STN],SE_3[Ethnicity],"",0)</f>
        <v>White</v>
      </c>
    </row>
    <row r="172" spans="1:6" ht="14.45">
      <c r="A172" s="1">
        <v>539116031</v>
      </c>
      <c r="B172" s="6">
        <v>40816</v>
      </c>
      <c r="C172" s="19">
        <v>11.170431211498974</v>
      </c>
      <c r="D172" s="3"/>
      <c r="E172" t="b">
        <f>_xlfn.XLOOKUP(PE_3[[#This Row],[STN]],SE_3[STN],SE_3[IdeaEligibility],"w/o disability",0)</f>
        <v>1</v>
      </c>
      <c r="F172" t="str">
        <f>_xlfn.XLOOKUP(PE_3[[#This Row],[STN]],SE_3[STN],SE_3[Ethnicity],"",0)</f>
        <v>White</v>
      </c>
    </row>
    <row r="173" spans="1:6" ht="14.45">
      <c r="A173" s="1">
        <v>539117039</v>
      </c>
      <c r="B173" s="6">
        <v>42029</v>
      </c>
      <c r="C173" s="19">
        <v>7.8494182067077345</v>
      </c>
      <c r="D173" s="3"/>
      <c r="E173" t="b">
        <f>_xlfn.XLOOKUP(PE_3[[#This Row],[STN]],SE_3[STN],SE_3[IdeaEligibility],"w/o disability",0)</f>
        <v>1</v>
      </c>
      <c r="F173" t="str">
        <f>_xlfn.XLOOKUP(PE_3[[#This Row],[STN]],SE_3[STN],SE_3[Ethnicity],"",0)</f>
        <v>White</v>
      </c>
    </row>
    <row r="174" spans="1:6" ht="14.45">
      <c r="A174" s="1">
        <v>539118048</v>
      </c>
      <c r="B174" s="6">
        <v>39412</v>
      </c>
      <c r="C174" s="19">
        <v>15.014373716632443</v>
      </c>
      <c r="D174" s="3"/>
      <c r="E174" t="b">
        <f>_xlfn.XLOOKUP(PE_3[[#This Row],[STN]],SE_3[STN],SE_3[IdeaEligibility],"w/o disability",0)</f>
        <v>1</v>
      </c>
      <c r="F174" t="str">
        <f>_xlfn.XLOOKUP(PE_3[[#This Row],[STN]],SE_3[STN],SE_3[Ethnicity],"",0)</f>
        <v>White</v>
      </c>
    </row>
    <row r="175" spans="1:6" ht="14.45">
      <c r="A175" s="1">
        <v>539118048</v>
      </c>
      <c r="B175" s="6">
        <v>39665</v>
      </c>
      <c r="C175" s="19">
        <v>14.321043986128856</v>
      </c>
      <c r="D175" s="3"/>
      <c r="E175" t="b">
        <f>_xlfn.XLOOKUP(PE_3[[#This Row],[STN]],SE_3[STN],SE_3[IdeaEligibility],"w/o disability",0)</f>
        <v>1</v>
      </c>
      <c r="F175" t="str">
        <f>_xlfn.XLOOKUP(PE_3[[#This Row],[STN]],SE_3[STN],SE_3[Ethnicity],"",0)</f>
        <v>White</v>
      </c>
    </row>
    <row r="176" spans="1:6" ht="14.45">
      <c r="A176" s="1">
        <v>539118048</v>
      </c>
      <c r="B176" s="6">
        <v>41622</v>
      </c>
      <c r="C176" s="19">
        <v>8.9649507119386644</v>
      </c>
      <c r="D176" s="3"/>
      <c r="E176" t="b">
        <f>_xlfn.XLOOKUP(PE_3[[#This Row],[STN]],SE_3[STN],SE_3[IdeaEligibility],"w/o disability",0)</f>
        <v>1</v>
      </c>
      <c r="F176" t="str">
        <f>_xlfn.XLOOKUP(PE_3[[#This Row],[STN]],SE_3[STN],SE_3[Ethnicity],"",0)</f>
        <v>White</v>
      </c>
    </row>
    <row r="177" spans="1:6" ht="14.45">
      <c r="A177" s="1">
        <v>539118048</v>
      </c>
      <c r="B177" s="6">
        <v>40894</v>
      </c>
      <c r="C177" s="19">
        <v>10.956878850102669</v>
      </c>
      <c r="D177" s="3"/>
      <c r="E177" t="b">
        <f>_xlfn.XLOOKUP(PE_3[[#This Row],[STN]],SE_3[STN],SE_3[IdeaEligibility],"w/o disability",0)</f>
        <v>1</v>
      </c>
      <c r="F177" t="str">
        <f>_xlfn.XLOOKUP(PE_3[[#This Row],[STN]],SE_3[STN],SE_3[Ethnicity],"",0)</f>
        <v>White</v>
      </c>
    </row>
    <row r="178" spans="1:6" ht="14.45">
      <c r="A178" s="1">
        <v>539118048</v>
      </c>
      <c r="B178" s="6">
        <v>41591</v>
      </c>
      <c r="C178" s="19">
        <v>9.049835706462213</v>
      </c>
      <c r="D178" s="3"/>
      <c r="E178" t="b">
        <f>_xlfn.XLOOKUP(PE_3[[#This Row],[STN]],SE_3[STN],SE_3[IdeaEligibility],"w/o disability",0)</f>
        <v>1</v>
      </c>
      <c r="F178" t="str">
        <f>_xlfn.XLOOKUP(PE_3[[#This Row],[STN]],SE_3[STN],SE_3[Ethnicity],"",0)</f>
        <v>White</v>
      </c>
    </row>
    <row r="179" spans="1:6" ht="14.45">
      <c r="A179" s="1">
        <v>539118048</v>
      </c>
      <c r="B179" s="6">
        <v>38020</v>
      </c>
      <c r="C179" s="19">
        <v>18.82478386167147</v>
      </c>
      <c r="D179" s="3"/>
      <c r="E179" t="b">
        <f>_xlfn.XLOOKUP(PE_3[[#This Row],[STN]],SE_3[STN],SE_3[IdeaEligibility],"w/o disability",0)</f>
        <v>1</v>
      </c>
      <c r="F179" t="str">
        <f>_xlfn.XLOOKUP(PE_3[[#This Row],[STN]],SE_3[STN],SE_3[Ethnicity],"",0)</f>
        <v>White</v>
      </c>
    </row>
    <row r="180" spans="1:6" ht="14.45">
      <c r="A180" s="1">
        <v>539118048</v>
      </c>
      <c r="B180" s="6">
        <v>41430</v>
      </c>
      <c r="C180" s="19">
        <v>9.4906900328587085</v>
      </c>
      <c r="D180" s="3"/>
      <c r="E180" t="b">
        <f>_xlfn.XLOOKUP(PE_3[[#This Row],[STN]],SE_3[STN],SE_3[IdeaEligibility],"w/o disability",0)</f>
        <v>1</v>
      </c>
      <c r="F180" t="str">
        <f>_xlfn.XLOOKUP(PE_3[[#This Row],[STN]],SE_3[STN],SE_3[Ethnicity],"",0)</f>
        <v>White</v>
      </c>
    </row>
    <row r="181" spans="1:6" ht="14.45">
      <c r="A181" s="1">
        <v>539118048</v>
      </c>
      <c r="B181" s="6">
        <v>42336</v>
      </c>
      <c r="C181" s="19">
        <v>7.008898015058179</v>
      </c>
      <c r="D181" s="3"/>
      <c r="E181" t="b">
        <f>_xlfn.XLOOKUP(PE_3[[#This Row],[STN]],SE_3[STN],SE_3[IdeaEligibility],"w/o disability",0)</f>
        <v>1</v>
      </c>
      <c r="F181" t="str">
        <f>_xlfn.XLOOKUP(PE_3[[#This Row],[STN]],SE_3[STN],SE_3[Ethnicity],"",0)</f>
        <v>White</v>
      </c>
    </row>
    <row r="182" spans="1:6" ht="14.45">
      <c r="A182" s="1">
        <v>539721026</v>
      </c>
      <c r="B182" s="6">
        <v>41545</v>
      </c>
      <c r="C182" s="19">
        <v>9.1757940854326403</v>
      </c>
      <c r="D182" s="3"/>
      <c r="E182" t="b">
        <f>_xlfn.XLOOKUP(PE_3[[#This Row],[STN]],SE_3[STN],SE_3[IdeaEligibility],"w/o disability",0)</f>
        <v>1</v>
      </c>
      <c r="F182" t="str">
        <f>_xlfn.XLOOKUP(PE_3[[#This Row],[STN]],SE_3[STN],SE_3[Ethnicity],"",0)</f>
        <v>White</v>
      </c>
    </row>
    <row r="183" spans="1:6" ht="14.45">
      <c r="A183" s="1">
        <v>541812029</v>
      </c>
      <c r="B183" s="6">
        <v>41166</v>
      </c>
      <c r="C183" s="19">
        <v>10.211548033847686</v>
      </c>
      <c r="D183" s="3"/>
      <c r="E183" t="b">
        <f>_xlfn.XLOOKUP(PE_3[[#This Row],[STN]],SE_3[STN],SE_3[IdeaEligibility],"w/o disability",0)</f>
        <v>1</v>
      </c>
      <c r="F183" t="str">
        <f>_xlfn.XLOOKUP(PE_3[[#This Row],[STN]],SE_3[STN],SE_3[Ethnicity],"",0)</f>
        <v>Multiracial (two or more races)</v>
      </c>
    </row>
    <row r="184" spans="1:6" ht="14.45">
      <c r="A184" s="1">
        <v>541812029</v>
      </c>
      <c r="B184" s="9">
        <v>41419</v>
      </c>
      <c r="C184" s="19">
        <v>9.5208105147864188</v>
      </c>
      <c r="D184" s="3"/>
      <c r="E184" t="b">
        <f>_xlfn.XLOOKUP(PE_3[[#This Row],[STN]],SE_3[STN],SE_3[IdeaEligibility],"w/o disability",0)</f>
        <v>1</v>
      </c>
      <c r="F184" t="str">
        <f>_xlfn.XLOOKUP(PE_3[[#This Row],[STN]],SE_3[STN],SE_3[Ethnicity],"",0)</f>
        <v>Multiracial (two or more races)</v>
      </c>
    </row>
    <row r="185" spans="1:6" ht="14.45">
      <c r="A185" s="1">
        <v>820619018</v>
      </c>
      <c r="B185" s="6">
        <v>42901</v>
      </c>
      <c r="C185" s="19">
        <v>5.4632587859424921</v>
      </c>
      <c r="D185" s="3"/>
      <c r="E185" t="b">
        <f>_xlfn.XLOOKUP(PE_3[[#This Row],[STN]],SE_3[STN],SE_3[IdeaEligibility],"w/o disability",0)</f>
        <v>1</v>
      </c>
      <c r="F185" t="str">
        <f>_xlfn.XLOOKUP(PE_3[[#This Row],[STN]],SE_3[STN],SE_3[Ethnicity],"",0)</f>
        <v>White</v>
      </c>
    </row>
    <row r="186" spans="1:6" ht="14.45">
      <c r="A186" s="1">
        <v>820913031</v>
      </c>
      <c r="B186" s="6">
        <v>38232</v>
      </c>
      <c r="C186" s="19">
        <v>18.244380403458216</v>
      </c>
      <c r="D186" s="3"/>
      <c r="E186" t="b">
        <f>_xlfn.XLOOKUP(PE_3[[#This Row],[STN]],SE_3[STN],SE_3[IdeaEligibility],"w/o disability",0)</f>
        <v>1</v>
      </c>
      <c r="F186" t="str">
        <f>_xlfn.XLOOKUP(PE_3[[#This Row],[STN]],SE_3[STN],SE_3[Ethnicity],"",0)</f>
        <v>Black - African American</v>
      </c>
    </row>
    <row r="187" spans="1:6" ht="14.45">
      <c r="A187" s="1">
        <v>820914034</v>
      </c>
      <c r="B187" s="6">
        <v>38040</v>
      </c>
      <c r="C187" s="19">
        <v>18.770028818443805</v>
      </c>
      <c r="D187" s="3"/>
      <c r="E187" t="b">
        <f>_xlfn.XLOOKUP(PE_3[[#This Row],[STN]],SE_3[STN],SE_3[IdeaEligibility],"w/o disability",0)</f>
        <v>1</v>
      </c>
      <c r="F187" t="str">
        <f>_xlfn.XLOOKUP(PE_3[[#This Row],[STN]],SE_3[STN],SE_3[Ethnicity],"",0)</f>
        <v>White</v>
      </c>
    </row>
    <row r="188" spans="1:6" ht="14.45">
      <c r="A188" s="1">
        <v>820914037</v>
      </c>
      <c r="B188" s="6">
        <v>39975</v>
      </c>
      <c r="C188" s="19">
        <v>13.474281243888129</v>
      </c>
      <c r="D188" s="3"/>
      <c r="E188" t="b">
        <f>_xlfn.XLOOKUP(PE_3[[#This Row],[STN]],SE_3[STN],SE_3[IdeaEligibility],"w/o disability",0)</f>
        <v>1</v>
      </c>
      <c r="F188" t="str">
        <f>_xlfn.XLOOKUP(PE_3[[#This Row],[STN]],SE_3[STN],SE_3[Ethnicity],"",0)</f>
        <v>White</v>
      </c>
    </row>
    <row r="189" spans="1:6" ht="14.45">
      <c r="A189" s="1">
        <v>820914038</v>
      </c>
      <c r="B189" s="6">
        <v>39256</v>
      </c>
      <c r="C189" s="19">
        <v>15.441478439425051</v>
      </c>
      <c r="D189" s="3"/>
      <c r="E189" t="b">
        <f>_xlfn.XLOOKUP(PE_3[[#This Row],[STN]],SE_3[STN],SE_3[IdeaEligibility],"w/o disability",0)</f>
        <v>1</v>
      </c>
      <c r="F189" t="str">
        <f>_xlfn.XLOOKUP(PE_3[[#This Row],[STN]],SE_3[STN],SE_3[Ethnicity],"",0)</f>
        <v>White</v>
      </c>
    </row>
    <row r="190" spans="1:6" ht="14.45">
      <c r="A190" s="1">
        <v>820914038</v>
      </c>
      <c r="B190" s="9">
        <v>42125</v>
      </c>
      <c r="C190" s="19">
        <v>7.5865845311430524</v>
      </c>
      <c r="D190" s="3"/>
      <c r="E190" t="b">
        <f>_xlfn.XLOOKUP(PE_3[[#This Row],[STN]],SE_3[STN],SE_3[IdeaEligibility],"w/o disability",0)</f>
        <v>1</v>
      </c>
      <c r="F190" t="str">
        <f>_xlfn.XLOOKUP(PE_3[[#This Row],[STN]],SE_3[STN],SE_3[Ethnicity],"",0)</f>
        <v>White</v>
      </c>
    </row>
    <row r="191" spans="1:6" ht="14.45">
      <c r="A191" s="1">
        <v>821313018</v>
      </c>
      <c r="B191" s="6">
        <v>38435</v>
      </c>
      <c r="C191" s="19">
        <v>17.690599330696685</v>
      </c>
      <c r="D191" s="3"/>
      <c r="E191" t="b">
        <f>_xlfn.XLOOKUP(PE_3[[#This Row],[STN]],SE_3[STN],SE_3[IdeaEligibility],"w/o disability",0)</f>
        <v>1</v>
      </c>
      <c r="F191" t="str">
        <f>_xlfn.XLOOKUP(PE_3[[#This Row],[STN]],SE_3[STN],SE_3[Ethnicity],"",0)</f>
        <v>White</v>
      </c>
    </row>
    <row r="192" spans="1:6" ht="14.45">
      <c r="A192" s="1">
        <v>821314019</v>
      </c>
      <c r="B192" s="6">
        <v>41082</v>
      </c>
      <c r="C192" s="19">
        <v>10.441513190642111</v>
      </c>
      <c r="D192" s="3"/>
      <c r="E192" t="b">
        <f>_xlfn.XLOOKUP(PE_3[[#This Row],[STN]],SE_3[STN],SE_3[IdeaEligibility],"w/o disability",0)</f>
        <v>1</v>
      </c>
      <c r="F192" t="str">
        <f>_xlfn.XLOOKUP(PE_3[[#This Row],[STN]],SE_3[STN],SE_3[Ethnicity],"",0)</f>
        <v>White</v>
      </c>
    </row>
    <row r="193" spans="1:6" ht="14.45">
      <c r="A193" s="1">
        <v>821314019</v>
      </c>
      <c r="B193" s="6">
        <v>41371</v>
      </c>
      <c r="C193" s="19">
        <v>9.6522453450164303</v>
      </c>
      <c r="D193" s="3"/>
      <c r="E193" t="b">
        <f>_xlfn.XLOOKUP(PE_3[[#This Row],[STN]],SE_3[STN],SE_3[IdeaEligibility],"w/o disability",0)</f>
        <v>1</v>
      </c>
      <c r="F193" t="str">
        <f>_xlfn.XLOOKUP(PE_3[[#This Row],[STN]],SE_3[STN],SE_3[Ethnicity],"",0)</f>
        <v>White</v>
      </c>
    </row>
    <row r="194" spans="1:6" ht="14.45">
      <c r="A194" s="1">
        <v>821314029</v>
      </c>
      <c r="B194" s="6">
        <v>41561</v>
      </c>
      <c r="C194" s="19">
        <v>9.1319824753559704</v>
      </c>
      <c r="D194" s="3"/>
      <c r="E194" t="b">
        <f>_xlfn.XLOOKUP(PE_3[[#This Row],[STN]],SE_3[STN],SE_3[IdeaEligibility],"w/o disability",0)</f>
        <v>1</v>
      </c>
      <c r="F194" t="str">
        <f>_xlfn.XLOOKUP(PE_3[[#This Row],[STN]],SE_3[STN],SE_3[Ethnicity],"",0)</f>
        <v>White</v>
      </c>
    </row>
    <row r="195" spans="1:6" ht="14.45">
      <c r="A195" s="1">
        <v>822515042</v>
      </c>
      <c r="B195" s="6">
        <v>40007</v>
      </c>
      <c r="C195" s="19">
        <v>13.386661451202816</v>
      </c>
      <c r="D195" s="3"/>
      <c r="E195" t="b">
        <f>_xlfn.XLOOKUP(PE_3[[#This Row],[STN]],SE_3[STN],SE_3[IdeaEligibility],"w/o disability",0)</f>
        <v>1</v>
      </c>
      <c r="F195" t="str">
        <f>_xlfn.XLOOKUP(PE_3[[#This Row],[STN]],SE_3[STN],SE_3[Ethnicity],"",0)</f>
        <v>Black - African American</v>
      </c>
    </row>
    <row r="196" spans="1:6" ht="14.45">
      <c r="A196" s="1">
        <v>809112925</v>
      </c>
      <c r="B196" s="6">
        <v>39612</v>
      </c>
      <c r="C196" s="19">
        <v>14.466143456835189</v>
      </c>
      <c r="D196" s="3"/>
      <c r="E196" t="b">
        <f>_xlfn.XLOOKUP(PE_3[[#This Row],[STN]],SE_3[STN],SE_3[IdeaEligibility],"w/o disability",0)</f>
        <v>1</v>
      </c>
      <c r="F196" t="str">
        <f>_xlfn.XLOOKUP(PE_3[[#This Row],[STN]],SE_3[STN],SE_3[Ethnicity],"",0)</f>
        <v>White</v>
      </c>
    </row>
    <row r="197" spans="1:6" ht="14.45">
      <c r="A197" s="1">
        <v>809112925</v>
      </c>
      <c r="B197" s="6">
        <v>38370</v>
      </c>
      <c r="C197" s="19">
        <v>17.868573167021601</v>
      </c>
      <c r="D197" s="3"/>
      <c r="E197" t="b">
        <f>_xlfn.XLOOKUP(PE_3[[#This Row],[STN]],SE_3[STN],SE_3[IdeaEligibility],"w/o disability",0)</f>
        <v>1</v>
      </c>
      <c r="F197" t="str">
        <f>_xlfn.XLOOKUP(PE_3[[#This Row],[STN]],SE_3[STN],SE_3[Ethnicity],"",0)</f>
        <v>White</v>
      </c>
    </row>
    <row r="198" spans="1:6" ht="14.45">
      <c r="A198" s="1">
        <v>810309073</v>
      </c>
      <c r="B198" s="6">
        <v>40085</v>
      </c>
      <c r="C198" s="19">
        <v>13.173088206532368</v>
      </c>
      <c r="D198" s="3"/>
      <c r="E198" t="b">
        <f>_xlfn.XLOOKUP(PE_3[[#This Row],[STN]],SE_3[STN],SE_3[IdeaEligibility],"w/o disability",0)</f>
        <v>1</v>
      </c>
      <c r="F198" t="str">
        <f>_xlfn.XLOOKUP(PE_3[[#This Row],[STN]],SE_3[STN],SE_3[Ethnicity],"",0)</f>
        <v>White</v>
      </c>
    </row>
    <row r="199" spans="1:6" ht="14.45">
      <c r="A199" s="1">
        <v>811718003</v>
      </c>
      <c r="B199" s="6">
        <v>41878</v>
      </c>
      <c r="C199" s="19">
        <v>8.2634621235168844</v>
      </c>
      <c r="D199" s="3"/>
      <c r="E199" t="b">
        <f>_xlfn.XLOOKUP(PE_3[[#This Row],[STN]],SE_3[STN],SE_3[IdeaEligibility],"w/o disability",0)</f>
        <v>1</v>
      </c>
      <c r="F199" t="str">
        <f>_xlfn.XLOOKUP(PE_3[[#This Row],[STN]],SE_3[STN],SE_3[Ethnicity],"",0)</f>
        <v>White</v>
      </c>
    </row>
    <row r="200" spans="1:6" ht="14.45">
      <c r="A200" s="1">
        <v>919715085</v>
      </c>
      <c r="B200" s="6">
        <v>40210</v>
      </c>
      <c r="C200" s="19">
        <v>12.830244313395115</v>
      </c>
      <c r="D200" s="3"/>
      <c r="E200" t="b">
        <f>_xlfn.XLOOKUP(PE_3[[#This Row],[STN]],SE_3[STN],SE_3[IdeaEligibility],"w/o disability",0)</f>
        <v>1</v>
      </c>
      <c r="F200" t="str">
        <f>_xlfn.XLOOKUP(PE_3[[#This Row],[STN]],SE_3[STN],SE_3[Ethnicity],"",0)</f>
        <v>White</v>
      </c>
    </row>
    <row r="201" spans="1:6" ht="14.45">
      <c r="A201" s="1">
        <v>984514142</v>
      </c>
      <c r="B201" s="6">
        <v>38226</v>
      </c>
      <c r="C201" s="19">
        <v>18.260806916426514</v>
      </c>
      <c r="D201" s="3"/>
      <c r="E201" t="b">
        <f>_xlfn.XLOOKUP(PE_3[[#This Row],[STN]],SE_3[STN],SE_3[IdeaEligibility],"w/o disability",0)</f>
        <v>1</v>
      </c>
      <c r="F201" t="str">
        <f>_xlfn.XLOOKUP(PE_3[[#This Row],[STN]],SE_3[STN],SE_3[Ethnicity],"",0)</f>
        <v>Asian</v>
      </c>
    </row>
    <row r="202" spans="1:6" ht="14.45">
      <c r="A202" s="1">
        <v>999812054</v>
      </c>
      <c r="B202" s="6">
        <v>39564</v>
      </c>
      <c r="C202" s="19">
        <v>14.597554298229605</v>
      </c>
      <c r="D202" s="3"/>
      <c r="E202" t="b">
        <f>_xlfn.XLOOKUP(PE_3[[#This Row],[STN]],SE_3[STN],SE_3[IdeaEligibility],"w/o disability",0)</f>
        <v>1</v>
      </c>
      <c r="F202" t="str">
        <f>_xlfn.XLOOKUP(PE_3[[#This Row],[STN]],SE_3[STN],SE_3[Ethnicity],"",0)</f>
        <v>White</v>
      </c>
    </row>
    <row r="203" spans="1:6" ht="14.45">
      <c r="A203" s="1">
        <v>999814003</v>
      </c>
      <c r="B203" s="6">
        <v>42705</v>
      </c>
      <c r="C203" s="19">
        <v>5.9980445834962852</v>
      </c>
      <c r="D203" s="3"/>
      <c r="E203" t="b">
        <f>_xlfn.XLOOKUP(PE_3[[#This Row],[STN]],SE_3[STN],SE_3[IdeaEligibility],"w/o disability",0)</f>
        <v>1</v>
      </c>
      <c r="F203" t="str">
        <f>_xlfn.XLOOKUP(PE_3[[#This Row],[STN]],SE_3[STN],SE_3[Ethnicity],"",0)</f>
        <v>White</v>
      </c>
    </row>
    <row r="204" spans="1:6" ht="14.45">
      <c r="A204" s="1">
        <v>999818041</v>
      </c>
      <c r="B204" s="6">
        <v>38996</v>
      </c>
      <c r="C204" s="19">
        <v>16.153970043485263</v>
      </c>
      <c r="D204" s="3"/>
      <c r="E204" t="b">
        <f>_xlfn.XLOOKUP(PE_3[[#This Row],[STN]],SE_3[STN],SE_3[IdeaEligibility],"w/o disability",0)</f>
        <v>1</v>
      </c>
      <c r="F204" t="str">
        <f>_xlfn.XLOOKUP(PE_3[[#This Row],[STN]],SE_3[STN],SE_3[Ethnicity],"",0)</f>
        <v>White</v>
      </c>
    </row>
    <row r="205" spans="1:6" ht="14.45">
      <c r="A205" s="1">
        <v>999818041</v>
      </c>
      <c r="B205" s="6">
        <v>42122</v>
      </c>
      <c r="C205" s="19">
        <v>7.5947980835044486</v>
      </c>
      <c r="D205" s="3"/>
      <c r="E205" t="b">
        <f>_xlfn.XLOOKUP(PE_3[[#This Row],[STN]],SE_3[STN],SE_3[IdeaEligibility],"w/o disability",0)</f>
        <v>1</v>
      </c>
      <c r="F205" t="str">
        <f>_xlfn.XLOOKUP(PE_3[[#This Row],[STN]],SE_3[STN],SE_3[Ethnicity],"",0)</f>
        <v>White</v>
      </c>
    </row>
    <row r="206" spans="1:6" ht="14.45">
      <c r="A206" s="1">
        <v>999818041</v>
      </c>
      <c r="B206" s="6">
        <v>39782</v>
      </c>
      <c r="C206" s="19">
        <v>14.000730060229969</v>
      </c>
      <c r="D206" s="3"/>
      <c r="E206" t="b">
        <f>_xlfn.XLOOKUP(PE_3[[#This Row],[STN]],SE_3[STN],SE_3[IdeaEligibility],"w/o disability",0)</f>
        <v>1</v>
      </c>
      <c r="F206" t="str">
        <f>_xlfn.XLOOKUP(PE_3[[#This Row],[STN]],SE_3[STN],SE_3[Ethnicity],"",0)</f>
        <v>White</v>
      </c>
    </row>
    <row r="207" spans="1:6" ht="14.45">
      <c r="A207" s="1">
        <v>537714086</v>
      </c>
      <c r="B207" s="9">
        <v>41765</v>
      </c>
      <c r="C207" s="19">
        <v>8.5728627928202012</v>
      </c>
      <c r="D207" s="3"/>
      <c r="E207" t="b">
        <f>_xlfn.XLOOKUP(PE_3[[#This Row],[STN]],SE_3[STN],SE_3[IdeaEligibility],"w/o disability",0)</f>
        <v>1</v>
      </c>
      <c r="F207" t="str">
        <f>_xlfn.XLOOKUP(PE_3[[#This Row],[STN]],SE_3[STN],SE_3[Ethnicity],"",0)</f>
        <v>White</v>
      </c>
    </row>
    <row r="208" spans="1:6" ht="14.45">
      <c r="A208" s="1">
        <v>539550785</v>
      </c>
      <c r="B208" s="6">
        <v>40330</v>
      </c>
      <c r="C208" s="19">
        <v>12.501684919966301</v>
      </c>
      <c r="D208" s="3"/>
      <c r="E208" t="b">
        <f>_xlfn.XLOOKUP(PE_3[[#This Row],[STN]],SE_3[STN],SE_3[IdeaEligibility],"w/o disability",0)</f>
        <v>1</v>
      </c>
      <c r="F208" t="str">
        <f>_xlfn.XLOOKUP(PE_3[[#This Row],[STN]],SE_3[STN],SE_3[Ethnicity],"",0)</f>
        <v>White</v>
      </c>
    </row>
    <row r="209" spans="1:6" ht="14.45">
      <c r="A209" s="1">
        <v>539550785</v>
      </c>
      <c r="B209" s="6">
        <v>40866</v>
      </c>
      <c r="C209" s="19">
        <v>11.033538672142368</v>
      </c>
      <c r="D209" s="3"/>
      <c r="E209" t="b">
        <f>_xlfn.XLOOKUP(PE_3[[#This Row],[STN]],SE_3[STN],SE_3[IdeaEligibility],"w/o disability",0)</f>
        <v>1</v>
      </c>
      <c r="F209" t="str">
        <f>_xlfn.XLOOKUP(PE_3[[#This Row],[STN]],SE_3[STN],SE_3[Ethnicity],"",0)</f>
        <v>White</v>
      </c>
    </row>
    <row r="210" spans="1:6" ht="14.45">
      <c r="A210" s="1">
        <v>539550785</v>
      </c>
      <c r="B210" s="6">
        <v>39678</v>
      </c>
      <c r="C210" s="19">
        <v>14.285453549917868</v>
      </c>
      <c r="D210" s="3"/>
      <c r="E210" t="b">
        <f>_xlfn.XLOOKUP(PE_3[[#This Row],[STN]],SE_3[STN],SE_3[IdeaEligibility],"w/o disability",0)</f>
        <v>1</v>
      </c>
      <c r="F210" t="str">
        <f>_xlfn.XLOOKUP(PE_3[[#This Row],[STN]],SE_3[STN],SE_3[Ethnicity],"",0)</f>
        <v>White</v>
      </c>
    </row>
    <row r="211" spans="1:6" ht="14.45">
      <c r="A211" s="1">
        <v>539550785</v>
      </c>
      <c r="B211" s="6">
        <v>39893</v>
      </c>
      <c r="C211" s="19">
        <v>13.698806962644239</v>
      </c>
      <c r="D211" s="3"/>
      <c r="E211" t="b">
        <f>_xlfn.XLOOKUP(PE_3[[#This Row],[STN]],SE_3[STN],SE_3[IdeaEligibility],"w/o disability",0)</f>
        <v>1</v>
      </c>
      <c r="F211" t="str">
        <f>_xlfn.XLOOKUP(PE_3[[#This Row],[STN]],SE_3[STN],SE_3[Ethnicity],"",0)</f>
        <v>White</v>
      </c>
    </row>
    <row r="212" spans="1:6" ht="14.45">
      <c r="A212" s="1">
        <v>543615080</v>
      </c>
      <c r="B212" s="6">
        <v>39342</v>
      </c>
      <c r="C212" s="19">
        <v>15.206023271731691</v>
      </c>
      <c r="D212" s="3"/>
      <c r="E212" t="b">
        <f>_xlfn.XLOOKUP(PE_3[[#This Row],[STN]],SE_3[STN],SE_3[IdeaEligibility],"w/o disability",0)</f>
        <v>1</v>
      </c>
      <c r="F212" t="str">
        <f>_xlfn.XLOOKUP(PE_3[[#This Row],[STN]],SE_3[STN],SE_3[Ethnicity],"",0)</f>
        <v>White</v>
      </c>
    </row>
    <row r="213" spans="1:6" ht="14.45">
      <c r="A213" s="1">
        <v>810818038</v>
      </c>
      <c r="B213" s="6">
        <v>39700</v>
      </c>
      <c r="C213" s="19">
        <v>14.225223580945428</v>
      </c>
      <c r="D213" s="3"/>
      <c r="E213" t="b">
        <f>_xlfn.XLOOKUP(PE_3[[#This Row],[STN]],SE_3[STN],SE_3[IdeaEligibility],"w/o disability",0)</f>
        <v>1</v>
      </c>
      <c r="F213" t="str">
        <f>_xlfn.XLOOKUP(PE_3[[#This Row],[STN]],SE_3[STN],SE_3[Ethnicity],"",0)</f>
        <v>White</v>
      </c>
    </row>
    <row r="214" spans="1:6" ht="14.45">
      <c r="A214" s="1">
        <v>811112028</v>
      </c>
      <c r="B214" s="6">
        <v>42579</v>
      </c>
      <c r="C214" s="19">
        <v>6.3429800547516626</v>
      </c>
      <c r="D214" s="3"/>
      <c r="E214" t="b">
        <f>_xlfn.XLOOKUP(PE_3[[#This Row],[STN]],SE_3[STN],SE_3[IdeaEligibility],"w/o disability",0)</f>
        <v>1</v>
      </c>
      <c r="F214" t="str">
        <f>_xlfn.XLOOKUP(PE_3[[#This Row],[STN]],SE_3[STN],SE_3[Ethnicity],"",0)</f>
        <v>White</v>
      </c>
    </row>
    <row r="215" spans="1:6" ht="14.45">
      <c r="A215" s="1">
        <v>811719017</v>
      </c>
      <c r="B215" s="6">
        <v>40716</v>
      </c>
      <c r="C215" s="19">
        <v>11.444216290212184</v>
      </c>
      <c r="D215" s="3"/>
      <c r="E215" t="b">
        <f>_xlfn.XLOOKUP(PE_3[[#This Row],[STN]],SE_3[STN],SE_3[IdeaEligibility],"w/o disability",0)</f>
        <v>1</v>
      </c>
      <c r="F215" t="str">
        <f>_xlfn.XLOOKUP(PE_3[[#This Row],[STN]],SE_3[STN],SE_3[Ethnicity],"",0)</f>
        <v>Hispanic Ethnicity and of any race</v>
      </c>
    </row>
    <row r="216" spans="1:6" ht="14.45">
      <c r="A216" s="1">
        <v>811719017</v>
      </c>
      <c r="B216" s="6">
        <v>42571</v>
      </c>
      <c r="C216" s="19">
        <v>6.3648807195932733</v>
      </c>
      <c r="D216" s="3"/>
      <c r="E216" t="b">
        <f>_xlfn.XLOOKUP(PE_3[[#This Row],[STN]],SE_3[STN],SE_3[IdeaEligibility],"w/o disability",0)</f>
        <v>1</v>
      </c>
      <c r="F216" t="str">
        <f>_xlfn.XLOOKUP(PE_3[[#This Row],[STN]],SE_3[STN],SE_3[Ethnicity],"",0)</f>
        <v>Hispanic Ethnicity and of any race</v>
      </c>
    </row>
    <row r="217" spans="1:6" ht="14.45">
      <c r="A217" s="1">
        <v>811909047</v>
      </c>
      <c r="B217" s="6">
        <v>41842</v>
      </c>
      <c r="C217" s="19">
        <v>8.362032248250685</v>
      </c>
      <c r="D217" s="3"/>
      <c r="E217" t="b">
        <f>_xlfn.XLOOKUP(PE_3[[#This Row],[STN]],SE_3[STN],SE_3[IdeaEligibility],"w/o disability",0)</f>
        <v>1</v>
      </c>
      <c r="F217" t="str">
        <f>_xlfn.XLOOKUP(PE_3[[#This Row],[STN]],SE_3[STN],SE_3[Ethnicity],"",0)</f>
        <v>Black - African American</v>
      </c>
    </row>
    <row r="218" spans="1:6" ht="14.45">
      <c r="A218" s="1">
        <v>816312223</v>
      </c>
      <c r="B218" s="6">
        <v>40736</v>
      </c>
      <c r="C218" s="19">
        <v>11.389459274469541</v>
      </c>
      <c r="D218" s="3"/>
      <c r="E218" t="b">
        <f>_xlfn.XLOOKUP(PE_3[[#This Row],[STN]],SE_3[STN],SE_3[IdeaEligibility],"w/o disability",0)</f>
        <v>1</v>
      </c>
      <c r="F218" t="str">
        <f>_xlfn.XLOOKUP(PE_3[[#This Row],[STN]],SE_3[STN],SE_3[Ethnicity],"",0)</f>
        <v>White</v>
      </c>
    </row>
    <row r="219" spans="1:6" ht="14.45">
      <c r="A219" s="1">
        <v>816312223</v>
      </c>
      <c r="B219" s="6">
        <v>39537</v>
      </c>
      <c r="C219" s="19">
        <v>14.671472896513963</v>
      </c>
      <c r="D219" s="3"/>
      <c r="E219" t="b">
        <f>_xlfn.XLOOKUP(PE_3[[#This Row],[STN]],SE_3[STN],SE_3[IdeaEligibility],"w/o disability",0)</f>
        <v>1</v>
      </c>
      <c r="F219" t="str">
        <f>_xlfn.XLOOKUP(PE_3[[#This Row],[STN]],SE_3[STN],SE_3[Ethnicity],"",0)</f>
        <v>White</v>
      </c>
    </row>
    <row r="220" spans="1:6" ht="14.45">
      <c r="A220" s="1">
        <v>820914012</v>
      </c>
      <c r="B220" s="6">
        <v>41914</v>
      </c>
      <c r="C220" s="19">
        <v>8.1648919987830855</v>
      </c>
      <c r="D220" s="3"/>
      <c r="E220" t="b">
        <f>_xlfn.XLOOKUP(PE_3[[#This Row],[STN]],SE_3[STN],SE_3[IdeaEligibility],"w/o disability",0)</f>
        <v>1</v>
      </c>
      <c r="F220" t="str">
        <f>_xlfn.XLOOKUP(PE_3[[#This Row],[STN]],SE_3[STN],SE_3[Ethnicity],"",0)</f>
        <v>White</v>
      </c>
    </row>
    <row r="221" spans="1:6" ht="14.45">
      <c r="A221" s="1">
        <v>820916036</v>
      </c>
      <c r="B221" s="6">
        <v>38292</v>
      </c>
      <c r="C221" s="19">
        <v>18.080115273775217</v>
      </c>
      <c r="D221" s="3"/>
      <c r="E221" t="b">
        <f>_xlfn.XLOOKUP(PE_3[[#This Row],[STN]],SE_3[STN],SE_3[IdeaEligibility],"w/o disability",0)</f>
        <v>1</v>
      </c>
      <c r="F221" t="str">
        <f>_xlfn.XLOOKUP(PE_3[[#This Row],[STN]],SE_3[STN],SE_3[Ethnicity],"",0)</f>
        <v>White</v>
      </c>
    </row>
    <row r="222" spans="1:6" ht="14.45">
      <c r="A222" s="1">
        <v>820916036</v>
      </c>
      <c r="B222" s="6">
        <v>39843</v>
      </c>
      <c r="C222" s="19">
        <v>13.83571288871504</v>
      </c>
      <c r="D222" s="3"/>
      <c r="E222" t="b">
        <f>_xlfn.XLOOKUP(PE_3[[#This Row],[STN]],SE_3[STN],SE_3[IdeaEligibility],"w/o disability",0)</f>
        <v>1</v>
      </c>
      <c r="F222" t="str">
        <f>_xlfn.XLOOKUP(PE_3[[#This Row],[STN]],SE_3[STN],SE_3[Ethnicity],"",0)</f>
        <v>White</v>
      </c>
    </row>
    <row r="223" spans="1:6" ht="14.45">
      <c r="A223" s="1">
        <v>821313016</v>
      </c>
      <c r="B223" s="6">
        <v>41797</v>
      </c>
      <c r="C223" s="19">
        <v>8.485244904167935</v>
      </c>
      <c r="D223" s="3"/>
      <c r="E223" t="b">
        <f>_xlfn.XLOOKUP(PE_3[[#This Row],[STN]],SE_3[STN],SE_3[IdeaEligibility],"w/o disability",0)</f>
        <v>1</v>
      </c>
      <c r="F223" t="str">
        <f>_xlfn.XLOOKUP(PE_3[[#This Row],[STN]],SE_3[STN],SE_3[Ethnicity],"",0)</f>
        <v>White</v>
      </c>
    </row>
    <row r="224" spans="1:6" ht="14.45">
      <c r="A224" s="1">
        <v>821314014</v>
      </c>
      <c r="B224" s="6">
        <v>38896</v>
      </c>
      <c r="C224" s="19">
        <v>16.427766145917218</v>
      </c>
      <c r="D224" s="3"/>
      <c r="E224" t="b">
        <f>_xlfn.XLOOKUP(PE_3[[#This Row],[STN]],SE_3[STN],SE_3[IdeaEligibility],"w/o disability",0)</f>
        <v>1</v>
      </c>
      <c r="F224" t="str">
        <f>_xlfn.XLOOKUP(PE_3[[#This Row],[STN]],SE_3[STN],SE_3[Ethnicity],"",0)</f>
        <v>White</v>
      </c>
    </row>
    <row r="225" spans="1:6" ht="14.45">
      <c r="A225" s="1">
        <v>821314014</v>
      </c>
      <c r="B225" s="6">
        <v>42347</v>
      </c>
      <c r="C225" s="19">
        <v>6.9787816563997263</v>
      </c>
      <c r="D225" s="3"/>
      <c r="E225" t="b">
        <f>_xlfn.XLOOKUP(PE_3[[#This Row],[STN]],SE_3[STN],SE_3[IdeaEligibility],"w/o disability",0)</f>
        <v>1</v>
      </c>
      <c r="F225" t="str">
        <f>_xlfn.XLOOKUP(PE_3[[#This Row],[STN]],SE_3[STN],SE_3[Ethnicity],"",0)</f>
        <v>White</v>
      </c>
    </row>
    <row r="226" spans="1:6" ht="14.45">
      <c r="A226" s="1">
        <v>821314014</v>
      </c>
      <c r="B226" s="6">
        <v>42121</v>
      </c>
      <c r="C226" s="19">
        <v>7.5975359342915807</v>
      </c>
      <c r="D226" s="3"/>
      <c r="E226" t="b">
        <f>_xlfn.XLOOKUP(PE_3[[#This Row],[STN]],SE_3[STN],SE_3[IdeaEligibility],"w/o disability",0)</f>
        <v>1</v>
      </c>
      <c r="F226" t="str">
        <f>_xlfn.XLOOKUP(PE_3[[#This Row],[STN]],SE_3[STN],SE_3[Ethnicity],"",0)</f>
        <v>White</v>
      </c>
    </row>
    <row r="227" spans="1:6" ht="14.45">
      <c r="A227" s="1">
        <v>821314014</v>
      </c>
      <c r="B227" s="6">
        <v>38381</v>
      </c>
      <c r="C227" s="19">
        <v>17.838454517797384</v>
      </c>
      <c r="D227" s="3"/>
      <c r="E227" t="b">
        <f>_xlfn.XLOOKUP(PE_3[[#This Row],[STN]],SE_3[STN],SE_3[IdeaEligibility],"w/o disability",0)</f>
        <v>1</v>
      </c>
      <c r="F227" t="str">
        <f>_xlfn.XLOOKUP(PE_3[[#This Row],[STN]],SE_3[STN],SE_3[Ethnicity],"",0)</f>
        <v>White</v>
      </c>
    </row>
    <row r="228" spans="1:6" ht="14.45">
      <c r="A228" s="1">
        <v>821314015</v>
      </c>
      <c r="B228" s="6">
        <v>38677</v>
      </c>
      <c r="C228" s="19">
        <v>17.027989047763917</v>
      </c>
      <c r="D228" s="3"/>
      <c r="E228" t="b">
        <f>_xlfn.XLOOKUP(PE_3[[#This Row],[STN]],SE_3[STN],SE_3[IdeaEligibility],"w/o disability",0)</f>
        <v>1</v>
      </c>
      <c r="F228" t="str">
        <f>_xlfn.XLOOKUP(PE_3[[#This Row],[STN]],SE_3[STN],SE_3[Ethnicity],"",0)</f>
        <v>White</v>
      </c>
    </row>
    <row r="229" spans="1:6" ht="14.45">
      <c r="A229" s="1">
        <v>821314015</v>
      </c>
      <c r="B229" s="6">
        <v>40712</v>
      </c>
      <c r="C229" s="19">
        <v>11.455167693360712</v>
      </c>
      <c r="D229" s="3"/>
      <c r="E229" t="b">
        <f>_xlfn.XLOOKUP(PE_3[[#This Row],[STN]],SE_3[STN],SE_3[IdeaEligibility],"w/o disability",0)</f>
        <v>1</v>
      </c>
      <c r="F229" t="str">
        <f>_xlfn.XLOOKUP(PE_3[[#This Row],[STN]],SE_3[STN],SE_3[Ethnicity],"",0)</f>
        <v>White</v>
      </c>
    </row>
    <row r="230" spans="1:6" ht="14.45">
      <c r="A230" s="1">
        <v>821315009</v>
      </c>
      <c r="B230" s="6">
        <v>41572</v>
      </c>
      <c r="C230" s="19">
        <v>9.1018619934282583</v>
      </c>
      <c r="D230" s="3"/>
      <c r="E230" t="b">
        <f>_xlfn.XLOOKUP(PE_3[[#This Row],[STN]],SE_3[STN],SE_3[IdeaEligibility],"w/o disability",0)</f>
        <v>1</v>
      </c>
      <c r="F230" t="str">
        <f>_xlfn.XLOOKUP(PE_3[[#This Row],[STN]],SE_3[STN],SE_3[Ethnicity],"",0)</f>
        <v>Black - African American</v>
      </c>
    </row>
    <row r="231" spans="1:6" ht="14.45">
      <c r="A231" s="1">
        <v>821317060</v>
      </c>
      <c r="B231" s="9">
        <v>39959</v>
      </c>
      <c r="C231" s="19">
        <v>13.518091140230784</v>
      </c>
      <c r="D231" s="3"/>
      <c r="E231" t="b">
        <f>_xlfn.XLOOKUP(PE_3[[#This Row],[STN]],SE_3[STN],SE_3[IdeaEligibility],"w/o disability",0)</f>
        <v>1</v>
      </c>
      <c r="F231" t="str">
        <f>_xlfn.XLOOKUP(PE_3[[#This Row],[STN]],SE_3[STN],SE_3[Ethnicity],"",0)</f>
        <v>White</v>
      </c>
    </row>
    <row r="232" spans="1:6" ht="14.45">
      <c r="A232" s="1">
        <v>541812029</v>
      </c>
      <c r="B232" s="6">
        <v>39492</v>
      </c>
      <c r="C232" s="19">
        <v>14.794670560321228</v>
      </c>
      <c r="D232" s="3"/>
      <c r="E232" t="b">
        <f>_xlfn.XLOOKUP(PE_3[[#This Row],[STN]],SE_3[STN],SE_3[IdeaEligibility],"w/o disability",0)</f>
        <v>1</v>
      </c>
      <c r="F232" t="str">
        <f>_xlfn.XLOOKUP(PE_3[[#This Row],[STN]],SE_3[STN],SE_3[Ethnicity],"",0)</f>
        <v>Multiracial (two or more races)</v>
      </c>
    </row>
    <row r="233" spans="1:6" ht="14.45">
      <c r="A233" s="1">
        <v>541812029</v>
      </c>
      <c r="B233" s="9">
        <v>42513</v>
      </c>
      <c r="C233" s="19">
        <v>6.523660539694955</v>
      </c>
      <c r="D233" s="3"/>
      <c r="E233" t="b">
        <f>_xlfn.XLOOKUP(PE_3[[#This Row],[STN]],SE_3[STN],SE_3[IdeaEligibility],"w/o disability",0)</f>
        <v>1</v>
      </c>
      <c r="F233" t="str">
        <f>_xlfn.XLOOKUP(PE_3[[#This Row],[STN]],SE_3[STN],SE_3[Ethnicity],"",0)</f>
        <v>Multiracial (two or more races)</v>
      </c>
    </row>
    <row r="234" spans="1:6" ht="14.45">
      <c r="A234" s="1">
        <v>541812029</v>
      </c>
      <c r="B234" s="6">
        <v>38521</v>
      </c>
      <c r="C234" s="19">
        <v>17.455126254943718</v>
      </c>
      <c r="D234" s="3"/>
      <c r="E234" t="b">
        <f>_xlfn.XLOOKUP(PE_3[[#This Row],[STN]],SE_3[STN],SE_3[IdeaEligibility],"w/o disability",0)</f>
        <v>1</v>
      </c>
      <c r="F234" t="str">
        <f>_xlfn.XLOOKUP(PE_3[[#This Row],[STN]],SE_3[STN],SE_3[Ethnicity],"",0)</f>
        <v>Multiracial (two or more races)</v>
      </c>
    </row>
    <row r="235" spans="1:6" ht="14.45">
      <c r="A235" s="1">
        <v>543017055</v>
      </c>
      <c r="B235" s="6">
        <v>38966</v>
      </c>
      <c r="C235" s="19">
        <v>16.23610887421485</v>
      </c>
      <c r="D235" s="3"/>
      <c r="E235" t="b">
        <f>_xlfn.XLOOKUP(PE_3[[#This Row],[STN]],SE_3[STN],SE_3[IdeaEligibility],"w/o disability",0)</f>
        <v>1</v>
      </c>
      <c r="F235" t="str">
        <f>_xlfn.XLOOKUP(PE_3[[#This Row],[STN]],SE_3[STN],SE_3[Ethnicity],"",0)</f>
        <v>White</v>
      </c>
    </row>
    <row r="236" spans="1:6" ht="14.45">
      <c r="A236" s="1">
        <v>543612103</v>
      </c>
      <c r="B236" s="6">
        <v>39274</v>
      </c>
      <c r="C236" s="19">
        <v>15.392197125256674</v>
      </c>
      <c r="D236" s="3"/>
      <c r="E236" t="b">
        <f>_xlfn.XLOOKUP(PE_3[[#This Row],[STN]],SE_3[STN],SE_3[IdeaEligibility],"w/o disability",0)</f>
        <v>1</v>
      </c>
      <c r="F236" t="str">
        <f>_xlfn.XLOOKUP(PE_3[[#This Row],[STN]],SE_3[STN],SE_3[Ethnicity],"",0)</f>
        <v>White</v>
      </c>
    </row>
    <row r="237" spans="1:6" ht="14.45">
      <c r="A237" s="1">
        <v>811111092</v>
      </c>
      <c r="B237" s="6">
        <v>39433</v>
      </c>
      <c r="C237" s="19">
        <v>14.956878850102669</v>
      </c>
      <c r="D237" s="3"/>
      <c r="E237" t="b">
        <f>_xlfn.XLOOKUP(PE_3[[#This Row],[STN]],SE_3[STN],SE_3[IdeaEligibility],"w/o disability",0)</f>
        <v>1</v>
      </c>
      <c r="F237" t="str">
        <f>_xlfn.XLOOKUP(PE_3[[#This Row],[STN]],SE_3[STN],SE_3[Ethnicity],"",0)</f>
        <v>White</v>
      </c>
    </row>
    <row r="238" spans="1:6" ht="14.45">
      <c r="A238" s="1">
        <v>811111092</v>
      </c>
      <c r="B238" s="6">
        <v>38268</v>
      </c>
      <c r="C238" s="19">
        <v>18.145821325648416</v>
      </c>
      <c r="D238" s="3"/>
      <c r="E238" t="b">
        <f>_xlfn.XLOOKUP(PE_3[[#This Row],[STN]],SE_3[STN],SE_3[IdeaEligibility],"w/o disability",0)</f>
        <v>1</v>
      </c>
      <c r="F238" t="str">
        <f>_xlfn.XLOOKUP(PE_3[[#This Row],[STN]],SE_3[STN],SE_3[Ethnicity],"",0)</f>
        <v>White</v>
      </c>
    </row>
    <row r="239" spans="1:6" ht="14.45">
      <c r="A239" s="1">
        <v>815409100</v>
      </c>
      <c r="B239" s="6">
        <v>37724</v>
      </c>
      <c r="C239" s="19">
        <v>19.635865845311429</v>
      </c>
      <c r="D239" s="3"/>
      <c r="E239" t="b">
        <f>_xlfn.XLOOKUP(PE_3[[#This Row],[STN]],SE_3[STN],SE_3[IdeaEligibility],"w/o disability",0)</f>
        <v>1</v>
      </c>
      <c r="F239" t="str">
        <f>_xlfn.XLOOKUP(PE_3[[#This Row],[STN]],SE_3[STN],SE_3[Ethnicity],"",0)</f>
        <v>White</v>
      </c>
    </row>
    <row r="240" spans="1:6" ht="14.45">
      <c r="A240" s="1">
        <v>815412130</v>
      </c>
      <c r="B240" s="6">
        <v>41577</v>
      </c>
      <c r="C240" s="19">
        <v>9.0881708652792987</v>
      </c>
      <c r="D240" s="3"/>
      <c r="E240" t="b">
        <f>_xlfn.XLOOKUP(PE_3[[#This Row],[STN]],SE_3[STN],SE_3[IdeaEligibility],"w/o disability",0)</f>
        <v>1</v>
      </c>
      <c r="F240" t="str">
        <f>_xlfn.XLOOKUP(PE_3[[#This Row],[STN]],SE_3[STN],SE_3[Ethnicity],"",0)</f>
        <v>White</v>
      </c>
    </row>
    <row r="241" spans="1:6" ht="14.45">
      <c r="A241" s="1">
        <v>815412130</v>
      </c>
      <c r="B241" s="6">
        <v>40945</v>
      </c>
      <c r="C241" s="19">
        <v>10.816575410652066</v>
      </c>
      <c r="D241" s="3"/>
      <c r="E241" t="b">
        <f>_xlfn.XLOOKUP(PE_3[[#This Row],[STN]],SE_3[STN],SE_3[IdeaEligibility],"w/o disability",0)</f>
        <v>1</v>
      </c>
      <c r="F241" t="str">
        <f>_xlfn.XLOOKUP(PE_3[[#This Row],[STN]],SE_3[STN],SE_3[Ethnicity],"",0)</f>
        <v>White</v>
      </c>
    </row>
    <row r="242" spans="1:6" ht="14.45">
      <c r="A242" s="1">
        <v>820312021</v>
      </c>
      <c r="B242" s="6">
        <v>40172</v>
      </c>
      <c r="C242" s="19">
        <v>12.934871895169175</v>
      </c>
      <c r="D242" s="3"/>
      <c r="E242" t="b">
        <f>_xlfn.XLOOKUP(PE_3[[#This Row],[STN]],SE_3[STN],SE_3[IdeaEligibility],"w/o disability",0)</f>
        <v>1</v>
      </c>
      <c r="F242" t="str">
        <f>_xlfn.XLOOKUP(PE_3[[#This Row],[STN]],SE_3[STN],SE_3[Ethnicity],"",0)</f>
        <v>Black - African American</v>
      </c>
    </row>
    <row r="243" spans="1:6" ht="14.45">
      <c r="A243" s="1">
        <v>822517028</v>
      </c>
      <c r="B243" s="9">
        <v>38847</v>
      </c>
      <c r="C243" s="19">
        <v>16.561926236108874</v>
      </c>
      <c r="D243" s="3"/>
      <c r="E243" t="b">
        <f>_xlfn.XLOOKUP(PE_3[[#This Row],[STN]],SE_3[STN],SE_3[IdeaEligibility],"w/o disability",0)</f>
        <v>1</v>
      </c>
      <c r="F243" t="str">
        <f>_xlfn.XLOOKUP(PE_3[[#This Row],[STN]],SE_3[STN],SE_3[Ethnicity],"",0)</f>
        <v>White</v>
      </c>
    </row>
    <row r="244" spans="1:6" ht="14.45">
      <c r="A244" s="1">
        <v>822518006</v>
      </c>
      <c r="B244" s="6">
        <v>39172</v>
      </c>
      <c r="C244" s="19">
        <v>15.671457905544148</v>
      </c>
      <c r="D244" s="3"/>
      <c r="E244" t="b">
        <f>_xlfn.XLOOKUP(PE_3[[#This Row],[STN]],SE_3[STN],SE_3[IdeaEligibility],"w/o disability",0)</f>
        <v>1</v>
      </c>
      <c r="F244" t="str">
        <f>_xlfn.XLOOKUP(PE_3[[#This Row],[STN]],SE_3[STN],SE_3[Ethnicity],"",0)</f>
        <v>Hispanic Ethnicity and of any race</v>
      </c>
    </row>
    <row r="245" spans="1:6" ht="14.45">
      <c r="A245" s="1">
        <v>822911094</v>
      </c>
      <c r="B245" s="6">
        <v>39157</v>
      </c>
      <c r="C245" s="19">
        <v>15.71252566735113</v>
      </c>
      <c r="D245" s="3"/>
      <c r="E245" t="b">
        <f>_xlfn.XLOOKUP(PE_3[[#This Row],[STN]],SE_3[STN],SE_3[IdeaEligibility],"w/o disability",0)</f>
        <v>1</v>
      </c>
      <c r="F245" t="str">
        <f>_xlfn.XLOOKUP(PE_3[[#This Row],[STN]],SE_3[STN],SE_3[Ethnicity],"",0)</f>
        <v>Black - African American</v>
      </c>
    </row>
    <row r="246" spans="1:6" ht="14.45">
      <c r="A246" s="1">
        <v>539118048</v>
      </c>
      <c r="B246" s="6">
        <v>41889</v>
      </c>
      <c r="C246" s="19">
        <v>8.2333434742926688</v>
      </c>
      <c r="D246" s="3"/>
      <c r="E246" t="b">
        <f>_xlfn.XLOOKUP(PE_3[[#This Row],[STN]],SE_3[STN],SE_3[IdeaEligibility],"w/o disability",0)</f>
        <v>1</v>
      </c>
      <c r="F246" t="str">
        <f>_xlfn.XLOOKUP(PE_3[[#This Row],[STN]],SE_3[STN],SE_3[Ethnicity],"",0)</f>
        <v>White</v>
      </c>
    </row>
    <row r="247" spans="1:6" ht="14.45">
      <c r="A247" s="1">
        <v>539119024</v>
      </c>
      <c r="B247" s="6">
        <v>41617</v>
      </c>
      <c r="C247" s="19">
        <v>8.978641840087624</v>
      </c>
      <c r="D247" s="3"/>
      <c r="E247" t="b">
        <f>_xlfn.XLOOKUP(PE_3[[#This Row],[STN]],SE_3[STN],SE_3[IdeaEligibility],"w/o disability",0)</f>
        <v>1</v>
      </c>
      <c r="F247" t="str">
        <f>_xlfn.XLOOKUP(PE_3[[#This Row],[STN]],SE_3[STN],SE_3[Ethnicity],"",0)</f>
        <v>White</v>
      </c>
    </row>
    <row r="248" spans="1:6" ht="14.45">
      <c r="A248" s="1">
        <v>539120042</v>
      </c>
      <c r="B248" s="6">
        <v>38339</v>
      </c>
      <c r="C248" s="19">
        <v>17.951440922190201</v>
      </c>
      <c r="D248" s="3"/>
      <c r="E248" t="b">
        <f>_xlfn.XLOOKUP(PE_3[[#This Row],[STN]],SE_3[STN],SE_3[IdeaEligibility],"w/o disability",0)</f>
        <v>1</v>
      </c>
      <c r="F248" t="str">
        <f>_xlfn.XLOOKUP(PE_3[[#This Row],[STN]],SE_3[STN],SE_3[Ethnicity],"",0)</f>
        <v>White</v>
      </c>
    </row>
    <row r="249" spans="1:6" ht="14.45">
      <c r="A249" s="1">
        <v>539120042</v>
      </c>
      <c r="B249" s="6">
        <v>39883</v>
      </c>
      <c r="C249" s="19">
        <v>13.7261881478584</v>
      </c>
      <c r="D249" s="3"/>
      <c r="E249" t="b">
        <f>_xlfn.XLOOKUP(PE_3[[#This Row],[STN]],SE_3[STN],SE_3[IdeaEligibility],"w/o disability",0)</f>
        <v>1</v>
      </c>
      <c r="F249" t="str">
        <f>_xlfn.XLOOKUP(PE_3[[#This Row],[STN]],SE_3[STN],SE_3[Ethnicity],"",0)</f>
        <v>White</v>
      </c>
    </row>
    <row r="250" spans="1:6" ht="14.45">
      <c r="A250" s="1">
        <v>539120042</v>
      </c>
      <c r="B250" s="6">
        <v>42619</v>
      </c>
      <c r="C250" s="19">
        <v>6.2334767305436056</v>
      </c>
      <c r="D250" s="3"/>
      <c r="E250" t="b">
        <f>_xlfn.XLOOKUP(PE_3[[#This Row],[STN]],SE_3[STN],SE_3[IdeaEligibility],"w/o disability",0)</f>
        <v>1</v>
      </c>
      <c r="F250" t="str">
        <f>_xlfn.XLOOKUP(PE_3[[#This Row],[STN]],SE_3[STN],SE_3[Ethnicity],"",0)</f>
        <v>White</v>
      </c>
    </row>
    <row r="251" spans="1:6" ht="14.45">
      <c r="A251" s="1">
        <v>539120042</v>
      </c>
      <c r="B251" s="6">
        <v>39403</v>
      </c>
      <c r="C251" s="19">
        <v>15.039014373716633</v>
      </c>
      <c r="D251" s="3"/>
      <c r="E251" t="b">
        <f>_xlfn.XLOOKUP(PE_3[[#This Row],[STN]],SE_3[STN],SE_3[IdeaEligibility],"w/o disability",0)</f>
        <v>1</v>
      </c>
      <c r="F251" t="str">
        <f>_xlfn.XLOOKUP(PE_3[[#This Row],[STN]],SE_3[STN],SE_3[Ethnicity],"",0)</f>
        <v>White</v>
      </c>
    </row>
    <row r="252" spans="1:6" ht="14.45">
      <c r="A252" s="1">
        <v>651104304</v>
      </c>
      <c r="B252" s="6">
        <v>39128</v>
      </c>
      <c r="C252" s="19">
        <v>15.791923340177961</v>
      </c>
      <c r="D252" s="3"/>
      <c r="E252" t="b">
        <f>_xlfn.XLOOKUP(PE_3[[#This Row],[STN]],SE_3[STN],SE_3[IdeaEligibility],"w/o disability",0)</f>
        <v>1</v>
      </c>
      <c r="F252" t="str">
        <f>_xlfn.XLOOKUP(PE_3[[#This Row],[STN]],SE_3[STN],SE_3[Ethnicity],"",0)</f>
        <v>Multiracial (two or more races)</v>
      </c>
    </row>
    <row r="253" spans="1:6" ht="14.45">
      <c r="A253" s="1">
        <v>651104304</v>
      </c>
      <c r="B253" s="6">
        <v>41327</v>
      </c>
      <c r="C253" s="19">
        <v>9.7727272727272734</v>
      </c>
      <c r="D253" s="3"/>
      <c r="E253" t="b">
        <f>_xlfn.XLOOKUP(PE_3[[#This Row],[STN]],SE_3[STN],SE_3[IdeaEligibility],"w/o disability",0)</f>
        <v>1</v>
      </c>
      <c r="F253" t="str">
        <f>_xlfn.XLOOKUP(PE_3[[#This Row],[STN]],SE_3[STN],SE_3[Ethnicity],"",0)</f>
        <v>Multiracial (two or more races)</v>
      </c>
    </row>
    <row r="254" spans="1:6" ht="14.45">
      <c r="A254" s="1">
        <v>651104348</v>
      </c>
      <c r="B254" s="9">
        <v>42880</v>
      </c>
      <c r="C254" s="19">
        <v>5.5207667731629391</v>
      </c>
      <c r="D254" s="3"/>
      <c r="E254" t="b">
        <f>_xlfn.XLOOKUP(PE_3[[#This Row],[STN]],SE_3[STN],SE_3[IdeaEligibility],"w/o disability",0)</f>
        <v>1</v>
      </c>
      <c r="F254" t="str">
        <f>_xlfn.XLOOKUP(PE_3[[#This Row],[STN]],SE_3[STN],SE_3[Ethnicity],"",0)</f>
        <v>White</v>
      </c>
    </row>
    <row r="255" spans="1:6" ht="14.45">
      <c r="A255" s="1">
        <v>651104348</v>
      </c>
      <c r="B255" s="9">
        <v>38127</v>
      </c>
      <c r="C255" s="19">
        <v>18.531844380403459</v>
      </c>
      <c r="D255" s="3"/>
      <c r="E255" t="b">
        <f>_xlfn.XLOOKUP(PE_3[[#This Row],[STN]],SE_3[STN],SE_3[IdeaEligibility],"w/o disability",0)</f>
        <v>1</v>
      </c>
      <c r="F255" t="str">
        <f>_xlfn.XLOOKUP(PE_3[[#This Row],[STN]],SE_3[STN],SE_3[Ethnicity],"",0)</f>
        <v>White</v>
      </c>
    </row>
    <row r="256" spans="1:6" ht="14.45">
      <c r="A256" s="1">
        <v>651105002</v>
      </c>
      <c r="B256" s="6">
        <v>39387</v>
      </c>
      <c r="C256" s="19">
        <v>15.082819986310746</v>
      </c>
      <c r="D256" s="3"/>
      <c r="E256" t="b">
        <f>_xlfn.XLOOKUP(PE_3[[#This Row],[STN]],SE_3[STN],SE_3[IdeaEligibility],"w/o disability",0)</f>
        <v>1</v>
      </c>
      <c r="F256" t="str">
        <f>_xlfn.XLOOKUP(PE_3[[#This Row],[STN]],SE_3[STN],SE_3[Ethnicity],"",0)</f>
        <v>White</v>
      </c>
    </row>
    <row r="257" spans="1:6" ht="14.45">
      <c r="A257" s="1">
        <v>810317123</v>
      </c>
      <c r="B257" s="6">
        <v>40016</v>
      </c>
      <c r="C257" s="19">
        <v>13.362018384510073</v>
      </c>
      <c r="D257" s="3"/>
      <c r="E257" t="b">
        <f>_xlfn.XLOOKUP(PE_3[[#This Row],[STN]],SE_3[STN],SE_3[IdeaEligibility],"w/o disability",0)</f>
        <v>1</v>
      </c>
      <c r="F257" t="str">
        <f>_xlfn.XLOOKUP(PE_3[[#This Row],[STN]],SE_3[STN],SE_3[Ethnicity],"",0)</f>
        <v>Multiracial (two or more races)</v>
      </c>
    </row>
    <row r="258" spans="1:6" ht="14.45">
      <c r="A258" s="1">
        <v>810317123</v>
      </c>
      <c r="B258" s="6">
        <v>38448</v>
      </c>
      <c r="C258" s="19">
        <v>17.655004563431699</v>
      </c>
      <c r="D258" s="3"/>
      <c r="E258" t="b">
        <f>_xlfn.XLOOKUP(PE_3[[#This Row],[STN]],SE_3[STN],SE_3[IdeaEligibility],"w/o disability",0)</f>
        <v>1</v>
      </c>
      <c r="F258" t="str">
        <f>_xlfn.XLOOKUP(PE_3[[#This Row],[STN]],SE_3[STN],SE_3[Ethnicity],"",0)</f>
        <v>Multiracial (two or more races)</v>
      </c>
    </row>
    <row r="259" spans="1:6" ht="14.45">
      <c r="A259" s="1">
        <v>919611217</v>
      </c>
      <c r="B259" s="6">
        <v>38403</v>
      </c>
      <c r="C259" s="19">
        <v>17.778217219348949</v>
      </c>
      <c r="D259" s="3"/>
      <c r="E259" t="b">
        <f>_xlfn.XLOOKUP(PE_3[[#This Row],[STN]],SE_3[STN],SE_3[IdeaEligibility],"w/o disability",0)</f>
        <v>1</v>
      </c>
      <c r="F259" t="str">
        <f>_xlfn.XLOOKUP(PE_3[[#This Row],[STN]],SE_3[STN],SE_3[Ethnicity],"",0)</f>
        <v>White</v>
      </c>
    </row>
    <row r="260" spans="1:6" ht="14.45">
      <c r="A260" s="1">
        <v>919617045</v>
      </c>
      <c r="B260" s="6">
        <v>41984</v>
      </c>
      <c r="C260" s="19">
        <v>7.9732278673562513</v>
      </c>
      <c r="D260" s="3"/>
      <c r="E260" t="b">
        <f>_xlfn.XLOOKUP(PE_3[[#This Row],[STN]],SE_3[STN],SE_3[IdeaEligibility],"w/o disability",0)</f>
        <v>1</v>
      </c>
      <c r="F260" t="str">
        <f>_xlfn.XLOOKUP(PE_3[[#This Row],[STN]],SE_3[STN],SE_3[Ethnicity],"",0)</f>
        <v>Black - African American</v>
      </c>
    </row>
    <row r="261" spans="1:6" ht="14.45">
      <c r="A261" s="1">
        <v>810513037</v>
      </c>
      <c r="B261" s="6">
        <v>38053</v>
      </c>
      <c r="C261" s="19">
        <v>18.734438040345822</v>
      </c>
      <c r="D261" s="3"/>
      <c r="E261" t="b">
        <f>_xlfn.XLOOKUP(PE_3[[#This Row],[STN]],SE_3[STN],SE_3[IdeaEligibility],"w/o disability",0)</f>
        <v>1</v>
      </c>
      <c r="F261" t="str">
        <f>_xlfn.XLOOKUP(PE_3[[#This Row],[STN]],SE_3[STN],SE_3[Ethnicity],"",0)</f>
        <v>Black - African American</v>
      </c>
    </row>
    <row r="262" spans="1:6" ht="14.45">
      <c r="A262" s="1">
        <v>810513037</v>
      </c>
      <c r="B262" s="6">
        <v>41593</v>
      </c>
      <c r="C262" s="19">
        <v>9.0443592552026288</v>
      </c>
      <c r="D262" s="3"/>
      <c r="E262" t="b">
        <f>_xlfn.XLOOKUP(PE_3[[#This Row],[STN]],SE_3[STN],SE_3[IdeaEligibility],"w/o disability",0)</f>
        <v>1</v>
      </c>
      <c r="F262" t="str">
        <f>_xlfn.XLOOKUP(PE_3[[#This Row],[STN]],SE_3[STN],SE_3[Ethnicity],"",0)</f>
        <v>Black - African American</v>
      </c>
    </row>
    <row r="263" spans="1:6" ht="14.45">
      <c r="A263" s="1">
        <v>810513037</v>
      </c>
      <c r="B263" s="6">
        <v>42623</v>
      </c>
      <c r="C263" s="19">
        <v>6.2225263981228007</v>
      </c>
      <c r="D263" s="3"/>
      <c r="E263" t="b">
        <f>_xlfn.XLOOKUP(PE_3[[#This Row],[STN]],SE_3[STN],SE_3[IdeaEligibility],"w/o disability",0)</f>
        <v>1</v>
      </c>
      <c r="F263" t="str">
        <f>_xlfn.XLOOKUP(PE_3[[#This Row],[STN]],SE_3[STN],SE_3[Ethnicity],"",0)</f>
        <v>Black - African American</v>
      </c>
    </row>
    <row r="264" spans="1:6" ht="14.45">
      <c r="A264" s="1">
        <v>810513040</v>
      </c>
      <c r="B264" s="6">
        <v>39486</v>
      </c>
      <c r="C264" s="19">
        <v>14.811096915495529</v>
      </c>
      <c r="D264" s="3"/>
      <c r="E264" t="b">
        <f>_xlfn.XLOOKUP(PE_3[[#This Row],[STN]],SE_3[STN],SE_3[IdeaEligibility],"w/o disability",0)</f>
        <v>1</v>
      </c>
      <c r="F264" t="str">
        <f>_xlfn.XLOOKUP(PE_3[[#This Row],[STN]],SE_3[STN],SE_3[Ethnicity],"",0)</f>
        <v>White</v>
      </c>
    </row>
    <row r="265" spans="1:6" ht="14.45">
      <c r="A265" s="1">
        <v>810821044</v>
      </c>
      <c r="B265" s="6">
        <v>42824</v>
      </c>
      <c r="C265" s="19">
        <v>5.6741214057507987</v>
      </c>
      <c r="D265" s="3"/>
      <c r="E265" t="b">
        <f>_xlfn.XLOOKUP(PE_3[[#This Row],[STN]],SE_3[STN],SE_3[IdeaEligibility],"w/o disability",0)</f>
        <v>1</v>
      </c>
      <c r="F265" t="str">
        <f>_xlfn.XLOOKUP(PE_3[[#This Row],[STN]],SE_3[STN],SE_3[Ethnicity],"",0)</f>
        <v>White</v>
      </c>
    </row>
    <row r="266" spans="1:6" ht="14.45">
      <c r="A266" s="1">
        <v>811111012</v>
      </c>
      <c r="B266" s="6">
        <v>42321</v>
      </c>
      <c r="C266" s="19">
        <v>7.0499657768651609</v>
      </c>
      <c r="D266" s="3"/>
      <c r="E266" t="b">
        <f>_xlfn.XLOOKUP(PE_3[[#This Row],[STN]],SE_3[STN],SE_3[IdeaEligibility],"w/o disability",0)</f>
        <v>1</v>
      </c>
      <c r="F266" t="str">
        <f>_xlfn.XLOOKUP(PE_3[[#This Row],[STN]],SE_3[STN],SE_3[Ethnicity],"",0)</f>
        <v>White</v>
      </c>
    </row>
    <row r="267" spans="1:6" ht="14.45">
      <c r="A267" s="1">
        <v>811710088</v>
      </c>
      <c r="B267" s="6">
        <v>42062</v>
      </c>
      <c r="C267" s="19">
        <v>7.7590691307323754</v>
      </c>
      <c r="D267" s="3"/>
      <c r="E267" t="b">
        <f>_xlfn.XLOOKUP(PE_3[[#This Row],[STN]],SE_3[STN],SE_3[IdeaEligibility],"w/o disability",0)</f>
        <v>1</v>
      </c>
      <c r="F267" t="str">
        <f>_xlfn.XLOOKUP(PE_3[[#This Row],[STN]],SE_3[STN],SE_3[Ethnicity],"",0)</f>
        <v>White</v>
      </c>
    </row>
    <row r="268" spans="1:6" ht="14.45">
      <c r="A268" s="1">
        <v>811710922</v>
      </c>
      <c r="B268" s="6">
        <v>39463</v>
      </c>
      <c r="C268" s="19">
        <v>14.874064610330352</v>
      </c>
      <c r="D268" s="3"/>
      <c r="E268" t="b">
        <f>_xlfn.XLOOKUP(PE_3[[#This Row],[STN]],SE_3[STN],SE_3[IdeaEligibility],"w/o disability",0)</f>
        <v>1</v>
      </c>
      <c r="F268" t="str">
        <f>_xlfn.XLOOKUP(PE_3[[#This Row],[STN]],SE_3[STN],SE_3[Ethnicity],"",0)</f>
        <v>White</v>
      </c>
    </row>
    <row r="269" spans="1:6" ht="14.45">
      <c r="A269" s="1">
        <v>811710922</v>
      </c>
      <c r="B269" s="6">
        <v>40361</v>
      </c>
      <c r="C269" s="19">
        <v>12.416807076663858</v>
      </c>
      <c r="D269" s="3"/>
      <c r="E269" t="b">
        <f>_xlfn.XLOOKUP(PE_3[[#This Row],[STN]],SE_3[STN],SE_3[IdeaEligibility],"w/o disability",0)</f>
        <v>1</v>
      </c>
      <c r="F269" t="str">
        <f>_xlfn.XLOOKUP(PE_3[[#This Row],[STN]],SE_3[STN],SE_3[Ethnicity],"",0)</f>
        <v>White</v>
      </c>
    </row>
    <row r="270" spans="1:6" ht="14.45">
      <c r="A270" s="1">
        <v>811710922</v>
      </c>
      <c r="B270" s="9">
        <v>42499</v>
      </c>
      <c r="C270" s="19">
        <v>6.5619867031677748</v>
      </c>
      <c r="D270" s="3"/>
      <c r="E270" t="b">
        <f>_xlfn.XLOOKUP(PE_3[[#This Row],[STN]],SE_3[STN],SE_3[IdeaEligibility],"w/o disability",0)</f>
        <v>1</v>
      </c>
      <c r="F270" t="str">
        <f>_xlfn.XLOOKUP(PE_3[[#This Row],[STN]],SE_3[STN],SE_3[Ethnicity],"",0)</f>
        <v>White</v>
      </c>
    </row>
    <row r="271" spans="1:6" ht="14.45">
      <c r="A271" s="1">
        <v>811710922</v>
      </c>
      <c r="B271" s="6">
        <v>41340</v>
      </c>
      <c r="C271" s="19">
        <v>9.7371303395399789</v>
      </c>
      <c r="D271" s="3"/>
      <c r="E271" t="b">
        <f>_xlfn.XLOOKUP(PE_3[[#This Row],[STN]],SE_3[STN],SE_3[IdeaEligibility],"w/o disability",0)</f>
        <v>1</v>
      </c>
      <c r="F271" t="str">
        <f>_xlfn.XLOOKUP(PE_3[[#This Row],[STN]],SE_3[STN],SE_3[Ethnicity],"",0)</f>
        <v>White</v>
      </c>
    </row>
    <row r="272" spans="1:6" ht="14.45">
      <c r="A272" s="1">
        <v>811711060</v>
      </c>
      <c r="B272" s="6">
        <v>42667</v>
      </c>
      <c r="C272" s="19">
        <v>6.102072741493938</v>
      </c>
      <c r="D272" s="3"/>
      <c r="E272" t="b">
        <f>_xlfn.XLOOKUP(PE_3[[#This Row],[STN]],SE_3[STN],SE_3[IdeaEligibility],"w/o disability",0)</f>
        <v>1</v>
      </c>
      <c r="F272" t="str">
        <f>_xlfn.XLOOKUP(PE_3[[#This Row],[STN]],SE_3[STN],SE_3[Ethnicity],"",0)</f>
        <v>White</v>
      </c>
    </row>
    <row r="273" spans="1:6" ht="14.45">
      <c r="A273" s="1">
        <v>811711090</v>
      </c>
      <c r="B273" s="6">
        <v>42219</v>
      </c>
      <c r="C273" s="19">
        <v>7.3292265571526354</v>
      </c>
      <c r="D273" s="3"/>
      <c r="E273" t="b">
        <f>_xlfn.XLOOKUP(PE_3[[#This Row],[STN]],SE_3[STN],SE_3[IdeaEligibility],"w/o disability",0)</f>
        <v>1</v>
      </c>
      <c r="F273" t="str">
        <f>_xlfn.XLOOKUP(PE_3[[#This Row],[STN]],SE_3[STN],SE_3[Ethnicity],"",0)</f>
        <v>White</v>
      </c>
    </row>
    <row r="274" spans="1:6" ht="14.45">
      <c r="A274" s="1">
        <v>811711090</v>
      </c>
      <c r="B274" s="6">
        <v>39710</v>
      </c>
      <c r="C274" s="19">
        <v>14.197846322321592</v>
      </c>
      <c r="D274" s="3"/>
      <c r="E274" t="b">
        <f>_xlfn.XLOOKUP(PE_3[[#This Row],[STN]],SE_3[STN],SE_3[IdeaEligibility],"w/o disability",0)</f>
        <v>1</v>
      </c>
      <c r="F274" t="str">
        <f>_xlfn.XLOOKUP(PE_3[[#This Row],[STN]],SE_3[STN],SE_3[Ethnicity],"",0)</f>
        <v>White</v>
      </c>
    </row>
    <row r="275" spans="1:6" ht="14.45">
      <c r="A275" s="1">
        <v>811711090</v>
      </c>
      <c r="B275" s="6">
        <v>39020</v>
      </c>
      <c r="C275" s="19">
        <v>16.088258978901592</v>
      </c>
      <c r="D275" s="3"/>
      <c r="E275" t="b">
        <f>_xlfn.XLOOKUP(PE_3[[#This Row],[STN]],SE_3[STN],SE_3[IdeaEligibility],"w/o disability",0)</f>
        <v>1</v>
      </c>
      <c r="F275" t="str">
        <f>_xlfn.XLOOKUP(PE_3[[#This Row],[STN]],SE_3[STN],SE_3[Ethnicity],"",0)</f>
        <v>White</v>
      </c>
    </row>
    <row r="276" spans="1:6" ht="14.45">
      <c r="A276" s="1">
        <v>811711090</v>
      </c>
      <c r="B276" s="6">
        <v>40661</v>
      </c>
      <c r="C276" s="19">
        <v>11.594798083504449</v>
      </c>
      <c r="D276" s="3"/>
      <c r="E276" t="b">
        <f>_xlfn.XLOOKUP(PE_3[[#This Row],[STN]],SE_3[STN],SE_3[IdeaEligibility],"w/o disability",0)</f>
        <v>1</v>
      </c>
      <c r="F276" t="str">
        <f>_xlfn.XLOOKUP(PE_3[[#This Row],[STN]],SE_3[STN],SE_3[Ethnicity],"",0)</f>
        <v>White</v>
      </c>
    </row>
    <row r="277" spans="1:6" ht="14.45">
      <c r="A277" s="1">
        <v>811711090</v>
      </c>
      <c r="B277" s="6">
        <v>42424</v>
      </c>
      <c r="C277" s="19">
        <v>6.7673054360578808</v>
      </c>
      <c r="D277" s="3"/>
      <c r="E277" t="b">
        <f>_xlfn.XLOOKUP(PE_3[[#This Row],[STN]],SE_3[STN],SE_3[IdeaEligibility],"w/o disability",0)</f>
        <v>1</v>
      </c>
      <c r="F277" t="str">
        <f>_xlfn.XLOOKUP(PE_3[[#This Row],[STN]],SE_3[STN],SE_3[Ethnicity],"",0)</f>
        <v>White</v>
      </c>
    </row>
    <row r="278" spans="1:6" ht="14.45">
      <c r="A278" s="1">
        <v>811711090</v>
      </c>
      <c r="B278" s="6">
        <v>38254</v>
      </c>
      <c r="C278" s="19">
        <v>18.184149855907783</v>
      </c>
      <c r="D278" s="3"/>
      <c r="E278" t="b">
        <f>_xlfn.XLOOKUP(PE_3[[#This Row],[STN]],SE_3[STN],SE_3[IdeaEligibility],"w/o disability",0)</f>
        <v>1</v>
      </c>
      <c r="F278" t="str">
        <f>_xlfn.XLOOKUP(PE_3[[#This Row],[STN]],SE_3[STN],SE_3[Ethnicity],"",0)</f>
        <v>White</v>
      </c>
    </row>
    <row r="279" spans="1:6" ht="14.45">
      <c r="A279" s="1">
        <v>811711090</v>
      </c>
      <c r="B279" s="6">
        <v>41865</v>
      </c>
      <c r="C279" s="19">
        <v>8.299056890781868</v>
      </c>
      <c r="D279" s="3"/>
      <c r="E279" t="b">
        <f>_xlfn.XLOOKUP(PE_3[[#This Row],[STN]],SE_3[STN],SE_3[IdeaEligibility],"w/o disability",0)</f>
        <v>1</v>
      </c>
      <c r="F279" t="str">
        <f>_xlfn.XLOOKUP(PE_3[[#This Row],[STN]],SE_3[STN],SE_3[Ethnicity],"",0)</f>
        <v>White</v>
      </c>
    </row>
    <row r="280" spans="1:6" ht="14.45">
      <c r="A280" s="1">
        <v>811711090</v>
      </c>
      <c r="B280" s="9">
        <v>40316</v>
      </c>
      <c r="C280" s="19">
        <v>12.540016849199663</v>
      </c>
      <c r="D280" s="3"/>
      <c r="E280" t="b">
        <f>_xlfn.XLOOKUP(PE_3[[#This Row],[STN]],SE_3[STN],SE_3[IdeaEligibility],"w/o disability",0)</f>
        <v>1</v>
      </c>
      <c r="F280" t="str">
        <f>_xlfn.XLOOKUP(PE_3[[#This Row],[STN]],SE_3[STN],SE_3[Ethnicity],"",0)</f>
        <v>White</v>
      </c>
    </row>
    <row r="281" spans="1:6" ht="14.45">
      <c r="A281" s="1">
        <v>811711153</v>
      </c>
      <c r="B281" s="6">
        <v>38774</v>
      </c>
      <c r="C281" s="19">
        <v>16.761797390884201</v>
      </c>
      <c r="D281" s="3"/>
      <c r="E281" t="b">
        <f>_xlfn.XLOOKUP(PE_3[[#This Row],[STN]],SE_3[STN],SE_3[IdeaEligibility],"w/o disability",0)</f>
        <v>1</v>
      </c>
      <c r="F281" t="str">
        <f>_xlfn.XLOOKUP(PE_3[[#This Row],[STN]],SE_3[STN],SE_3[Ethnicity],"",0)</f>
        <v>White</v>
      </c>
    </row>
    <row r="282" spans="1:6" ht="14.45">
      <c r="A282" s="1">
        <v>811711165</v>
      </c>
      <c r="B282" s="6">
        <v>39465</v>
      </c>
      <c r="C282" s="19">
        <v>14.868589158605586</v>
      </c>
      <c r="D282" s="3"/>
      <c r="E282" t="b">
        <f>_xlfn.XLOOKUP(PE_3[[#This Row],[STN]],SE_3[STN],SE_3[IdeaEligibility],"w/o disability",0)</f>
        <v>1</v>
      </c>
      <c r="F282" t="str">
        <f>_xlfn.XLOOKUP(PE_3[[#This Row],[STN]],SE_3[STN],SE_3[Ethnicity],"",0)</f>
        <v>White</v>
      </c>
    </row>
    <row r="283" spans="1:6" ht="14.45">
      <c r="A283" s="1">
        <v>811711165</v>
      </c>
      <c r="B283" s="6">
        <v>38688</v>
      </c>
      <c r="C283" s="19">
        <v>16.997870398539703</v>
      </c>
      <c r="D283" s="3"/>
      <c r="E283" t="b">
        <f>_xlfn.XLOOKUP(PE_3[[#This Row],[STN]],SE_3[STN],SE_3[IdeaEligibility],"w/o disability",0)</f>
        <v>1</v>
      </c>
      <c r="F283" t="str">
        <f>_xlfn.XLOOKUP(PE_3[[#This Row],[STN]],SE_3[STN],SE_3[Ethnicity],"",0)</f>
        <v>White</v>
      </c>
    </row>
    <row r="284" spans="1:6" ht="14.45">
      <c r="A284" s="1">
        <v>811711165</v>
      </c>
      <c r="B284" s="6">
        <v>40883</v>
      </c>
      <c r="C284" s="19">
        <v>10.986995208761122</v>
      </c>
      <c r="D284" s="3"/>
      <c r="E284" t="b">
        <f>_xlfn.XLOOKUP(PE_3[[#This Row],[STN]],SE_3[STN],SE_3[IdeaEligibility],"w/o disability",0)</f>
        <v>1</v>
      </c>
      <c r="F284" t="str">
        <f>_xlfn.XLOOKUP(PE_3[[#This Row],[STN]],SE_3[STN],SE_3[Ethnicity],"",0)</f>
        <v>White</v>
      </c>
    </row>
    <row r="285" spans="1:6" ht="14.45">
      <c r="A285" s="1">
        <v>811711165</v>
      </c>
      <c r="B285" s="6">
        <v>42909</v>
      </c>
      <c r="C285" s="19">
        <v>5.4413509812870835</v>
      </c>
      <c r="D285" s="3"/>
      <c r="E285" t="b">
        <f>_xlfn.XLOOKUP(PE_3[[#This Row],[STN]],SE_3[STN],SE_3[IdeaEligibility],"w/o disability",0)</f>
        <v>1</v>
      </c>
      <c r="F285" t="str">
        <f>_xlfn.XLOOKUP(PE_3[[#This Row],[STN]],SE_3[STN],SE_3[Ethnicity],"",0)</f>
        <v>White</v>
      </c>
    </row>
    <row r="286" spans="1:6" ht="14.45">
      <c r="A286" s="1">
        <v>811711165</v>
      </c>
      <c r="B286" s="6">
        <v>38562</v>
      </c>
      <c r="C286" s="19">
        <v>17.342865835108</v>
      </c>
      <c r="D286" s="3"/>
      <c r="E286" t="b">
        <f>_xlfn.XLOOKUP(PE_3[[#This Row],[STN]],SE_3[STN],SE_3[IdeaEligibility],"w/o disability",0)</f>
        <v>1</v>
      </c>
      <c r="F286" t="str">
        <f>_xlfn.XLOOKUP(PE_3[[#This Row],[STN]],SE_3[STN],SE_3[Ethnicity],"",0)</f>
        <v>White</v>
      </c>
    </row>
    <row r="287" spans="1:6" ht="14.45">
      <c r="A287" s="1">
        <v>811711165</v>
      </c>
      <c r="B287" s="6">
        <v>41689</v>
      </c>
      <c r="C287" s="19">
        <v>8.7809552783693334</v>
      </c>
      <c r="D287" s="3"/>
      <c r="E287" t="b">
        <f>_xlfn.XLOOKUP(PE_3[[#This Row],[STN]],SE_3[STN],SE_3[IdeaEligibility],"w/o disability",0)</f>
        <v>1</v>
      </c>
      <c r="F287" t="str">
        <f>_xlfn.XLOOKUP(PE_3[[#This Row],[STN]],SE_3[STN],SE_3[Ethnicity],"",0)</f>
        <v>White</v>
      </c>
    </row>
    <row r="288" spans="1:6" ht="14.45">
      <c r="A288" s="1">
        <v>811711165</v>
      </c>
      <c r="B288" s="6">
        <v>41801</v>
      </c>
      <c r="C288" s="19">
        <v>8.4742926680864006</v>
      </c>
      <c r="D288" s="3"/>
      <c r="E288" t="b">
        <f>_xlfn.XLOOKUP(PE_3[[#This Row],[STN]],SE_3[STN],SE_3[IdeaEligibility],"w/o disability",0)</f>
        <v>1</v>
      </c>
      <c r="F288" t="str">
        <f>_xlfn.XLOOKUP(PE_3[[#This Row],[STN]],SE_3[STN],SE_3[Ethnicity],"",0)</f>
        <v>White</v>
      </c>
    </row>
    <row r="289" spans="1:6" ht="14.45">
      <c r="A289" s="1">
        <v>811711165</v>
      </c>
      <c r="B289" s="9">
        <v>38500</v>
      </c>
      <c r="C289" s="19">
        <v>17.512625494371768</v>
      </c>
      <c r="D289" s="3"/>
      <c r="E289" t="b">
        <f>_xlfn.XLOOKUP(PE_3[[#This Row],[STN]],SE_3[STN],SE_3[IdeaEligibility],"w/o disability",0)</f>
        <v>1</v>
      </c>
      <c r="F289" t="str">
        <f>_xlfn.XLOOKUP(PE_3[[#This Row],[STN]],SE_3[STN],SE_3[Ethnicity],"",0)</f>
        <v>White</v>
      </c>
    </row>
    <row r="290" spans="1:6" ht="14.45">
      <c r="A290" s="1">
        <v>811711165</v>
      </c>
      <c r="B290" s="6">
        <v>41850</v>
      </c>
      <c r="C290" s="19">
        <v>8.340127776087618</v>
      </c>
      <c r="D290" s="3"/>
      <c r="E290" t="b">
        <f>_xlfn.XLOOKUP(PE_3[[#This Row],[STN]],SE_3[STN],SE_3[IdeaEligibility],"w/o disability",0)</f>
        <v>1</v>
      </c>
      <c r="F290" t="str">
        <f>_xlfn.XLOOKUP(PE_3[[#This Row],[STN]],SE_3[STN],SE_3[Ethnicity],"",0)</f>
        <v>White</v>
      </c>
    </row>
    <row r="291" spans="1:6" ht="14.45">
      <c r="A291" s="1">
        <v>811713015</v>
      </c>
      <c r="B291" s="6">
        <v>42489</v>
      </c>
      <c r="C291" s="19">
        <v>6.5893625342197888</v>
      </c>
      <c r="D291" s="3"/>
      <c r="E291" t="b">
        <f>_xlfn.XLOOKUP(PE_3[[#This Row],[STN]],SE_3[STN],SE_3[IdeaEligibility],"w/o disability",0)</f>
        <v>1</v>
      </c>
      <c r="F291" t="str">
        <f>_xlfn.XLOOKUP(PE_3[[#This Row],[STN]],SE_3[STN],SE_3[Ethnicity],"",0)</f>
        <v>White</v>
      </c>
    </row>
    <row r="292" spans="1:6" ht="14.45">
      <c r="A292" s="1">
        <v>811713015</v>
      </c>
      <c r="B292" s="6">
        <v>42429</v>
      </c>
      <c r="C292" s="19">
        <v>6.7536175205318738</v>
      </c>
      <c r="D292" s="3"/>
      <c r="E292" t="b">
        <f>_xlfn.XLOOKUP(PE_3[[#This Row],[STN]],SE_3[STN],SE_3[IdeaEligibility],"w/o disability",0)</f>
        <v>1</v>
      </c>
      <c r="F292" t="str">
        <f>_xlfn.XLOOKUP(PE_3[[#This Row],[STN]],SE_3[STN],SE_3[Ethnicity],"",0)</f>
        <v>White</v>
      </c>
    </row>
    <row r="293" spans="1:6" ht="14.45">
      <c r="A293" s="1">
        <v>811713028</v>
      </c>
      <c r="B293" s="6">
        <v>39374</v>
      </c>
      <c r="C293" s="19">
        <v>15.118412046543463</v>
      </c>
      <c r="D293" s="3"/>
      <c r="E293" t="b">
        <f>_xlfn.XLOOKUP(PE_3[[#This Row],[STN]],SE_3[STN],SE_3[IdeaEligibility],"w/o disability",0)</f>
        <v>1</v>
      </c>
      <c r="F293" t="str">
        <f>_xlfn.XLOOKUP(PE_3[[#This Row],[STN]],SE_3[STN],SE_3[Ethnicity],"",0)</f>
        <v>White</v>
      </c>
    </row>
    <row r="294" spans="1:6" ht="13.9">
      <c r="A294" s="3">
        <v>13611507</v>
      </c>
      <c r="B294" s="6">
        <v>41717</v>
      </c>
      <c r="C294" s="19">
        <v>8.7042896257985998</v>
      </c>
      <c r="D294" s="3"/>
      <c r="E294" t="str">
        <f>_xlfn.XLOOKUP(PE_3[[#This Row],[STN]],SE_3[STN],SE_3[IdeaEligibility],"w/o disability",0)</f>
        <v>w/o disability</v>
      </c>
      <c r="F294" t="str">
        <f>_xlfn.XLOOKUP(PE_3[[#This Row],[STN]],SE_3[STN],SE_3[Ethnicity],"",0)</f>
        <v/>
      </c>
    </row>
    <row r="295" spans="1:6" ht="13.9">
      <c r="A295" s="3">
        <v>31711110</v>
      </c>
      <c r="B295" s="10">
        <v>38923</v>
      </c>
      <c r="C295" s="19">
        <v>16.353841198260589</v>
      </c>
      <c r="D295" s="3"/>
      <c r="E295" t="str">
        <f>_xlfn.XLOOKUP(PE_3[[#This Row],[STN]],SE_3[STN],SE_3[IdeaEligibility],"w/o disability",0)</f>
        <v>w/o disability</v>
      </c>
      <c r="F295" t="str">
        <f>_xlfn.XLOOKUP(PE_3[[#This Row],[STN]],SE_3[STN],SE_3[Ethnicity],"",0)</f>
        <v/>
      </c>
    </row>
    <row r="296" spans="1:6" ht="13.9">
      <c r="A296" s="3">
        <v>13611503</v>
      </c>
      <c r="B296" s="10">
        <v>38370</v>
      </c>
      <c r="C296" s="19">
        <v>17.868573167021601</v>
      </c>
      <c r="D296" s="3"/>
      <c r="E296" t="str">
        <f>_xlfn.XLOOKUP(PE_3[[#This Row],[STN]],SE_3[STN],SE_3[IdeaEligibility],"w/o disability",0)</f>
        <v>w/o disability</v>
      </c>
      <c r="F296" t="str">
        <f>_xlfn.XLOOKUP(PE_3[[#This Row],[STN]],SE_3[STN],SE_3[Ethnicity],"",0)</f>
        <v/>
      </c>
    </row>
    <row r="297" spans="1:6" ht="13.9">
      <c r="A297" s="3">
        <v>13611508</v>
      </c>
      <c r="B297" s="10">
        <v>38533</v>
      </c>
      <c r="C297" s="19">
        <v>17.422269546699116</v>
      </c>
      <c r="D297" s="3"/>
      <c r="E297" t="str">
        <f>_xlfn.XLOOKUP(PE_3[[#This Row],[STN]],SE_3[STN],SE_3[IdeaEligibility],"w/o disability",0)</f>
        <v>w/o disability</v>
      </c>
      <c r="F297" t="str">
        <f>_xlfn.XLOOKUP(PE_3[[#This Row],[STN]],SE_3[STN],SE_3[Ethnicity],"",0)</f>
        <v/>
      </c>
    </row>
    <row r="298" spans="1:6" ht="13.9">
      <c r="A298" s="3">
        <v>31812728</v>
      </c>
      <c r="B298" s="10">
        <v>39481</v>
      </c>
      <c r="C298" s="19">
        <v>14.824785544807447</v>
      </c>
      <c r="D298" s="3"/>
      <c r="E298" t="str">
        <f>_xlfn.XLOOKUP(PE_3[[#This Row],[STN]],SE_3[STN],SE_3[IdeaEligibility],"w/o disability",0)</f>
        <v>w/o disability</v>
      </c>
      <c r="F298" t="str">
        <f>_xlfn.XLOOKUP(PE_3[[#This Row],[STN]],SE_3[STN],SE_3[Ethnicity],"",0)</f>
        <v/>
      </c>
    </row>
    <row r="299" spans="1:6" ht="13.9">
      <c r="A299" s="3">
        <v>13611511</v>
      </c>
      <c r="B299" s="10">
        <v>38518</v>
      </c>
      <c r="C299" s="19">
        <v>17.463340432004866</v>
      </c>
      <c r="D299" s="3"/>
      <c r="E299" t="str">
        <f>_xlfn.XLOOKUP(PE_3[[#This Row],[STN]],SE_3[STN],SE_3[IdeaEligibility],"w/o disability",0)</f>
        <v>w/o disability</v>
      </c>
      <c r="F299" t="str">
        <f>_xlfn.XLOOKUP(PE_3[[#This Row],[STN]],SE_3[STN],SE_3[Ethnicity],"",0)</f>
        <v/>
      </c>
    </row>
    <row r="300" spans="1:6" ht="13.9">
      <c r="A300" s="3">
        <v>14911522</v>
      </c>
      <c r="B300" s="10">
        <v>38744</v>
      </c>
      <c r="C300" s="19">
        <v>16.843936221613784</v>
      </c>
      <c r="D300" s="3"/>
      <c r="E300" t="str">
        <f>_xlfn.XLOOKUP(PE_3[[#This Row],[STN]],SE_3[STN],SE_3[IdeaEligibility],"w/o disability",0)</f>
        <v>w/o disability</v>
      </c>
      <c r="F300" t="str">
        <f>_xlfn.XLOOKUP(PE_3[[#This Row],[STN]],SE_3[STN],SE_3[Ethnicity],"",0)</f>
        <v/>
      </c>
    </row>
    <row r="301" spans="1:6" ht="13.9">
      <c r="A301" s="5">
        <v>236912015</v>
      </c>
      <c r="B301" s="10">
        <v>38760</v>
      </c>
      <c r="C301" s="19">
        <v>16.800128845224673</v>
      </c>
      <c r="D301" s="3"/>
      <c r="E301" t="str">
        <f>_xlfn.XLOOKUP(PE_3[[#This Row],[STN]],SE_3[STN],SE_3[IdeaEligibility],"w/o disability",0)</f>
        <v>w/o disability</v>
      </c>
      <c r="F301" t="str">
        <f>_xlfn.XLOOKUP(PE_3[[#This Row],[STN]],SE_3[STN],SE_3[Ethnicity],"",0)</f>
        <v/>
      </c>
    </row>
    <row r="302" spans="1:6" ht="13.9">
      <c r="A302" s="5">
        <v>159201105</v>
      </c>
      <c r="B302" s="10">
        <v>38852</v>
      </c>
      <c r="C302" s="19">
        <v>16.548236430987277</v>
      </c>
      <c r="D302" s="3"/>
      <c r="E302" t="str">
        <f>_xlfn.XLOOKUP(PE_3[[#This Row],[STN]],SE_3[STN],SE_3[IdeaEligibility],"w/o disability",0)</f>
        <v>w/o disability</v>
      </c>
      <c r="F302" t="str">
        <f>_xlfn.XLOOKUP(PE_3[[#This Row],[STN]],SE_3[STN],SE_3[Ethnicity],"",0)</f>
        <v/>
      </c>
    </row>
    <row r="303" spans="1:6" ht="13.9">
      <c r="A303" s="5">
        <v>551511061</v>
      </c>
      <c r="B303" s="10">
        <v>38572</v>
      </c>
      <c r="C303" s="19">
        <v>17.315485244904167</v>
      </c>
      <c r="D303" s="3"/>
      <c r="E303" t="str">
        <f>_xlfn.XLOOKUP(PE_3[[#This Row],[STN]],SE_3[STN],SE_3[IdeaEligibility],"w/o disability",0)</f>
        <v>w/o disability</v>
      </c>
      <c r="F303" t="str">
        <f>_xlfn.XLOOKUP(PE_3[[#This Row],[STN]],SE_3[STN],SE_3[Ethnicity],"",0)</f>
        <v/>
      </c>
    </row>
    <row r="304" spans="1:6" ht="13.9">
      <c r="A304" s="3">
        <v>13711506</v>
      </c>
      <c r="B304" s="10">
        <v>38678</v>
      </c>
      <c r="C304" s="19">
        <v>17.025250988743537</v>
      </c>
      <c r="D304" s="3"/>
      <c r="E304" t="str">
        <f>_xlfn.XLOOKUP(PE_3[[#This Row],[STN]],SE_3[STN],SE_3[IdeaEligibility],"w/o disability",0)</f>
        <v>w/o disability</v>
      </c>
      <c r="F304" t="str">
        <f>_xlfn.XLOOKUP(PE_3[[#This Row],[STN]],SE_3[STN],SE_3[Ethnicity],"",0)</f>
        <v/>
      </c>
    </row>
    <row r="305" spans="1:6" ht="13.9">
      <c r="A305" s="5">
        <v>159201106</v>
      </c>
      <c r="B305" s="10">
        <v>38897</v>
      </c>
      <c r="C305" s="19">
        <v>16.425028184892899</v>
      </c>
      <c r="D305" s="3"/>
      <c r="E305" t="str">
        <f>_xlfn.XLOOKUP(PE_3[[#This Row],[STN]],SE_3[STN],SE_3[IdeaEligibility],"w/o disability",0)</f>
        <v>w/o disability</v>
      </c>
      <c r="F305" t="str">
        <f>_xlfn.XLOOKUP(PE_3[[#This Row],[STN]],SE_3[STN],SE_3[Ethnicity],"",0)</f>
        <v/>
      </c>
    </row>
    <row r="306" spans="1:6" ht="13.9">
      <c r="A306" s="3">
        <v>18911522</v>
      </c>
      <c r="B306" s="10">
        <v>38512</v>
      </c>
      <c r="C306" s="19">
        <v>17.479768786127167</v>
      </c>
      <c r="D306" s="3"/>
      <c r="E306" t="str">
        <f>_xlfn.XLOOKUP(PE_3[[#This Row],[STN]],SE_3[STN],SE_3[IdeaEligibility],"w/o disability",0)</f>
        <v>w/o disability</v>
      </c>
      <c r="F306" t="str">
        <f>_xlfn.XLOOKUP(PE_3[[#This Row],[STN]],SE_3[STN],SE_3[Ethnicity],"",0)</f>
        <v/>
      </c>
    </row>
    <row r="307" spans="1:6" ht="13.9">
      <c r="A307" s="3">
        <v>14911514</v>
      </c>
      <c r="B307" s="10">
        <v>38523</v>
      </c>
      <c r="C307" s="19">
        <v>17.44965013690295</v>
      </c>
      <c r="D307" s="3"/>
      <c r="E307" t="str">
        <f>_xlfn.XLOOKUP(PE_3[[#This Row],[STN]],SE_3[STN],SE_3[IdeaEligibility],"w/o disability",0)</f>
        <v>w/o disability</v>
      </c>
      <c r="F307" t="str">
        <f>_xlfn.XLOOKUP(PE_3[[#This Row],[STN]],SE_3[STN],SE_3[Ethnicity],"",0)</f>
        <v/>
      </c>
    </row>
    <row r="308" spans="1:6" ht="13.9">
      <c r="A308" s="5">
        <v>159073120</v>
      </c>
      <c r="B308" s="10">
        <v>38963</v>
      </c>
      <c r="C308" s="19">
        <v>16.244322757287808</v>
      </c>
      <c r="D308" s="3"/>
      <c r="E308" t="str">
        <f>_xlfn.XLOOKUP(PE_3[[#This Row],[STN]],SE_3[STN],SE_3[IdeaEligibility],"w/o disability",0)</f>
        <v>w/o disability</v>
      </c>
      <c r="F308" t="str">
        <f>_xlfn.XLOOKUP(PE_3[[#This Row],[STN]],SE_3[STN],SE_3[Ethnicity],"",0)</f>
        <v/>
      </c>
    </row>
    <row r="309" spans="1:6" ht="13.9">
      <c r="A309" s="5">
        <v>535913065</v>
      </c>
      <c r="B309" s="10">
        <v>38906</v>
      </c>
      <c r="C309" s="19">
        <v>16.40038653567402</v>
      </c>
      <c r="D309" s="3"/>
      <c r="E309" t="str">
        <f>_xlfn.XLOOKUP(PE_3[[#This Row],[STN]],SE_3[STN],SE_3[IdeaEligibility],"w/o disability",0)</f>
        <v>w/o disability</v>
      </c>
      <c r="F309" t="str">
        <f>_xlfn.XLOOKUP(PE_3[[#This Row],[STN]],SE_3[STN],SE_3[Ethnicity],"",0)</f>
        <v/>
      </c>
    </row>
    <row r="310" spans="1:6" ht="13.9">
      <c r="A310" s="3" t="s">
        <v>643</v>
      </c>
      <c r="B310" s="10">
        <v>39260</v>
      </c>
      <c r="C310" s="19">
        <v>15.430527036276523</v>
      </c>
      <c r="D310" s="3"/>
      <c r="E310" t="str">
        <f>_xlfn.XLOOKUP(PE_3[[#This Row],[STN]],SE_3[STN],SE_3[IdeaEligibility],"w/o disability",0)</f>
        <v>w/o disability</v>
      </c>
      <c r="F310" t="str">
        <f>_xlfn.XLOOKUP(PE_3[[#This Row],[STN]],SE_3[STN],SE_3[Ethnicity],"",0)</f>
        <v/>
      </c>
    </row>
    <row r="311" spans="1:6" ht="13.9">
      <c r="A311" s="3">
        <v>31013148</v>
      </c>
      <c r="B311" s="10">
        <v>38928</v>
      </c>
      <c r="C311" s="19">
        <v>16.340151393138992</v>
      </c>
      <c r="D311" s="3"/>
      <c r="E311" t="str">
        <f>_xlfn.XLOOKUP(PE_3[[#This Row],[STN]],SE_3[STN],SE_3[IdeaEligibility],"w/o disability",0)</f>
        <v>w/o disability</v>
      </c>
      <c r="F311" t="str">
        <f>_xlfn.XLOOKUP(PE_3[[#This Row],[STN]],SE_3[STN],SE_3[Ethnicity],"",0)</f>
        <v/>
      </c>
    </row>
    <row r="312" spans="1:6" ht="13.9">
      <c r="A312" s="5">
        <v>198111043</v>
      </c>
      <c r="B312" s="10">
        <v>38423</v>
      </c>
      <c r="C312" s="19">
        <v>17.723456038941283</v>
      </c>
      <c r="D312" s="3"/>
      <c r="E312" t="str">
        <f>_xlfn.XLOOKUP(PE_3[[#This Row],[STN]],SE_3[STN],SE_3[IdeaEligibility],"w/o disability",0)</f>
        <v>w/o disability</v>
      </c>
      <c r="F312" t="str">
        <f>_xlfn.XLOOKUP(PE_3[[#This Row],[STN]],SE_3[STN],SE_3[Ethnicity],"",0)</f>
        <v/>
      </c>
    </row>
    <row r="313" spans="1:6" ht="13.9">
      <c r="A313" s="3">
        <v>27012097</v>
      </c>
      <c r="B313" s="10">
        <v>38689</v>
      </c>
      <c r="C313" s="19">
        <v>16.995132339519319</v>
      </c>
      <c r="D313" s="3"/>
      <c r="E313" t="str">
        <f>_xlfn.XLOOKUP(PE_3[[#This Row],[STN]],SE_3[STN],SE_3[IdeaEligibility],"w/o disability",0)</f>
        <v>w/o disability</v>
      </c>
      <c r="F313" t="str">
        <f>_xlfn.XLOOKUP(PE_3[[#This Row],[STN]],SE_3[STN],SE_3[Ethnicity],"",0)</f>
        <v/>
      </c>
    </row>
    <row r="314" spans="1:6" ht="13.9">
      <c r="A314" s="3">
        <v>14111508</v>
      </c>
      <c r="B314" s="10">
        <v>38796</v>
      </c>
      <c r="C314" s="19">
        <v>16.70156224834917</v>
      </c>
      <c r="D314" s="3"/>
      <c r="E314" t="str">
        <f>_xlfn.XLOOKUP(PE_3[[#This Row],[STN]],SE_3[STN],SE_3[IdeaEligibility],"w/o disability",0)</f>
        <v>w/o disability</v>
      </c>
      <c r="F314" t="str">
        <f>_xlfn.XLOOKUP(PE_3[[#This Row],[STN]],SE_3[STN],SE_3[Ethnicity],"",0)</f>
        <v/>
      </c>
    </row>
    <row r="315" spans="1:6" ht="13.9">
      <c r="A315" s="3">
        <v>26512019</v>
      </c>
      <c r="B315" s="10">
        <v>38748</v>
      </c>
      <c r="C315" s="19">
        <v>16.832984377516507</v>
      </c>
      <c r="D315" s="3"/>
      <c r="E315" t="str">
        <f>_xlfn.XLOOKUP(PE_3[[#This Row],[STN]],SE_3[STN],SE_3[IdeaEligibility],"w/o disability",0)</f>
        <v>w/o disability</v>
      </c>
      <c r="F315" t="str">
        <f>_xlfn.XLOOKUP(PE_3[[#This Row],[STN]],SE_3[STN],SE_3[Ethnicity],"",0)</f>
        <v/>
      </c>
    </row>
    <row r="316" spans="1:6" ht="13.9">
      <c r="A316" s="3">
        <v>15712140</v>
      </c>
      <c r="B316" s="10">
        <v>38493</v>
      </c>
      <c r="C316" s="19">
        <v>17.531791907514449</v>
      </c>
      <c r="D316" s="3"/>
      <c r="E316" t="str">
        <f>_xlfn.XLOOKUP(PE_3[[#This Row],[STN]],SE_3[STN],SE_3[IdeaEligibility],"w/o disability",0)</f>
        <v>w/o disability</v>
      </c>
      <c r="F316" t="str">
        <f>_xlfn.XLOOKUP(PE_3[[#This Row],[STN]],SE_3[STN],SE_3[Ethnicity],"",0)</f>
        <v/>
      </c>
    </row>
    <row r="317" spans="1:6" ht="13.9">
      <c r="A317" s="3">
        <v>22912176</v>
      </c>
      <c r="B317" s="10">
        <v>39597</v>
      </c>
      <c r="C317" s="19">
        <v>14.507209344770944</v>
      </c>
      <c r="D317" s="3"/>
      <c r="E317" t="str">
        <f>_xlfn.XLOOKUP(PE_3[[#This Row],[STN]],SE_3[STN],SE_3[IdeaEligibility],"w/o disability",0)</f>
        <v>w/o disability</v>
      </c>
      <c r="F317" t="str">
        <f>_xlfn.XLOOKUP(PE_3[[#This Row],[STN]],SE_3[STN],SE_3[Ethnicity],"",0)</f>
        <v/>
      </c>
    </row>
    <row r="318" spans="1:6" ht="13.9">
      <c r="A318" s="3">
        <v>23911559</v>
      </c>
      <c r="B318" s="10">
        <v>38698</v>
      </c>
      <c r="C318" s="19">
        <v>16.97048980833587</v>
      </c>
      <c r="D318" s="3"/>
      <c r="E318" t="str">
        <f>_xlfn.XLOOKUP(PE_3[[#This Row],[STN]],SE_3[STN],SE_3[IdeaEligibility],"w/o disability",0)</f>
        <v>w/o disability</v>
      </c>
      <c r="F318" t="str">
        <f>_xlfn.XLOOKUP(PE_3[[#This Row],[STN]],SE_3[STN],SE_3[Ethnicity],"",0)</f>
        <v/>
      </c>
    </row>
    <row r="319" spans="1:6" ht="13.9">
      <c r="A319" s="3">
        <v>25311569</v>
      </c>
      <c r="B319" s="10">
        <v>38984</v>
      </c>
      <c r="C319" s="19">
        <v>16.186825575777096</v>
      </c>
      <c r="D319" s="3"/>
      <c r="E319" t="str">
        <f>_xlfn.XLOOKUP(PE_3[[#This Row],[STN]],SE_3[STN],SE_3[IdeaEligibility],"w/o disability",0)</f>
        <v>w/o disability</v>
      </c>
      <c r="F319" t="str">
        <f>_xlfn.XLOOKUP(PE_3[[#This Row],[STN]],SE_3[STN],SE_3[Ethnicity],"",0)</f>
        <v/>
      </c>
    </row>
    <row r="320" spans="1:6" ht="13.9">
      <c r="A320" s="3">
        <v>13611572</v>
      </c>
      <c r="B320" s="10">
        <v>38734</v>
      </c>
      <c r="C320" s="19">
        <v>16.871315831856982</v>
      </c>
      <c r="D320" s="3"/>
      <c r="E320" t="str">
        <f>_xlfn.XLOOKUP(PE_3[[#This Row],[STN]],SE_3[STN],SE_3[IdeaEligibility],"w/o disability",0)</f>
        <v>w/o disability</v>
      </c>
      <c r="F320" t="str">
        <f>_xlfn.XLOOKUP(PE_3[[#This Row],[STN]],SE_3[STN],SE_3[Ethnicity],"",0)</f>
        <v/>
      </c>
    </row>
    <row r="321" spans="1:6" ht="13.9">
      <c r="A321" s="3">
        <v>19711527</v>
      </c>
      <c r="B321" s="10">
        <v>38762</v>
      </c>
      <c r="C321" s="19">
        <v>16.794652923176034</v>
      </c>
      <c r="D321" s="3"/>
      <c r="E321" t="str">
        <f>_xlfn.XLOOKUP(PE_3[[#This Row],[STN]],SE_3[STN],SE_3[IdeaEligibility],"w/o disability",0)</f>
        <v>w/o disability</v>
      </c>
      <c r="F321" t="str">
        <f>_xlfn.XLOOKUP(PE_3[[#This Row],[STN]],SE_3[STN],SE_3[Ethnicity],"",0)</f>
        <v/>
      </c>
    </row>
    <row r="322" spans="1:6" ht="13.9">
      <c r="A322" s="3">
        <v>15712044</v>
      </c>
      <c r="B322" s="10">
        <v>39147</v>
      </c>
      <c r="C322" s="19">
        <v>15.739904175222451</v>
      </c>
      <c r="D322" s="3"/>
      <c r="E322" t="str">
        <f>_xlfn.XLOOKUP(PE_3[[#This Row],[STN]],SE_3[STN],SE_3[IdeaEligibility],"w/o disability",0)</f>
        <v>w/o disability</v>
      </c>
      <c r="F322" t="str">
        <f>_xlfn.XLOOKUP(PE_3[[#This Row],[STN]],SE_3[STN],SE_3[Ethnicity],"",0)</f>
        <v/>
      </c>
    </row>
    <row r="323" spans="1:6" ht="13.9">
      <c r="A323" s="3">
        <v>24111506</v>
      </c>
      <c r="B323" s="10">
        <v>39060</v>
      </c>
      <c r="C323" s="19">
        <v>15.978740537928813</v>
      </c>
      <c r="D323" s="3"/>
      <c r="E323" t="str">
        <f>_xlfn.XLOOKUP(PE_3[[#This Row],[STN]],SE_3[STN],SE_3[IdeaEligibility],"w/o disability",0)</f>
        <v>w/o disability</v>
      </c>
      <c r="F323" t="str">
        <f>_xlfn.XLOOKUP(PE_3[[#This Row],[STN]],SE_3[STN],SE_3[Ethnicity],"",0)</f>
        <v/>
      </c>
    </row>
    <row r="324" spans="1:6" ht="13.9">
      <c r="A324" s="3">
        <v>18911575</v>
      </c>
      <c r="B324" s="10">
        <v>38859</v>
      </c>
      <c r="C324" s="19">
        <v>16.529070703817037</v>
      </c>
      <c r="D324" s="3"/>
      <c r="E324" t="str">
        <f>_xlfn.XLOOKUP(PE_3[[#This Row],[STN]],SE_3[STN],SE_3[IdeaEligibility],"w/o disability",0)</f>
        <v>w/o disability</v>
      </c>
      <c r="F324" t="str">
        <f>_xlfn.XLOOKUP(PE_3[[#This Row],[STN]],SE_3[STN],SE_3[Ethnicity],"",0)</f>
        <v/>
      </c>
    </row>
    <row r="325" spans="1:6" ht="13.9">
      <c r="A325" s="3">
        <v>27011593</v>
      </c>
      <c r="B325" s="10">
        <v>38842</v>
      </c>
      <c r="C325" s="19">
        <v>16.575616041230472</v>
      </c>
      <c r="D325" s="3"/>
      <c r="E325" t="str">
        <f>_xlfn.XLOOKUP(PE_3[[#This Row],[STN]],SE_3[STN],SE_3[IdeaEligibility],"w/o disability",0)</f>
        <v>w/o disability</v>
      </c>
      <c r="F325" t="str">
        <f>_xlfn.XLOOKUP(PE_3[[#This Row],[STN]],SE_3[STN],SE_3[Ethnicity],"",0)</f>
        <v/>
      </c>
    </row>
    <row r="326" spans="1:6" ht="13.9">
      <c r="A326" s="3">
        <v>31711155</v>
      </c>
      <c r="B326" s="10">
        <v>38959</v>
      </c>
      <c r="C326" s="19">
        <v>16.255274601385086</v>
      </c>
      <c r="D326" s="3"/>
      <c r="E326" t="str">
        <f>_xlfn.XLOOKUP(PE_3[[#This Row],[STN]],SE_3[STN],SE_3[IdeaEligibility],"w/o disability",0)</f>
        <v>w/o disability</v>
      </c>
      <c r="F326" t="str">
        <f>_xlfn.XLOOKUP(PE_3[[#This Row],[STN]],SE_3[STN],SE_3[Ethnicity],"",0)</f>
        <v/>
      </c>
    </row>
    <row r="327" spans="1:6" ht="13.9">
      <c r="A327" s="3">
        <v>15712135</v>
      </c>
      <c r="B327" s="10">
        <v>39008</v>
      </c>
      <c r="C327" s="19">
        <v>16.121114511193429</v>
      </c>
      <c r="D327" s="3"/>
      <c r="E327" t="str">
        <f>_xlfn.XLOOKUP(PE_3[[#This Row],[STN]],SE_3[STN],SE_3[IdeaEligibility],"w/o disability",0)</f>
        <v>w/o disability</v>
      </c>
      <c r="F327" t="str">
        <f>_xlfn.XLOOKUP(PE_3[[#This Row],[STN]],SE_3[STN],SE_3[Ethnicity],"",0)</f>
        <v/>
      </c>
    </row>
    <row r="328" spans="1:6" ht="13.9">
      <c r="A328" s="3">
        <v>16411500</v>
      </c>
      <c r="B328" s="10">
        <v>38533</v>
      </c>
      <c r="C328" s="19">
        <v>17.422269546699116</v>
      </c>
      <c r="D328" s="3"/>
      <c r="E328" t="str">
        <f>_xlfn.XLOOKUP(PE_3[[#This Row],[STN]],SE_3[STN],SE_3[IdeaEligibility],"w/o disability",0)</f>
        <v>w/o disability</v>
      </c>
      <c r="F328" t="str">
        <f>_xlfn.XLOOKUP(PE_3[[#This Row],[STN]],SE_3[STN],SE_3[Ethnicity],"",0)</f>
        <v/>
      </c>
    </row>
    <row r="329" spans="1:6" ht="13.9">
      <c r="A329" s="5">
        <v>528411105</v>
      </c>
      <c r="B329" s="10">
        <v>38477</v>
      </c>
      <c r="C329" s="19">
        <v>17.575600851840584</v>
      </c>
      <c r="D329" s="3"/>
      <c r="E329" t="str">
        <f>_xlfn.XLOOKUP(PE_3[[#This Row],[STN]],SE_3[STN],SE_3[IdeaEligibility],"w/o disability",0)</f>
        <v>w/o disability</v>
      </c>
      <c r="F329" t="str">
        <f>_xlfn.XLOOKUP(PE_3[[#This Row],[STN]],SE_3[STN],SE_3[Ethnicity],"",0)</f>
        <v/>
      </c>
    </row>
    <row r="330" spans="1:6" ht="13.9">
      <c r="A330" s="5">
        <v>179710540</v>
      </c>
      <c r="B330" s="10">
        <v>38568</v>
      </c>
      <c r="C330" s="19">
        <v>17.3264374809857</v>
      </c>
      <c r="D330" s="3"/>
      <c r="E330" t="str">
        <f>_xlfn.XLOOKUP(PE_3[[#This Row],[STN]],SE_3[STN],SE_3[IdeaEligibility],"w/o disability",0)</f>
        <v>w/o disability</v>
      </c>
      <c r="F330" t="str">
        <f>_xlfn.XLOOKUP(PE_3[[#This Row],[STN]],SE_3[STN],SE_3[Ethnicity],"",0)</f>
        <v/>
      </c>
    </row>
    <row r="331" spans="1:6" ht="13.9">
      <c r="A331" s="3">
        <v>26511306</v>
      </c>
      <c r="B331" s="10">
        <v>38307</v>
      </c>
      <c r="C331" s="19">
        <v>18.039048991354466</v>
      </c>
      <c r="D331" s="3"/>
      <c r="E331" t="str">
        <f>_xlfn.XLOOKUP(PE_3[[#This Row],[STN]],SE_3[STN],SE_3[IdeaEligibility],"w/o disability",0)</f>
        <v>w/o disability</v>
      </c>
      <c r="F331" t="str">
        <f>_xlfn.XLOOKUP(PE_3[[#This Row],[STN]],SE_3[STN],SE_3[Ethnicity],"",0)</f>
        <v/>
      </c>
    </row>
    <row r="332" spans="1:6" ht="13.9">
      <c r="A332" s="3">
        <v>25508301</v>
      </c>
      <c r="B332" s="10">
        <v>38571</v>
      </c>
      <c r="C332" s="19">
        <v>17.318223303924551</v>
      </c>
      <c r="D332" s="3"/>
      <c r="E332" t="str">
        <f>_xlfn.XLOOKUP(PE_3[[#This Row],[STN]],SE_3[STN],SE_3[IdeaEligibility],"w/o disability",0)</f>
        <v>w/o disability</v>
      </c>
      <c r="F332" t="str">
        <f>_xlfn.XLOOKUP(PE_3[[#This Row],[STN]],SE_3[STN],SE_3[Ethnicity],"",0)</f>
        <v/>
      </c>
    </row>
    <row r="333" spans="1:6" ht="13.9">
      <c r="A333" s="3">
        <v>13611597</v>
      </c>
      <c r="B333" s="10">
        <v>38749</v>
      </c>
      <c r="C333" s="19">
        <v>16.830246416492187</v>
      </c>
      <c r="D333" s="3"/>
      <c r="E333" t="str">
        <f>_xlfn.XLOOKUP(PE_3[[#This Row],[STN]],SE_3[STN],SE_3[IdeaEligibility],"w/o disability",0)</f>
        <v>w/o disability</v>
      </c>
      <c r="F333" t="str">
        <f>_xlfn.XLOOKUP(PE_3[[#This Row],[STN]],SE_3[STN],SE_3[Ethnicity],"",0)</f>
        <v/>
      </c>
    </row>
    <row r="334" spans="1:6" ht="13.9">
      <c r="A334" s="3">
        <v>6811013</v>
      </c>
      <c r="B334" s="10">
        <v>38349</v>
      </c>
      <c r="C334" s="19">
        <v>17.924063400576369</v>
      </c>
      <c r="D334" s="3"/>
      <c r="E334" t="str">
        <f>_xlfn.XLOOKUP(PE_3[[#This Row],[STN]],SE_3[STN],SE_3[IdeaEligibility],"w/o disability",0)</f>
        <v>w/o disability</v>
      </c>
      <c r="F334" t="str">
        <f>_xlfn.XLOOKUP(PE_3[[#This Row],[STN]],SE_3[STN],SE_3[Ethnicity],"",0)</f>
        <v/>
      </c>
    </row>
    <row r="335" spans="1:6" ht="13.9">
      <c r="A335" s="3">
        <v>22910289</v>
      </c>
      <c r="B335" s="10">
        <v>38751</v>
      </c>
      <c r="C335" s="19">
        <v>16.824770494443548</v>
      </c>
      <c r="D335" s="3"/>
      <c r="E335" t="str">
        <f>_xlfn.XLOOKUP(PE_3[[#This Row],[STN]],SE_3[STN],SE_3[IdeaEligibility],"w/o disability",0)</f>
        <v>w/o disability</v>
      </c>
      <c r="F335" t="str">
        <f>_xlfn.XLOOKUP(PE_3[[#This Row],[STN]],SE_3[STN],SE_3[Ethnicity],"",0)</f>
        <v/>
      </c>
    </row>
    <row r="336" spans="1:6" ht="13.9">
      <c r="A336" s="3">
        <v>22910291</v>
      </c>
      <c r="B336" s="10">
        <v>38784</v>
      </c>
      <c r="C336" s="19">
        <v>16.734417780641003</v>
      </c>
      <c r="D336" s="3"/>
      <c r="E336" t="str">
        <f>_xlfn.XLOOKUP(PE_3[[#This Row],[STN]],SE_3[STN],SE_3[IdeaEligibility],"w/o disability",0)</f>
        <v>w/o disability</v>
      </c>
      <c r="F336" t="str">
        <f>_xlfn.XLOOKUP(PE_3[[#This Row],[STN]],SE_3[STN],SE_3[Ethnicity],"",0)</f>
        <v/>
      </c>
    </row>
    <row r="337" spans="1:6" ht="13.9">
      <c r="A337" s="3">
        <v>17811538</v>
      </c>
      <c r="B337" s="10">
        <v>38454</v>
      </c>
      <c r="C337" s="19">
        <v>17.638576209309399</v>
      </c>
      <c r="D337" s="3"/>
      <c r="E337" t="str">
        <f>_xlfn.XLOOKUP(PE_3[[#This Row],[STN]],SE_3[STN],SE_3[IdeaEligibility],"w/o disability",0)</f>
        <v>w/o disability</v>
      </c>
      <c r="F337" t="str">
        <f>_xlfn.XLOOKUP(PE_3[[#This Row],[STN]],SE_3[STN],SE_3[Ethnicity],"",0)</f>
        <v/>
      </c>
    </row>
    <row r="338" spans="1:6" ht="13.9">
      <c r="A338" s="3">
        <v>22911297</v>
      </c>
      <c r="B338" s="10">
        <v>39589</v>
      </c>
      <c r="C338" s="19">
        <v>14.529111151670014</v>
      </c>
      <c r="D338" s="3"/>
      <c r="E338" t="str">
        <f>_xlfn.XLOOKUP(PE_3[[#This Row],[STN]],SE_3[STN],SE_3[IdeaEligibility],"w/o disability",0)</f>
        <v>w/o disability</v>
      </c>
      <c r="F338" t="str">
        <f>_xlfn.XLOOKUP(PE_3[[#This Row],[STN]],SE_3[STN],SE_3[Ethnicity],"",0)</f>
        <v/>
      </c>
    </row>
    <row r="339" spans="1:6" ht="13.9">
      <c r="A339" s="3">
        <v>22910306</v>
      </c>
      <c r="B339" s="10">
        <v>39341</v>
      </c>
      <c r="C339" s="19">
        <v>15.208761122518823</v>
      </c>
      <c r="D339" s="3"/>
      <c r="E339" t="str">
        <f>_xlfn.XLOOKUP(PE_3[[#This Row],[STN]],SE_3[STN],SE_3[IdeaEligibility],"w/o disability",0)</f>
        <v>w/o disability</v>
      </c>
      <c r="F339" t="str">
        <f>_xlfn.XLOOKUP(PE_3[[#This Row],[STN]],SE_3[STN],SE_3[Ethnicity],"",0)</f>
        <v/>
      </c>
    </row>
    <row r="340" spans="1:6" ht="13.9">
      <c r="A340" s="3">
        <v>22911258</v>
      </c>
      <c r="B340" s="10">
        <v>39097</v>
      </c>
      <c r="C340" s="19">
        <v>15.876796714579056</v>
      </c>
      <c r="D340" s="3"/>
      <c r="E340" t="str">
        <f>_xlfn.XLOOKUP(PE_3[[#This Row],[STN]],SE_3[STN],SE_3[IdeaEligibility],"w/o disability",0)</f>
        <v>w/o disability</v>
      </c>
      <c r="F340" t="str">
        <f>_xlfn.XLOOKUP(PE_3[[#This Row],[STN]],SE_3[STN],SE_3[Ethnicity],"",0)</f>
        <v/>
      </c>
    </row>
    <row r="341" spans="1:6" ht="13.9">
      <c r="A341" s="3">
        <v>4109297</v>
      </c>
      <c r="B341" s="10">
        <v>38884</v>
      </c>
      <c r="C341" s="19">
        <v>16.460621678209051</v>
      </c>
      <c r="D341" s="3"/>
      <c r="E341" t="str">
        <f>_xlfn.XLOOKUP(PE_3[[#This Row],[STN]],SE_3[STN],SE_3[IdeaEligibility],"w/o disability",0)</f>
        <v>w/o disability</v>
      </c>
      <c r="F341" t="str">
        <f>_xlfn.XLOOKUP(PE_3[[#This Row],[STN]],SE_3[STN],SE_3[Ethnicity],"",0)</f>
        <v/>
      </c>
    </row>
    <row r="342" spans="1:6" ht="13.9">
      <c r="A342" s="3">
        <v>15711503</v>
      </c>
      <c r="B342" s="10">
        <v>38483</v>
      </c>
      <c r="C342" s="19">
        <v>17.559172497718283</v>
      </c>
      <c r="D342" s="3"/>
      <c r="E342" t="str">
        <f>_xlfn.XLOOKUP(PE_3[[#This Row],[STN]],SE_3[STN],SE_3[IdeaEligibility],"w/o disability",0)</f>
        <v>w/o disability</v>
      </c>
      <c r="F342" t="str">
        <f>_xlfn.XLOOKUP(PE_3[[#This Row],[STN]],SE_3[STN],SE_3[Ethnicity],"",0)</f>
        <v/>
      </c>
    </row>
    <row r="343" spans="1:6" ht="13.9">
      <c r="A343" s="3">
        <v>14911543</v>
      </c>
      <c r="B343" s="10">
        <v>38682</v>
      </c>
      <c r="C343" s="19">
        <v>17.014298752662</v>
      </c>
      <c r="D343" s="3"/>
      <c r="E343" t="str">
        <f>_xlfn.XLOOKUP(PE_3[[#This Row],[STN]],SE_3[STN],SE_3[IdeaEligibility],"w/o disability",0)</f>
        <v>w/o disability</v>
      </c>
      <c r="F343" t="str">
        <f>_xlfn.XLOOKUP(PE_3[[#This Row],[STN]],SE_3[STN],SE_3[Ethnicity],"",0)</f>
        <v/>
      </c>
    </row>
    <row r="344" spans="1:6" ht="13.9">
      <c r="A344" s="3">
        <v>27011577</v>
      </c>
      <c r="B344" s="10">
        <v>38466</v>
      </c>
      <c r="C344" s="19">
        <v>17.605719501064801</v>
      </c>
      <c r="D344" s="3"/>
      <c r="E344" t="str">
        <f>_xlfn.XLOOKUP(PE_3[[#This Row],[STN]],SE_3[STN],SE_3[IdeaEligibility],"w/o disability",0)</f>
        <v>w/o disability</v>
      </c>
      <c r="F344" t="str">
        <f>_xlfn.XLOOKUP(PE_3[[#This Row],[STN]],SE_3[STN],SE_3[Ethnicity],"",0)</f>
        <v/>
      </c>
    </row>
    <row r="345" spans="1:6" ht="13.9">
      <c r="A345" s="3">
        <v>14911542</v>
      </c>
      <c r="B345" s="10">
        <v>39199</v>
      </c>
      <c r="C345" s="19">
        <v>15.597535934291582</v>
      </c>
      <c r="D345" s="3"/>
      <c r="E345" t="str">
        <f>_xlfn.XLOOKUP(PE_3[[#This Row],[STN]],SE_3[STN],SE_3[IdeaEligibility],"w/o disability",0)</f>
        <v>w/o disability</v>
      </c>
      <c r="F345" t="str">
        <f>_xlfn.XLOOKUP(PE_3[[#This Row],[STN]],SE_3[STN],SE_3[Ethnicity],"",0)</f>
        <v/>
      </c>
    </row>
    <row r="346" spans="1:6" ht="13.9">
      <c r="A346" s="3">
        <v>22911198</v>
      </c>
      <c r="B346" s="10">
        <v>39486</v>
      </c>
      <c r="C346" s="19">
        <v>14.811096915495529</v>
      </c>
      <c r="D346" s="3"/>
      <c r="E346" t="str">
        <f>_xlfn.XLOOKUP(PE_3[[#This Row],[STN]],SE_3[STN],SE_3[IdeaEligibility],"w/o disability",0)</f>
        <v>w/o disability</v>
      </c>
      <c r="F346" t="str">
        <f>_xlfn.XLOOKUP(PE_3[[#This Row],[STN]],SE_3[STN],SE_3[Ethnicity],"",0)</f>
        <v/>
      </c>
    </row>
    <row r="347" spans="1:6" ht="13.9">
      <c r="A347" s="3">
        <v>15711519</v>
      </c>
      <c r="B347" s="10">
        <v>38393</v>
      </c>
      <c r="C347" s="19">
        <v>17.805597809552783</v>
      </c>
      <c r="D347" s="3"/>
      <c r="E347" t="str">
        <f>_xlfn.XLOOKUP(PE_3[[#This Row],[STN]],SE_3[STN],SE_3[IdeaEligibility],"w/o disability",0)</f>
        <v>w/o disability</v>
      </c>
      <c r="F347" t="str">
        <f>_xlfn.XLOOKUP(PE_3[[#This Row],[STN]],SE_3[STN],SE_3[Ethnicity],"",0)</f>
        <v/>
      </c>
    </row>
    <row r="348" spans="1:6" ht="13.9">
      <c r="A348" s="3">
        <v>22911186</v>
      </c>
      <c r="B348" s="10">
        <v>39187</v>
      </c>
      <c r="C348" s="19">
        <v>15.630390143737166</v>
      </c>
      <c r="D348" s="3"/>
      <c r="E348" t="str">
        <f>_xlfn.XLOOKUP(PE_3[[#This Row],[STN]],SE_3[STN],SE_3[IdeaEligibility],"w/o disability",0)</f>
        <v>w/o disability</v>
      </c>
      <c r="F348" t="str">
        <f>_xlfn.XLOOKUP(PE_3[[#This Row],[STN]],SE_3[STN],SE_3[Ethnicity],"",0)</f>
        <v/>
      </c>
    </row>
    <row r="349" spans="1:6" ht="13.9">
      <c r="A349" s="5">
        <v>159201160</v>
      </c>
      <c r="B349" s="10">
        <v>38783</v>
      </c>
      <c r="C349" s="19">
        <v>16.737155741665322</v>
      </c>
      <c r="D349" s="3"/>
      <c r="E349" t="str">
        <f>_xlfn.XLOOKUP(PE_3[[#This Row],[STN]],SE_3[STN],SE_3[IdeaEligibility],"w/o disability",0)</f>
        <v>w/o disability</v>
      </c>
      <c r="F349" t="str">
        <f>_xlfn.XLOOKUP(PE_3[[#This Row],[STN]],SE_3[STN],SE_3[Ethnicity],"",0)</f>
        <v/>
      </c>
    </row>
    <row r="350" spans="1:6" ht="13.9">
      <c r="A350" s="3">
        <v>17811553</v>
      </c>
      <c r="B350" s="10">
        <v>38454</v>
      </c>
      <c r="C350" s="19">
        <v>17.638576209309399</v>
      </c>
      <c r="D350" s="3"/>
      <c r="E350" t="str">
        <f>_xlfn.XLOOKUP(PE_3[[#This Row],[STN]],SE_3[STN],SE_3[IdeaEligibility],"w/o disability",0)</f>
        <v>w/o disability</v>
      </c>
      <c r="F350" t="str">
        <f>_xlfn.XLOOKUP(PE_3[[#This Row],[STN]],SE_3[STN],SE_3[Ethnicity],"",0)</f>
        <v/>
      </c>
    </row>
    <row r="351" spans="1:6" ht="13.9">
      <c r="A351" s="3">
        <v>14111538</v>
      </c>
      <c r="B351" s="10">
        <v>38548</v>
      </c>
      <c r="C351" s="19">
        <v>17.381198661393366</v>
      </c>
      <c r="D351" s="3"/>
      <c r="E351" t="str">
        <f>_xlfn.XLOOKUP(PE_3[[#This Row],[STN]],SE_3[STN],SE_3[IdeaEligibility],"w/o disability",0)</f>
        <v>w/o disability</v>
      </c>
      <c r="F351" t="str">
        <f>_xlfn.XLOOKUP(PE_3[[#This Row],[STN]],SE_3[STN],SE_3[Ethnicity],"",0)</f>
        <v/>
      </c>
    </row>
    <row r="352" spans="1:6" ht="13.9">
      <c r="A352" s="5">
        <v>153911010</v>
      </c>
      <c r="B352" s="10">
        <v>38478</v>
      </c>
      <c r="C352" s="19">
        <v>17.572862792820199</v>
      </c>
      <c r="D352" s="3"/>
      <c r="E352" t="str">
        <f>_xlfn.XLOOKUP(PE_3[[#This Row],[STN]],SE_3[STN],SE_3[IdeaEligibility],"w/o disability",0)</f>
        <v>w/o disability</v>
      </c>
      <c r="F352" t="str">
        <f>_xlfn.XLOOKUP(PE_3[[#This Row],[STN]],SE_3[STN],SE_3[Ethnicity],"",0)</f>
        <v/>
      </c>
    </row>
    <row r="353" spans="1:6" ht="13.9">
      <c r="A353" s="3">
        <v>24911503</v>
      </c>
      <c r="B353" s="10">
        <v>38604</v>
      </c>
      <c r="C353" s="19">
        <v>17.227867356251902</v>
      </c>
      <c r="D353" s="3"/>
      <c r="E353" t="str">
        <f>_xlfn.XLOOKUP(PE_3[[#This Row],[STN]],SE_3[STN],SE_3[IdeaEligibility],"w/o disability",0)</f>
        <v>w/o disability</v>
      </c>
      <c r="F353" t="str">
        <f>_xlfn.XLOOKUP(PE_3[[#This Row],[STN]],SE_3[STN],SE_3[Ethnicity],"",0)</f>
        <v/>
      </c>
    </row>
    <row r="354" spans="1:6" ht="13.9">
      <c r="A354" s="3">
        <v>24911504</v>
      </c>
      <c r="B354" s="10">
        <v>38357</v>
      </c>
      <c r="C354" s="19">
        <v>17.904167934286583</v>
      </c>
      <c r="D354" s="3"/>
      <c r="E354" t="str">
        <f>_xlfn.XLOOKUP(PE_3[[#This Row],[STN]],SE_3[STN],SE_3[IdeaEligibility],"w/o disability",0)</f>
        <v>w/o disability</v>
      </c>
      <c r="F354" t="str">
        <f>_xlfn.XLOOKUP(PE_3[[#This Row],[STN]],SE_3[STN],SE_3[Ethnicity],"",0)</f>
        <v/>
      </c>
    </row>
    <row r="355" spans="1:6" ht="13.9">
      <c r="A355" s="3">
        <v>26511509</v>
      </c>
      <c r="B355" s="10">
        <v>38572</v>
      </c>
      <c r="C355" s="19">
        <v>17.315485244904167</v>
      </c>
      <c r="D355" s="3"/>
      <c r="E355" t="str">
        <f>_xlfn.XLOOKUP(PE_3[[#This Row],[STN]],SE_3[STN],SE_3[IdeaEligibility],"w/o disability",0)</f>
        <v>w/o disability</v>
      </c>
      <c r="F355" t="str">
        <f>_xlfn.XLOOKUP(PE_3[[#This Row],[STN]],SE_3[STN],SE_3[Ethnicity],"",0)</f>
        <v/>
      </c>
    </row>
    <row r="356" spans="1:6" ht="13.9">
      <c r="A356" s="5">
        <v>159201150</v>
      </c>
      <c r="B356" s="10">
        <v>38815</v>
      </c>
      <c r="C356" s="19">
        <v>16.6495409888871</v>
      </c>
      <c r="D356" s="3"/>
      <c r="E356" t="str">
        <f>_xlfn.XLOOKUP(PE_3[[#This Row],[STN]],SE_3[STN],SE_3[IdeaEligibility],"w/o disability",0)</f>
        <v>w/o disability</v>
      </c>
      <c r="F356" t="str">
        <f>_xlfn.XLOOKUP(PE_3[[#This Row],[STN]],SE_3[STN],SE_3[Ethnicity],"",0)</f>
        <v/>
      </c>
    </row>
    <row r="357" spans="1:6" ht="13.9">
      <c r="A357" s="5">
        <v>153911021</v>
      </c>
      <c r="B357" s="10">
        <v>38419</v>
      </c>
      <c r="C357" s="19">
        <v>17.734408275022815</v>
      </c>
      <c r="D357" s="3"/>
      <c r="E357" t="str">
        <f>_xlfn.XLOOKUP(PE_3[[#This Row],[STN]],SE_3[STN],SE_3[IdeaEligibility],"w/o disability",0)</f>
        <v>w/o disability</v>
      </c>
      <c r="F357" t="str">
        <f>_xlfn.XLOOKUP(PE_3[[#This Row],[STN]],SE_3[STN],SE_3[Ethnicity],"",0)</f>
        <v/>
      </c>
    </row>
    <row r="358" spans="1:6" ht="13.9">
      <c r="A358" s="3">
        <v>31711077</v>
      </c>
      <c r="B358" s="10">
        <v>38355</v>
      </c>
      <c r="C358" s="19">
        <v>17.909644052327351</v>
      </c>
      <c r="D358" s="3"/>
      <c r="E358" t="str">
        <f>_xlfn.XLOOKUP(PE_3[[#This Row],[STN]],SE_3[STN],SE_3[IdeaEligibility],"w/o disability",0)</f>
        <v>w/o disability</v>
      </c>
      <c r="F358" t="str">
        <f>_xlfn.XLOOKUP(PE_3[[#This Row],[STN]],SE_3[STN],SE_3[Ethnicity],"",0)</f>
        <v/>
      </c>
    </row>
    <row r="359" spans="1:6" ht="13.9">
      <c r="A359" s="3">
        <v>26511508</v>
      </c>
      <c r="B359" s="10">
        <v>38904</v>
      </c>
      <c r="C359" s="19">
        <v>16.405862457722659</v>
      </c>
      <c r="D359" s="3"/>
      <c r="E359" t="str">
        <f>_xlfn.XLOOKUP(PE_3[[#This Row],[STN]],SE_3[STN],SE_3[IdeaEligibility],"w/o disability",0)</f>
        <v>w/o disability</v>
      </c>
      <c r="F359" t="str">
        <f>_xlfn.XLOOKUP(PE_3[[#This Row],[STN]],SE_3[STN],SE_3[Ethnicity],"",0)</f>
        <v/>
      </c>
    </row>
    <row r="360" spans="1:6" ht="13.9">
      <c r="A360" s="5">
        <v>153911026</v>
      </c>
      <c r="B360" s="10">
        <v>38597</v>
      </c>
      <c r="C360" s="19">
        <v>17.247033769394584</v>
      </c>
      <c r="D360" s="3"/>
      <c r="E360" t="str">
        <f>_xlfn.XLOOKUP(PE_3[[#This Row],[STN]],SE_3[STN],SE_3[IdeaEligibility],"w/o disability",0)</f>
        <v>w/o disability</v>
      </c>
      <c r="F360" t="str">
        <f>_xlfn.XLOOKUP(PE_3[[#This Row],[STN]],SE_3[STN],SE_3[Ethnicity],"",0)</f>
        <v/>
      </c>
    </row>
    <row r="361" spans="1:6" ht="13.9">
      <c r="A361" s="3">
        <v>31711163</v>
      </c>
      <c r="B361" s="10">
        <v>38752</v>
      </c>
      <c r="C361" s="19">
        <v>16.822032533419229</v>
      </c>
      <c r="D361" s="3"/>
      <c r="E361" t="str">
        <f>_xlfn.XLOOKUP(PE_3[[#This Row],[STN]],SE_3[STN],SE_3[IdeaEligibility],"w/o disability",0)</f>
        <v>w/o disability</v>
      </c>
      <c r="F361" t="str">
        <f>_xlfn.XLOOKUP(PE_3[[#This Row],[STN]],SE_3[STN],SE_3[Ethnicity],"",0)</f>
        <v/>
      </c>
    </row>
    <row r="362" spans="1:6" ht="13.9">
      <c r="A362" s="3">
        <v>13611531</v>
      </c>
      <c r="B362" s="10">
        <v>38333</v>
      </c>
      <c r="C362" s="19">
        <v>17.967867435158503</v>
      </c>
      <c r="D362" s="3"/>
      <c r="E362" t="str">
        <f>_xlfn.XLOOKUP(PE_3[[#This Row],[STN]],SE_3[STN],SE_3[IdeaEligibility],"w/o disability",0)</f>
        <v>w/o disability</v>
      </c>
      <c r="F362" t="str">
        <f>_xlfn.XLOOKUP(PE_3[[#This Row],[STN]],SE_3[STN],SE_3[Ethnicity],"",0)</f>
        <v/>
      </c>
    </row>
    <row r="363" spans="1:6" ht="13.9">
      <c r="A363" s="5">
        <v>153911001</v>
      </c>
      <c r="B363" s="10">
        <v>38720</v>
      </c>
      <c r="C363" s="19">
        <v>16.909647286197455</v>
      </c>
      <c r="D363" s="3"/>
      <c r="E363" t="str">
        <f>_xlfn.XLOOKUP(PE_3[[#This Row],[STN]],SE_3[STN],SE_3[IdeaEligibility],"w/o disability",0)</f>
        <v>w/o disability</v>
      </c>
      <c r="F363" t="str">
        <f>_xlfn.XLOOKUP(PE_3[[#This Row],[STN]],SE_3[STN],SE_3[Ethnicity],"",0)</f>
        <v/>
      </c>
    </row>
    <row r="364" spans="1:6" ht="13.9">
      <c r="A364" s="5">
        <v>153911016</v>
      </c>
      <c r="B364" s="10">
        <v>38473</v>
      </c>
      <c r="C364" s="19">
        <v>17.586553087922116</v>
      </c>
      <c r="D364" s="3"/>
      <c r="E364" t="str">
        <f>_xlfn.XLOOKUP(PE_3[[#This Row],[STN]],SE_3[STN],SE_3[IdeaEligibility],"w/o disability",0)</f>
        <v>w/o disability</v>
      </c>
      <c r="F364" t="str">
        <f>_xlfn.XLOOKUP(PE_3[[#This Row],[STN]],SE_3[STN],SE_3[Ethnicity],"",0)</f>
        <v/>
      </c>
    </row>
    <row r="365" spans="1:6" ht="13.9">
      <c r="A365" s="3">
        <v>25311519</v>
      </c>
      <c r="B365" s="10">
        <v>38370</v>
      </c>
      <c r="C365" s="19">
        <v>17.868573167021601</v>
      </c>
      <c r="D365" s="3"/>
      <c r="E365" t="str">
        <f>_xlfn.XLOOKUP(PE_3[[#This Row],[STN]],SE_3[STN],SE_3[IdeaEligibility],"w/o disability",0)</f>
        <v>w/o disability</v>
      </c>
      <c r="F365" t="str">
        <f>_xlfn.XLOOKUP(PE_3[[#This Row],[STN]],SE_3[STN],SE_3[Ethnicity],"",0)</f>
        <v/>
      </c>
    </row>
    <row r="366" spans="1:6" ht="13.9">
      <c r="A366" s="5">
        <v>153911032</v>
      </c>
      <c r="B366" s="10">
        <v>38706</v>
      </c>
      <c r="C366" s="19">
        <v>16.948585336172801</v>
      </c>
      <c r="D366" s="3"/>
      <c r="E366" t="str">
        <f>_xlfn.XLOOKUP(PE_3[[#This Row],[STN]],SE_3[STN],SE_3[IdeaEligibility],"w/o disability",0)</f>
        <v>w/o disability</v>
      </c>
      <c r="F366" t="str">
        <f>_xlfn.XLOOKUP(PE_3[[#This Row],[STN]],SE_3[STN],SE_3[Ethnicity],"",0)</f>
        <v/>
      </c>
    </row>
    <row r="367" spans="1:6" ht="13.9">
      <c r="A367" s="5">
        <v>153911037</v>
      </c>
      <c r="B367" s="10">
        <v>38581</v>
      </c>
      <c r="C367" s="19">
        <v>17.290842713720718</v>
      </c>
      <c r="D367" s="3"/>
      <c r="E367" t="str">
        <f>_xlfn.XLOOKUP(PE_3[[#This Row],[STN]],SE_3[STN],SE_3[IdeaEligibility],"w/o disability",0)</f>
        <v>w/o disability</v>
      </c>
      <c r="F367" t="str">
        <f>_xlfn.XLOOKUP(PE_3[[#This Row],[STN]],SE_3[STN],SE_3[Ethnicity],"",0)</f>
        <v/>
      </c>
    </row>
    <row r="368" spans="1:6" ht="13.9">
      <c r="A368" s="3">
        <v>26511503</v>
      </c>
      <c r="B368" s="10">
        <v>38212</v>
      </c>
      <c r="C368" s="19">
        <v>18.299135446685881</v>
      </c>
      <c r="D368" s="3"/>
      <c r="E368" t="str">
        <f>_xlfn.XLOOKUP(PE_3[[#This Row],[STN]],SE_3[STN],SE_3[IdeaEligibility],"w/o disability",0)</f>
        <v>w/o disability</v>
      </c>
      <c r="F368" t="str">
        <f>_xlfn.XLOOKUP(PE_3[[#This Row],[STN]],SE_3[STN],SE_3[Ethnicity],"",0)</f>
        <v/>
      </c>
    </row>
    <row r="369" spans="1:6" ht="13.9">
      <c r="A369" s="3">
        <v>22911212</v>
      </c>
      <c r="B369" s="10">
        <v>39221</v>
      </c>
      <c r="C369" s="19">
        <v>15.537303216974674</v>
      </c>
      <c r="D369" s="3"/>
      <c r="E369" t="str">
        <f>_xlfn.XLOOKUP(PE_3[[#This Row],[STN]],SE_3[STN],SE_3[IdeaEligibility],"w/o disability",0)</f>
        <v>w/o disability</v>
      </c>
      <c r="F369" t="str">
        <f>_xlfn.XLOOKUP(PE_3[[#This Row],[STN]],SE_3[STN],SE_3[Ethnicity],"",0)</f>
        <v/>
      </c>
    </row>
    <row r="370" spans="1:6" ht="13.9">
      <c r="A370" s="3">
        <v>25311509</v>
      </c>
      <c r="B370" s="10">
        <v>38881</v>
      </c>
      <c r="C370" s="19">
        <v>16.46883556128201</v>
      </c>
      <c r="D370" s="3"/>
      <c r="E370" t="str">
        <f>_xlfn.XLOOKUP(PE_3[[#This Row],[STN]],SE_3[STN],SE_3[IdeaEligibility],"w/o disability",0)</f>
        <v>w/o disability</v>
      </c>
      <c r="F370" t="str">
        <f>_xlfn.XLOOKUP(PE_3[[#This Row],[STN]],SE_3[STN],SE_3[Ethnicity],"",0)</f>
        <v/>
      </c>
    </row>
    <row r="371" spans="1:6" ht="13.9">
      <c r="A371" s="3">
        <v>25311523</v>
      </c>
      <c r="B371" s="10">
        <v>38772</v>
      </c>
      <c r="C371" s="19">
        <v>16.76727331293284</v>
      </c>
      <c r="D371" s="3"/>
      <c r="E371" t="str">
        <f>_xlfn.XLOOKUP(PE_3[[#This Row],[STN]],SE_3[STN],SE_3[IdeaEligibility],"w/o disability",0)</f>
        <v>w/o disability</v>
      </c>
      <c r="F371" t="str">
        <f>_xlfn.XLOOKUP(PE_3[[#This Row],[STN]],SE_3[STN],SE_3[Ethnicity],"",0)</f>
        <v/>
      </c>
    </row>
    <row r="372" spans="1:6" ht="13.9">
      <c r="A372" s="5">
        <v>153911022</v>
      </c>
      <c r="B372" s="10">
        <v>38474</v>
      </c>
      <c r="C372" s="19">
        <v>17.583815028901732</v>
      </c>
      <c r="D372" s="3"/>
      <c r="E372" t="str">
        <f>_xlfn.XLOOKUP(PE_3[[#This Row],[STN]],SE_3[STN],SE_3[IdeaEligibility],"w/o disability",0)</f>
        <v>w/o disability</v>
      </c>
      <c r="F372" t="str">
        <f>_xlfn.XLOOKUP(PE_3[[#This Row],[STN]],SE_3[STN],SE_3[Ethnicity],"",0)</f>
        <v/>
      </c>
    </row>
    <row r="373" spans="1:6" ht="13.9">
      <c r="A373" s="5">
        <v>225508185</v>
      </c>
      <c r="B373" s="10">
        <v>38371</v>
      </c>
      <c r="C373" s="19">
        <v>17.865835108001217</v>
      </c>
      <c r="D373" s="3"/>
      <c r="E373" t="str">
        <f>_xlfn.XLOOKUP(PE_3[[#This Row],[STN]],SE_3[STN],SE_3[IdeaEligibility],"w/o disability",0)</f>
        <v>w/o disability</v>
      </c>
      <c r="F373" t="str">
        <f>_xlfn.XLOOKUP(PE_3[[#This Row],[STN]],SE_3[STN],SE_3[Ethnicity],"",0)</f>
        <v/>
      </c>
    </row>
    <row r="374" spans="1:6" ht="13.9">
      <c r="A374" s="3">
        <v>23911513</v>
      </c>
      <c r="B374" s="10">
        <v>38546</v>
      </c>
      <c r="C374" s="19">
        <v>17.386674779434134</v>
      </c>
      <c r="D374" s="3"/>
      <c r="E374" t="str">
        <f>_xlfn.XLOOKUP(PE_3[[#This Row],[STN]],SE_3[STN],SE_3[IdeaEligibility],"w/o disability",0)</f>
        <v>w/o disability</v>
      </c>
      <c r="F374" t="str">
        <f>_xlfn.XLOOKUP(PE_3[[#This Row],[STN]],SE_3[STN],SE_3[Ethnicity],"",0)</f>
        <v/>
      </c>
    </row>
    <row r="375" spans="1:6" ht="13.9">
      <c r="A375" s="3">
        <v>24911501</v>
      </c>
      <c r="B375" s="10">
        <v>38587</v>
      </c>
      <c r="C375" s="19">
        <v>17.274414359598417</v>
      </c>
      <c r="D375" s="3"/>
      <c r="E375" t="str">
        <f>_xlfn.XLOOKUP(PE_3[[#This Row],[STN]],SE_3[STN],SE_3[IdeaEligibility],"w/o disability",0)</f>
        <v>w/o disability</v>
      </c>
      <c r="F375" t="str">
        <f>_xlfn.XLOOKUP(PE_3[[#This Row],[STN]],SE_3[STN],SE_3[Ethnicity],"",0)</f>
        <v/>
      </c>
    </row>
    <row r="376" spans="1:6" ht="13.9">
      <c r="A376" s="5">
        <v>225508205</v>
      </c>
      <c r="B376" s="10">
        <v>38528</v>
      </c>
      <c r="C376" s="19">
        <v>17.435959841801033</v>
      </c>
      <c r="D376" s="3"/>
      <c r="E376" t="str">
        <f>_xlfn.XLOOKUP(PE_3[[#This Row],[STN]],SE_3[STN],SE_3[IdeaEligibility],"w/o disability",0)</f>
        <v>w/o disability</v>
      </c>
      <c r="F376" t="str">
        <f>_xlfn.XLOOKUP(PE_3[[#This Row],[STN]],SE_3[STN],SE_3[Ethnicity],"",0)</f>
        <v/>
      </c>
    </row>
    <row r="377" spans="1:6" ht="13.9">
      <c r="A377" s="3">
        <v>25311528</v>
      </c>
      <c r="B377" s="10">
        <v>38531</v>
      </c>
      <c r="C377" s="19">
        <v>17.427745664739884</v>
      </c>
      <c r="D377" s="3"/>
      <c r="E377" t="str">
        <f>_xlfn.XLOOKUP(PE_3[[#This Row],[STN]],SE_3[STN],SE_3[IdeaEligibility],"w/o disability",0)</f>
        <v>w/o disability</v>
      </c>
      <c r="F377" t="str">
        <f>_xlfn.XLOOKUP(PE_3[[#This Row],[STN]],SE_3[STN],SE_3[Ethnicity],"",0)</f>
        <v/>
      </c>
    </row>
    <row r="378" spans="1:6" ht="13.9">
      <c r="A378" s="3">
        <v>27011549</v>
      </c>
      <c r="B378" s="10">
        <v>38517</v>
      </c>
      <c r="C378" s="19">
        <v>17.46607849102525</v>
      </c>
      <c r="D378" s="3"/>
      <c r="E378" t="str">
        <f>_xlfn.XLOOKUP(PE_3[[#This Row],[STN]],SE_3[STN],SE_3[IdeaEligibility],"w/o disability",0)</f>
        <v>w/o disability</v>
      </c>
      <c r="F378" t="str">
        <f>_xlfn.XLOOKUP(PE_3[[#This Row],[STN]],SE_3[STN],SE_3[Ethnicity],"",0)</f>
        <v/>
      </c>
    </row>
    <row r="379" spans="1:6" ht="13.9">
      <c r="A379" s="3">
        <v>20511557</v>
      </c>
      <c r="B379" s="10">
        <v>38888</v>
      </c>
      <c r="C379" s="19">
        <v>16.449669834111774</v>
      </c>
      <c r="D379" s="3"/>
      <c r="E379" t="str">
        <f>_xlfn.XLOOKUP(PE_3[[#This Row],[STN]],SE_3[STN],SE_3[IdeaEligibility],"w/o disability",0)</f>
        <v>w/o disability</v>
      </c>
      <c r="F379" t="str">
        <f>_xlfn.XLOOKUP(PE_3[[#This Row],[STN]],SE_3[STN],SE_3[Ethnicity],"",0)</f>
        <v/>
      </c>
    </row>
    <row r="380" spans="1:6" ht="13.9">
      <c r="A380" s="3">
        <v>7211144</v>
      </c>
      <c r="B380" s="10">
        <v>38539</v>
      </c>
      <c r="C380" s="19">
        <v>17.405841192576819</v>
      </c>
      <c r="D380" s="3"/>
      <c r="E380" t="str">
        <f>_xlfn.XLOOKUP(PE_3[[#This Row],[STN]],SE_3[STN],SE_3[IdeaEligibility],"w/o disability",0)</f>
        <v>w/o disability</v>
      </c>
      <c r="F380" t="str">
        <f>_xlfn.XLOOKUP(PE_3[[#This Row],[STN]],SE_3[STN],SE_3[Ethnicity],"",0)</f>
        <v/>
      </c>
    </row>
    <row r="381" spans="1:6" ht="13.9">
      <c r="A381" s="3">
        <v>22911126</v>
      </c>
      <c r="B381" s="10">
        <v>39100</v>
      </c>
      <c r="C381" s="19">
        <v>15.868583162217659</v>
      </c>
      <c r="D381" s="3"/>
      <c r="E381" t="str">
        <f>_xlfn.XLOOKUP(PE_3[[#This Row],[STN]],SE_3[STN],SE_3[IdeaEligibility],"w/o disability",0)</f>
        <v>w/o disability</v>
      </c>
      <c r="F381" t="str">
        <f>_xlfn.XLOOKUP(PE_3[[#This Row],[STN]],SE_3[STN],SE_3[Ethnicity],"",0)</f>
        <v/>
      </c>
    </row>
    <row r="382" spans="1:6" ht="13.9">
      <c r="A382" s="3">
        <v>22911143</v>
      </c>
      <c r="B382" s="10">
        <v>39236</v>
      </c>
      <c r="C382" s="19">
        <v>15.496235455167694</v>
      </c>
      <c r="D382" s="3"/>
      <c r="E382" t="str">
        <f>_xlfn.XLOOKUP(PE_3[[#This Row],[STN]],SE_3[STN],SE_3[IdeaEligibility],"w/o disability",0)</f>
        <v>w/o disability</v>
      </c>
      <c r="F382" t="str">
        <f>_xlfn.XLOOKUP(PE_3[[#This Row],[STN]],SE_3[STN],SE_3[Ethnicity],"",0)</f>
        <v/>
      </c>
    </row>
    <row r="383" spans="1:6" ht="13.9">
      <c r="A383" s="5">
        <v>747811049</v>
      </c>
      <c r="B383" s="10">
        <v>38582</v>
      </c>
      <c r="C383" s="19">
        <v>17.288104654700334</v>
      </c>
      <c r="D383" s="3"/>
      <c r="E383" t="str">
        <f>_xlfn.XLOOKUP(PE_3[[#This Row],[STN]],SE_3[STN],SE_3[IdeaEligibility],"w/o disability",0)</f>
        <v>w/o disability</v>
      </c>
      <c r="F383" t="str">
        <f>_xlfn.XLOOKUP(PE_3[[#This Row],[STN]],SE_3[STN],SE_3[Ethnicity],"",0)</f>
        <v/>
      </c>
    </row>
    <row r="384" spans="1:6" ht="13.9">
      <c r="A384" s="3">
        <v>22911134</v>
      </c>
      <c r="B384" s="10">
        <v>39462</v>
      </c>
      <c r="C384" s="19">
        <v>14.876802336192737</v>
      </c>
      <c r="D384" s="3"/>
      <c r="E384" t="str">
        <f>_xlfn.XLOOKUP(PE_3[[#This Row],[STN]],SE_3[STN],SE_3[IdeaEligibility],"w/o disability",0)</f>
        <v>w/o disability</v>
      </c>
      <c r="F384" t="str">
        <f>_xlfn.XLOOKUP(PE_3[[#This Row],[STN]],SE_3[STN],SE_3[Ethnicity],"",0)</f>
        <v/>
      </c>
    </row>
    <row r="385" spans="1:6" ht="13.9">
      <c r="A385" s="3">
        <v>15711548</v>
      </c>
      <c r="B385" s="10">
        <v>38659</v>
      </c>
      <c r="C385" s="19">
        <v>17.077274110130819</v>
      </c>
      <c r="D385" s="3"/>
      <c r="E385" t="str">
        <f>_xlfn.XLOOKUP(PE_3[[#This Row],[STN]],SE_3[STN],SE_3[IdeaEligibility],"w/o disability",0)</f>
        <v>w/o disability</v>
      </c>
      <c r="F385" t="str">
        <f>_xlfn.XLOOKUP(PE_3[[#This Row],[STN]],SE_3[STN],SE_3[Ethnicity],"",0)</f>
        <v/>
      </c>
    </row>
    <row r="386" spans="1:6" ht="13.9">
      <c r="A386" s="3">
        <v>24110097</v>
      </c>
      <c r="B386" s="10">
        <v>38255</v>
      </c>
      <c r="C386" s="19">
        <v>18.1814121037464</v>
      </c>
      <c r="D386" s="3"/>
      <c r="E386" t="str">
        <f>_xlfn.XLOOKUP(PE_3[[#This Row],[STN]],SE_3[STN],SE_3[IdeaEligibility],"w/o disability",0)</f>
        <v>w/o disability</v>
      </c>
      <c r="F386" t="str">
        <f>_xlfn.XLOOKUP(PE_3[[#This Row],[STN]],SE_3[STN],SE_3[Ethnicity],"",0)</f>
        <v/>
      </c>
    </row>
    <row r="387" spans="1:6" ht="13.9">
      <c r="A387" s="3">
        <v>13710009</v>
      </c>
      <c r="B387" s="10">
        <v>38525</v>
      </c>
      <c r="C387" s="19">
        <v>17.444174018862185</v>
      </c>
      <c r="D387" s="3"/>
      <c r="E387" t="str">
        <f>_xlfn.XLOOKUP(PE_3[[#This Row],[STN]],SE_3[STN],SE_3[IdeaEligibility],"w/o disability",0)</f>
        <v>w/o disability</v>
      </c>
      <c r="F387" t="str">
        <f>_xlfn.XLOOKUP(PE_3[[#This Row],[STN]],SE_3[STN],SE_3[Ethnicity],"",0)</f>
        <v/>
      </c>
    </row>
    <row r="388" spans="1:6" ht="13.9">
      <c r="A388" s="3">
        <v>20511551</v>
      </c>
      <c r="B388" s="10">
        <v>38670</v>
      </c>
      <c r="C388" s="19">
        <v>17.047155460906602</v>
      </c>
      <c r="D388" s="3"/>
      <c r="E388" t="str">
        <f>_xlfn.XLOOKUP(PE_3[[#This Row],[STN]],SE_3[STN],SE_3[IdeaEligibility],"w/o disability",0)</f>
        <v>w/o disability</v>
      </c>
      <c r="F388" t="str">
        <f>_xlfn.XLOOKUP(PE_3[[#This Row],[STN]],SE_3[STN],SE_3[Ethnicity],"",0)</f>
        <v/>
      </c>
    </row>
    <row r="389" spans="1:6" ht="13.9">
      <c r="A389" s="3">
        <v>26510516</v>
      </c>
      <c r="B389" s="10">
        <v>38459</v>
      </c>
      <c r="C389" s="19">
        <v>17.624885914207482</v>
      </c>
      <c r="D389" s="3"/>
      <c r="E389" t="str">
        <f>_xlfn.XLOOKUP(PE_3[[#This Row],[STN]],SE_3[STN],SE_3[IdeaEligibility],"w/o disability",0)</f>
        <v>w/o disability</v>
      </c>
      <c r="F389" t="str">
        <f>_xlfn.XLOOKUP(PE_3[[#This Row],[STN]],SE_3[STN],SE_3[Ethnicity],"",0)</f>
        <v/>
      </c>
    </row>
    <row r="390" spans="1:6" ht="13.9">
      <c r="A390" s="3">
        <v>9410022</v>
      </c>
      <c r="B390" s="10">
        <v>38250</v>
      </c>
      <c r="C390" s="19">
        <v>18.195100864553314</v>
      </c>
      <c r="D390" s="3"/>
      <c r="E390" t="str">
        <f>_xlfn.XLOOKUP(PE_3[[#This Row],[STN]],SE_3[STN],SE_3[IdeaEligibility],"w/o disability",0)</f>
        <v>w/o disability</v>
      </c>
      <c r="F390" t="str">
        <f>_xlfn.XLOOKUP(PE_3[[#This Row],[STN]],SE_3[STN],SE_3[Ethnicity],"",0)</f>
        <v/>
      </c>
    </row>
    <row r="391" spans="1:6" ht="13.9">
      <c r="A391" s="3">
        <v>13710023</v>
      </c>
      <c r="B391" s="10">
        <v>38328</v>
      </c>
      <c r="C391" s="19">
        <v>17.981556195965418</v>
      </c>
      <c r="D391" s="3"/>
      <c r="E391" t="str">
        <f>_xlfn.XLOOKUP(PE_3[[#This Row],[STN]],SE_3[STN],SE_3[IdeaEligibility],"w/o disability",0)</f>
        <v>w/o disability</v>
      </c>
      <c r="F391" t="str">
        <f>_xlfn.XLOOKUP(PE_3[[#This Row],[STN]],SE_3[STN],SE_3[Ethnicity],"",0)</f>
        <v/>
      </c>
    </row>
    <row r="392" spans="1:6" ht="13.9">
      <c r="A392" s="5">
        <v>225508212</v>
      </c>
      <c r="B392" s="10">
        <v>38356</v>
      </c>
      <c r="C392" s="19">
        <v>17.906905993306967</v>
      </c>
      <c r="D392" s="3"/>
      <c r="E392" t="str">
        <f>_xlfn.XLOOKUP(PE_3[[#This Row],[STN]],SE_3[STN],SE_3[IdeaEligibility],"w/o disability",0)</f>
        <v>w/o disability</v>
      </c>
      <c r="F392" t="str">
        <f>_xlfn.XLOOKUP(PE_3[[#This Row],[STN]],SE_3[STN],SE_3[Ethnicity],"",0)</f>
        <v/>
      </c>
    </row>
    <row r="393" spans="1:6" ht="13.9">
      <c r="A393" s="5">
        <v>225508230</v>
      </c>
      <c r="B393" s="10">
        <v>38362</v>
      </c>
      <c r="C393" s="19">
        <v>17.890477639184667</v>
      </c>
      <c r="D393" s="3"/>
      <c r="E393" t="str">
        <f>_xlfn.XLOOKUP(PE_3[[#This Row],[STN]],SE_3[STN],SE_3[IdeaEligibility],"w/o disability",0)</f>
        <v>w/o disability</v>
      </c>
      <c r="F393" t="str">
        <f>_xlfn.XLOOKUP(PE_3[[#This Row],[STN]],SE_3[STN],SE_3[Ethnicity],"",0)</f>
        <v/>
      </c>
    </row>
    <row r="394" spans="1:6" ht="13.9">
      <c r="A394" s="3">
        <v>22911085</v>
      </c>
      <c r="B394" s="10">
        <v>39427</v>
      </c>
      <c r="C394" s="19">
        <v>14.973305954825461</v>
      </c>
      <c r="D394" s="3"/>
      <c r="E394" t="str">
        <f>_xlfn.XLOOKUP(PE_3[[#This Row],[STN]],SE_3[STN],SE_3[IdeaEligibility],"w/o disability",0)</f>
        <v>w/o disability</v>
      </c>
      <c r="F394" t="str">
        <f>_xlfn.XLOOKUP(PE_3[[#This Row],[STN]],SE_3[STN],SE_3[Ethnicity],"",0)</f>
        <v/>
      </c>
    </row>
    <row r="395" spans="1:6" ht="13.9">
      <c r="A395" s="3">
        <v>31711086</v>
      </c>
      <c r="B395" s="10">
        <v>38379</v>
      </c>
      <c r="C395" s="19">
        <v>17.843930635838149</v>
      </c>
      <c r="D395" s="3"/>
      <c r="E395" t="str">
        <f>_xlfn.XLOOKUP(PE_3[[#This Row],[STN]],SE_3[STN],SE_3[IdeaEligibility],"w/o disability",0)</f>
        <v>w/o disability</v>
      </c>
      <c r="F395" t="str">
        <f>_xlfn.XLOOKUP(PE_3[[#This Row],[STN]],SE_3[STN],SE_3[Ethnicity],"",0)</f>
        <v/>
      </c>
    </row>
    <row r="396" spans="1:6" ht="13.9">
      <c r="A396" s="3">
        <v>25711500</v>
      </c>
      <c r="B396" s="10">
        <v>38307</v>
      </c>
      <c r="C396" s="19">
        <v>18.039048991354466</v>
      </c>
      <c r="D396" s="3"/>
      <c r="E396" t="str">
        <f>_xlfn.XLOOKUP(PE_3[[#This Row],[STN]],SE_3[STN],SE_3[IdeaEligibility],"w/o disability",0)</f>
        <v>w/o disability</v>
      </c>
      <c r="F396" t="str">
        <f>_xlfn.XLOOKUP(PE_3[[#This Row],[STN]],SE_3[STN],SE_3[Ethnicity],"",0)</f>
        <v/>
      </c>
    </row>
    <row r="397" spans="1:6" ht="13.9">
      <c r="A397" s="5">
        <v>225508192</v>
      </c>
      <c r="B397" s="10">
        <v>38218</v>
      </c>
      <c r="C397" s="19">
        <v>18.282708933717579</v>
      </c>
      <c r="D397" s="3"/>
      <c r="E397" t="str">
        <f>_xlfn.XLOOKUP(PE_3[[#This Row],[STN]],SE_3[STN],SE_3[IdeaEligibility],"w/o disability",0)</f>
        <v>w/o disability</v>
      </c>
      <c r="F397" t="str">
        <f>_xlfn.XLOOKUP(PE_3[[#This Row],[STN]],SE_3[STN],SE_3[Ethnicity],"",0)</f>
        <v/>
      </c>
    </row>
    <row r="398" spans="1:6" ht="13.9">
      <c r="A398" s="5">
        <v>225508196</v>
      </c>
      <c r="B398" s="10">
        <v>38286</v>
      </c>
      <c r="C398" s="19">
        <v>18.096541786743519</v>
      </c>
      <c r="D398" s="3"/>
      <c r="E398" t="str">
        <f>_xlfn.XLOOKUP(PE_3[[#This Row],[STN]],SE_3[STN],SE_3[IdeaEligibility],"w/o disability",0)</f>
        <v>w/o disability</v>
      </c>
      <c r="F398" t="str">
        <f>_xlfn.XLOOKUP(PE_3[[#This Row],[STN]],SE_3[STN],SE_3[Ethnicity],"",0)</f>
        <v/>
      </c>
    </row>
    <row r="399" spans="1:6" ht="13.9">
      <c r="A399" s="3" t="s">
        <v>644</v>
      </c>
      <c r="B399" s="10">
        <v>38187</v>
      </c>
      <c r="C399" s="19">
        <v>18.36757925072046</v>
      </c>
      <c r="D399" s="3"/>
      <c r="E399" t="str">
        <f>_xlfn.XLOOKUP(PE_3[[#This Row],[STN]],SE_3[STN],SE_3[IdeaEligibility],"w/o disability",0)</f>
        <v>w/o disability</v>
      </c>
      <c r="F399" t="str">
        <f>_xlfn.XLOOKUP(PE_3[[#This Row],[STN]],SE_3[STN],SE_3[Ethnicity],"",0)</f>
        <v/>
      </c>
    </row>
    <row r="400" spans="1:6" ht="13.9">
      <c r="A400" s="3">
        <v>20511553</v>
      </c>
      <c r="B400" s="10">
        <v>38775</v>
      </c>
      <c r="C400" s="19">
        <v>16.759059429859882</v>
      </c>
      <c r="D400" s="3"/>
      <c r="E400" t="str">
        <f>_xlfn.XLOOKUP(PE_3[[#This Row],[STN]],SE_3[STN],SE_3[IdeaEligibility],"w/o disability",0)</f>
        <v>w/o disability</v>
      </c>
      <c r="F400" t="str">
        <f>_xlfn.XLOOKUP(PE_3[[#This Row],[STN]],SE_3[STN],SE_3[Ethnicity],"",0)</f>
        <v/>
      </c>
    </row>
    <row r="401" spans="1:6" ht="13.9">
      <c r="A401" s="3">
        <v>17811534</v>
      </c>
      <c r="B401" s="10">
        <v>38551</v>
      </c>
      <c r="C401" s="19">
        <v>17.372984484332218</v>
      </c>
      <c r="D401" s="3"/>
      <c r="E401" t="str">
        <f>_xlfn.XLOOKUP(PE_3[[#This Row],[STN]],SE_3[STN],SE_3[IdeaEligibility],"w/o disability",0)</f>
        <v>w/o disability</v>
      </c>
      <c r="F401" t="str">
        <f>_xlfn.XLOOKUP(PE_3[[#This Row],[STN]],SE_3[STN],SE_3[Ethnicity],"",0)</f>
        <v/>
      </c>
    </row>
    <row r="402" spans="1:6" ht="13.9">
      <c r="A402" s="5">
        <v>369811007</v>
      </c>
      <c r="B402" s="10">
        <v>38464</v>
      </c>
      <c r="C402" s="19">
        <v>17.611195619105565</v>
      </c>
      <c r="D402" s="3"/>
      <c r="E402" t="str">
        <f>_xlfn.XLOOKUP(PE_3[[#This Row],[STN]],SE_3[STN],SE_3[IdeaEligibility],"w/o disability",0)</f>
        <v>w/o disability</v>
      </c>
      <c r="F402" t="str">
        <f>_xlfn.XLOOKUP(PE_3[[#This Row],[STN]],SE_3[STN],SE_3[Ethnicity],"",0)</f>
        <v/>
      </c>
    </row>
    <row r="403" spans="1:6" ht="13.9">
      <c r="A403" s="5">
        <v>225508186</v>
      </c>
      <c r="B403" s="10">
        <v>38398</v>
      </c>
      <c r="C403" s="19">
        <v>17.791907514450866</v>
      </c>
      <c r="D403" s="3"/>
      <c r="E403" t="str">
        <f>_xlfn.XLOOKUP(PE_3[[#This Row],[STN]],SE_3[STN],SE_3[IdeaEligibility],"w/o disability",0)</f>
        <v>w/o disability</v>
      </c>
      <c r="F403" t="str">
        <f>_xlfn.XLOOKUP(PE_3[[#This Row],[STN]],SE_3[STN],SE_3[Ethnicity],"",0)</f>
        <v/>
      </c>
    </row>
    <row r="404" spans="1:6" ht="13.9">
      <c r="A404" s="5">
        <v>361011065</v>
      </c>
      <c r="B404" s="10">
        <v>38456</v>
      </c>
      <c r="C404" s="19">
        <v>17.633100091268634</v>
      </c>
      <c r="D404" s="3"/>
      <c r="E404" t="str">
        <f>_xlfn.XLOOKUP(PE_3[[#This Row],[STN]],SE_3[STN],SE_3[IdeaEligibility],"w/o disability",0)</f>
        <v>w/o disability</v>
      </c>
      <c r="F404" t="str">
        <f>_xlfn.XLOOKUP(PE_3[[#This Row],[STN]],SE_3[STN],SE_3[Ethnicity],"",0)</f>
        <v/>
      </c>
    </row>
    <row r="405" spans="1:6" ht="13.9">
      <c r="A405" s="5">
        <v>651010115</v>
      </c>
      <c r="B405" s="10">
        <v>38237</v>
      </c>
      <c r="C405" s="19">
        <v>18.230691642651298</v>
      </c>
      <c r="D405" s="3"/>
      <c r="E405" t="str">
        <f>_xlfn.XLOOKUP(PE_3[[#This Row],[STN]],SE_3[STN],SE_3[IdeaEligibility],"w/o disability",0)</f>
        <v>w/o disability</v>
      </c>
      <c r="F405" t="str">
        <f>_xlfn.XLOOKUP(PE_3[[#This Row],[STN]],SE_3[STN],SE_3[Ethnicity],"",0)</f>
        <v/>
      </c>
    </row>
    <row r="406" spans="1:6" ht="13.9">
      <c r="A406" s="3">
        <v>23911510</v>
      </c>
      <c r="B406" s="10">
        <v>38381</v>
      </c>
      <c r="C406" s="19">
        <v>17.838454517797384</v>
      </c>
      <c r="D406" s="3"/>
      <c r="E406" t="str">
        <f>_xlfn.XLOOKUP(PE_3[[#This Row],[STN]],SE_3[STN],SE_3[IdeaEligibility],"w/o disability",0)</f>
        <v>w/o disability</v>
      </c>
      <c r="F406" t="str">
        <f>_xlfn.XLOOKUP(PE_3[[#This Row],[STN]],SE_3[STN],SE_3[Ethnicity],"",0)</f>
        <v/>
      </c>
    </row>
    <row r="407" spans="1:6" ht="13.9">
      <c r="A407" s="5">
        <v>225508199</v>
      </c>
      <c r="B407" s="10">
        <v>38275</v>
      </c>
      <c r="C407" s="19">
        <v>18.126657060518735</v>
      </c>
      <c r="D407" s="3"/>
      <c r="E407" t="str">
        <f>_xlfn.XLOOKUP(PE_3[[#This Row],[STN]],SE_3[STN],SE_3[IdeaEligibility],"w/o disability",0)</f>
        <v>w/o disability</v>
      </c>
      <c r="F407" t="str">
        <f>_xlfn.XLOOKUP(PE_3[[#This Row],[STN]],SE_3[STN],SE_3[Ethnicity],"",0)</f>
        <v/>
      </c>
    </row>
    <row r="408" spans="1:6" ht="13.9">
      <c r="A408" s="3">
        <v>27011550</v>
      </c>
      <c r="B408" s="10">
        <v>38288</v>
      </c>
      <c r="C408" s="19">
        <v>18.091066282420751</v>
      </c>
      <c r="D408" s="3"/>
      <c r="E408" t="str">
        <f>_xlfn.XLOOKUP(PE_3[[#This Row],[STN]],SE_3[STN],SE_3[IdeaEligibility],"w/o disability",0)</f>
        <v>w/o disability</v>
      </c>
      <c r="F408" t="str">
        <f>_xlfn.XLOOKUP(PE_3[[#This Row],[STN]],SE_3[STN],SE_3[Ethnicity],"",0)</f>
        <v/>
      </c>
    </row>
    <row r="409" spans="1:6" ht="13.9">
      <c r="A409" s="3">
        <v>22910143</v>
      </c>
      <c r="B409" s="10">
        <v>38789</v>
      </c>
      <c r="C409" s="19">
        <v>16.720727975519406</v>
      </c>
      <c r="D409" s="3"/>
      <c r="E409" t="str">
        <f>_xlfn.XLOOKUP(PE_3[[#This Row],[STN]],SE_3[STN],SE_3[IdeaEligibility],"w/o disability",0)</f>
        <v>w/o disability</v>
      </c>
      <c r="F409" t="str">
        <f>_xlfn.XLOOKUP(PE_3[[#This Row],[STN]],SE_3[STN],SE_3[Ethnicity],"",0)</f>
        <v/>
      </c>
    </row>
    <row r="410" spans="1:6" ht="13.9">
      <c r="A410" s="3">
        <v>22910128</v>
      </c>
      <c r="B410" s="10">
        <v>39045</v>
      </c>
      <c r="C410" s="19">
        <v>16.019809953293606</v>
      </c>
      <c r="D410" s="3"/>
      <c r="E410" t="str">
        <f>_xlfn.XLOOKUP(PE_3[[#This Row],[STN]],SE_3[STN],SE_3[IdeaEligibility],"w/o disability",0)</f>
        <v>w/o disability</v>
      </c>
      <c r="F410" t="str">
        <f>_xlfn.XLOOKUP(PE_3[[#This Row],[STN]],SE_3[STN],SE_3[Ethnicity],"",0)</f>
        <v/>
      </c>
    </row>
    <row r="411" spans="1:6" ht="13.9">
      <c r="A411" s="3">
        <v>22910038</v>
      </c>
      <c r="B411" s="10">
        <v>39216</v>
      </c>
      <c r="C411" s="19">
        <v>15.550992470910336</v>
      </c>
      <c r="D411" s="3"/>
      <c r="E411" t="str">
        <f>_xlfn.XLOOKUP(PE_3[[#This Row],[STN]],SE_3[STN],SE_3[IdeaEligibility],"w/o disability",0)</f>
        <v>w/o disability</v>
      </c>
      <c r="F411" t="str">
        <f>_xlfn.XLOOKUP(PE_3[[#This Row],[STN]],SE_3[STN],SE_3[Ethnicity],"",0)</f>
        <v/>
      </c>
    </row>
    <row r="412" spans="1:6" ht="13.9">
      <c r="A412" s="3">
        <v>20511537</v>
      </c>
      <c r="B412" s="10">
        <v>38301</v>
      </c>
      <c r="C412" s="19">
        <v>18.055475504322768</v>
      </c>
      <c r="D412" s="3"/>
      <c r="E412" t="str">
        <f>_xlfn.XLOOKUP(PE_3[[#This Row],[STN]],SE_3[STN],SE_3[IdeaEligibility],"w/o disability",0)</f>
        <v>w/o disability</v>
      </c>
      <c r="F412" t="str">
        <f>_xlfn.XLOOKUP(PE_3[[#This Row],[STN]],SE_3[STN],SE_3[Ethnicity],"",0)</f>
        <v/>
      </c>
    </row>
    <row r="413" spans="1:6" ht="13.9">
      <c r="A413" s="3">
        <v>15311523</v>
      </c>
      <c r="B413" s="10">
        <v>38445</v>
      </c>
      <c r="C413" s="19">
        <v>17.663218740492852</v>
      </c>
      <c r="D413" s="3"/>
      <c r="E413" t="str">
        <f>_xlfn.XLOOKUP(PE_3[[#This Row],[STN]],SE_3[STN],SE_3[IdeaEligibility],"w/o disability",0)</f>
        <v>w/o disability</v>
      </c>
      <c r="F413" t="str">
        <f>_xlfn.XLOOKUP(PE_3[[#This Row],[STN]],SE_3[STN],SE_3[Ethnicity],"",0)</f>
        <v/>
      </c>
    </row>
    <row r="414" spans="1:6" ht="13.9">
      <c r="A414" s="3">
        <v>22910135</v>
      </c>
      <c r="B414" s="10">
        <v>38447</v>
      </c>
      <c r="C414" s="19">
        <v>17.657742622452083</v>
      </c>
      <c r="D414" s="3"/>
      <c r="E414" t="str">
        <f>_xlfn.XLOOKUP(PE_3[[#This Row],[STN]],SE_3[STN],SE_3[IdeaEligibility],"w/o disability",0)</f>
        <v>w/o disability</v>
      </c>
      <c r="F414" t="str">
        <f>_xlfn.XLOOKUP(PE_3[[#This Row],[STN]],SE_3[STN],SE_3[Ethnicity],"",0)</f>
        <v/>
      </c>
    </row>
    <row r="415" spans="1:6" ht="13.9">
      <c r="A415" s="3">
        <v>7710525</v>
      </c>
      <c r="B415" s="10">
        <v>38133</v>
      </c>
      <c r="C415" s="19">
        <v>18.515417867435161</v>
      </c>
      <c r="D415" s="3"/>
      <c r="E415" t="str">
        <f>_xlfn.XLOOKUP(PE_3[[#This Row],[STN]],SE_3[STN],SE_3[IdeaEligibility],"w/o disability",0)</f>
        <v>w/o disability</v>
      </c>
      <c r="F415" t="str">
        <f>_xlfn.XLOOKUP(PE_3[[#This Row],[STN]],SE_3[STN],SE_3[Ethnicity],"",0)</f>
        <v/>
      </c>
    </row>
    <row r="416" spans="1:6" ht="13.9">
      <c r="A416" s="5">
        <v>225508190</v>
      </c>
      <c r="B416" s="10">
        <v>38205</v>
      </c>
      <c r="C416" s="19">
        <v>18.318299711815563</v>
      </c>
      <c r="D416" s="3"/>
      <c r="E416" t="str">
        <f>_xlfn.XLOOKUP(PE_3[[#This Row],[STN]],SE_3[STN],SE_3[IdeaEligibility],"w/o disability",0)</f>
        <v>w/o disability</v>
      </c>
      <c r="F416" t="str">
        <f>_xlfn.XLOOKUP(PE_3[[#This Row],[STN]],SE_3[STN],SE_3[Ethnicity],"",0)</f>
        <v/>
      </c>
    </row>
    <row r="417" spans="1:6" ht="13.9">
      <c r="A417" s="3">
        <v>22111528</v>
      </c>
      <c r="B417" s="10">
        <v>38321</v>
      </c>
      <c r="C417" s="19">
        <v>18.000720461095103</v>
      </c>
      <c r="D417" s="3"/>
      <c r="E417" t="str">
        <f>_xlfn.XLOOKUP(PE_3[[#This Row],[STN]],SE_3[STN],SE_3[IdeaEligibility],"w/o disability",0)</f>
        <v>w/o disability</v>
      </c>
      <c r="F417" t="str">
        <f>_xlfn.XLOOKUP(PE_3[[#This Row],[STN]],SE_3[STN],SE_3[Ethnicity],"",0)</f>
        <v/>
      </c>
    </row>
    <row r="418" spans="1:6" ht="13.9">
      <c r="A418" s="3">
        <v>22910083</v>
      </c>
      <c r="B418" s="10">
        <v>38918</v>
      </c>
      <c r="C418" s="19">
        <v>16.367531003382187</v>
      </c>
      <c r="D418" s="3"/>
      <c r="E418" t="str">
        <f>_xlfn.XLOOKUP(PE_3[[#This Row],[STN]],SE_3[STN],SE_3[IdeaEligibility],"w/o disability",0)</f>
        <v>w/o disability</v>
      </c>
      <c r="F418" t="str">
        <f>_xlfn.XLOOKUP(PE_3[[#This Row],[STN]],SE_3[STN],SE_3[Ethnicity],"",0)</f>
        <v/>
      </c>
    </row>
    <row r="419" spans="1:6" ht="13.9">
      <c r="A419" s="3">
        <v>22910105</v>
      </c>
      <c r="B419" s="10">
        <v>38835</v>
      </c>
      <c r="C419" s="19">
        <v>16.594781768400708</v>
      </c>
      <c r="D419" s="3"/>
      <c r="E419" t="str">
        <f>_xlfn.XLOOKUP(PE_3[[#This Row],[STN]],SE_3[STN],SE_3[IdeaEligibility],"w/o disability",0)</f>
        <v>w/o disability</v>
      </c>
      <c r="F419" t="str">
        <f>_xlfn.XLOOKUP(PE_3[[#This Row],[STN]],SE_3[STN],SE_3[Ethnicity],"",0)</f>
        <v/>
      </c>
    </row>
    <row r="420" spans="1:6" ht="13.9">
      <c r="A420" s="3">
        <v>22910031</v>
      </c>
      <c r="B420" s="10">
        <v>39300</v>
      </c>
      <c r="C420" s="19">
        <v>15.321013004791238</v>
      </c>
      <c r="D420" s="3"/>
      <c r="E420" t="str">
        <f>_xlfn.XLOOKUP(PE_3[[#This Row],[STN]],SE_3[STN],SE_3[IdeaEligibility],"w/o disability",0)</f>
        <v>w/o disability</v>
      </c>
      <c r="F420" t="str">
        <f>_xlfn.XLOOKUP(PE_3[[#This Row],[STN]],SE_3[STN],SE_3[Ethnicity],"",0)</f>
        <v/>
      </c>
    </row>
    <row r="421" spans="1:6" ht="13.9">
      <c r="A421" s="3">
        <v>22111509</v>
      </c>
      <c r="B421" s="10">
        <v>38481</v>
      </c>
      <c r="C421" s="19">
        <v>17.564648615759051</v>
      </c>
      <c r="D421" s="3"/>
      <c r="E421" t="str">
        <f>_xlfn.XLOOKUP(PE_3[[#This Row],[STN]],SE_3[STN],SE_3[IdeaEligibility],"w/o disability",0)</f>
        <v>w/o disability</v>
      </c>
      <c r="F421" t="str">
        <f>_xlfn.XLOOKUP(PE_3[[#This Row],[STN]],SE_3[STN],SE_3[Ethnicity],"",0)</f>
        <v/>
      </c>
    </row>
    <row r="422" spans="1:6" ht="13.9">
      <c r="A422" s="3">
        <v>21311526</v>
      </c>
      <c r="B422" s="10">
        <v>38446</v>
      </c>
      <c r="C422" s="19">
        <v>17.660480681472468</v>
      </c>
      <c r="D422" s="3"/>
      <c r="E422" t="str">
        <f>_xlfn.XLOOKUP(PE_3[[#This Row],[STN]],SE_3[STN],SE_3[IdeaEligibility],"w/o disability",0)</f>
        <v>w/o disability</v>
      </c>
      <c r="F422" t="str">
        <f>_xlfn.XLOOKUP(PE_3[[#This Row],[STN]],SE_3[STN],SE_3[Ethnicity],"",0)</f>
        <v/>
      </c>
    </row>
    <row r="423" spans="1:6" ht="13.9">
      <c r="A423" s="3">
        <v>22910012</v>
      </c>
      <c r="B423" s="10">
        <v>39191</v>
      </c>
      <c r="C423" s="19">
        <v>15.619438740588638</v>
      </c>
      <c r="D423" s="3"/>
      <c r="E423" t="str">
        <f>_xlfn.XLOOKUP(PE_3[[#This Row],[STN]],SE_3[STN],SE_3[IdeaEligibility],"w/o disability",0)</f>
        <v>w/o disability</v>
      </c>
      <c r="F423" t="str">
        <f>_xlfn.XLOOKUP(PE_3[[#This Row],[STN]],SE_3[STN],SE_3[Ethnicity],"",0)</f>
        <v/>
      </c>
    </row>
    <row r="424" spans="1:6" ht="13.9">
      <c r="A424" s="3">
        <v>21311519</v>
      </c>
      <c r="B424" s="10">
        <v>38665</v>
      </c>
      <c r="C424" s="19">
        <v>17.060845756008518</v>
      </c>
      <c r="D424" s="3"/>
      <c r="E424" t="str">
        <f>_xlfn.XLOOKUP(PE_3[[#This Row],[STN]],SE_3[STN],SE_3[IdeaEligibility],"w/o disability",0)</f>
        <v>w/o disability</v>
      </c>
      <c r="F424" t="str">
        <f>_xlfn.XLOOKUP(PE_3[[#This Row],[STN]],SE_3[STN],SE_3[Ethnicity],"",0)</f>
        <v/>
      </c>
    </row>
    <row r="425" spans="1:6" ht="13.9">
      <c r="A425" s="3">
        <v>18610540</v>
      </c>
      <c r="B425" s="10">
        <v>38344</v>
      </c>
      <c r="C425" s="19">
        <v>17.937752161383287</v>
      </c>
      <c r="D425" s="3"/>
      <c r="E425" t="str">
        <f>_xlfn.XLOOKUP(PE_3[[#This Row],[STN]],SE_3[STN],SE_3[IdeaEligibility],"w/o disability",0)</f>
        <v>w/o disability</v>
      </c>
      <c r="F425" t="str">
        <f>_xlfn.XLOOKUP(PE_3[[#This Row],[STN]],SE_3[STN],SE_3[Ethnicity],"",0)</f>
        <v/>
      </c>
    </row>
    <row r="426" spans="1:6" ht="13.9">
      <c r="A426" s="3" t="s">
        <v>645</v>
      </c>
      <c r="B426" s="10">
        <v>39320</v>
      </c>
      <c r="C426" s="19">
        <v>15.266255989048597</v>
      </c>
      <c r="D426" s="3"/>
      <c r="E426" t="str">
        <f>_xlfn.XLOOKUP(PE_3[[#This Row],[STN]],SE_3[STN],SE_3[IdeaEligibility],"w/o disability",0)</f>
        <v>w/o disability</v>
      </c>
      <c r="F426" t="str">
        <f>_xlfn.XLOOKUP(PE_3[[#This Row],[STN]],SE_3[STN],SE_3[Ethnicity],"",0)</f>
        <v/>
      </c>
    </row>
    <row r="427" spans="1:6" ht="13.9">
      <c r="A427" s="3">
        <v>18910200</v>
      </c>
      <c r="B427" s="10">
        <v>38390</v>
      </c>
      <c r="C427" s="19">
        <v>17.813811986613935</v>
      </c>
      <c r="D427" s="3"/>
      <c r="E427" t="str">
        <f>_xlfn.XLOOKUP(PE_3[[#This Row],[STN]],SE_3[STN],SE_3[IdeaEligibility],"w/o disability",0)</f>
        <v>w/o disability</v>
      </c>
      <c r="F427" t="str">
        <f>_xlfn.XLOOKUP(PE_3[[#This Row],[STN]],SE_3[STN],SE_3[Ethnicity],"",0)</f>
        <v/>
      </c>
    </row>
    <row r="428" spans="1:6" ht="13.9">
      <c r="A428" s="3">
        <v>18910543</v>
      </c>
      <c r="B428" s="10">
        <v>38519</v>
      </c>
      <c r="C428" s="19">
        <v>17.460602372984486</v>
      </c>
      <c r="D428" s="3"/>
      <c r="E428" t="str">
        <f>_xlfn.XLOOKUP(PE_3[[#This Row],[STN]],SE_3[STN],SE_3[IdeaEligibility],"w/o disability",0)</f>
        <v>w/o disability</v>
      </c>
      <c r="F428" t="str">
        <f>_xlfn.XLOOKUP(PE_3[[#This Row],[STN]],SE_3[STN],SE_3[Ethnicity],"",0)</f>
        <v/>
      </c>
    </row>
    <row r="429" spans="1:6" ht="13.9">
      <c r="A429" s="3">
        <v>15709532</v>
      </c>
      <c r="B429" s="10">
        <v>38639</v>
      </c>
      <c r="C429" s="19">
        <v>17.132035290538486</v>
      </c>
      <c r="D429" s="3"/>
      <c r="E429" t="str">
        <f>_xlfn.XLOOKUP(PE_3[[#This Row],[STN]],SE_3[STN],SE_3[IdeaEligibility],"w/o disability",0)</f>
        <v>w/o disability</v>
      </c>
      <c r="F429" t="str">
        <f>_xlfn.XLOOKUP(PE_3[[#This Row],[STN]],SE_3[STN],SE_3[Ethnicity],"",0)</f>
        <v/>
      </c>
    </row>
    <row r="430" spans="1:6" ht="13.9">
      <c r="A430" s="3">
        <v>22909649</v>
      </c>
      <c r="B430" s="10">
        <v>38769</v>
      </c>
      <c r="C430" s="19">
        <v>16.775487196005798</v>
      </c>
      <c r="D430" s="3"/>
      <c r="E430" t="str">
        <f>_xlfn.XLOOKUP(PE_3[[#This Row],[STN]],SE_3[STN],SE_3[IdeaEligibility],"w/o disability",0)</f>
        <v>w/o disability</v>
      </c>
      <c r="F430" t="str">
        <f>_xlfn.XLOOKUP(PE_3[[#This Row],[STN]],SE_3[STN],SE_3[Ethnicity],"",0)</f>
        <v/>
      </c>
    </row>
    <row r="431" spans="1:6" ht="13.9">
      <c r="A431" s="3">
        <v>22909588</v>
      </c>
      <c r="B431" s="10">
        <v>38731</v>
      </c>
      <c r="C431" s="19">
        <v>16.879529714929941</v>
      </c>
      <c r="D431" s="3"/>
      <c r="E431" t="str">
        <f>_xlfn.XLOOKUP(PE_3[[#This Row],[STN]],SE_3[STN],SE_3[IdeaEligibility],"w/o disability",0)</f>
        <v>w/o disability</v>
      </c>
      <c r="F431" t="str">
        <f>_xlfn.XLOOKUP(PE_3[[#This Row],[STN]],SE_3[STN],SE_3[Ethnicity],"",0)</f>
        <v/>
      </c>
    </row>
    <row r="432" spans="1:6" ht="13.9">
      <c r="A432" s="3">
        <v>22909642</v>
      </c>
      <c r="B432" s="10">
        <v>38705</v>
      </c>
      <c r="C432" s="19">
        <v>16.951323395193185</v>
      </c>
      <c r="D432" s="3"/>
      <c r="E432" t="str">
        <f>_xlfn.XLOOKUP(PE_3[[#This Row],[STN]],SE_3[STN],SE_3[IdeaEligibility],"w/o disability",0)</f>
        <v>w/o disability</v>
      </c>
      <c r="F432" t="str">
        <f>_xlfn.XLOOKUP(PE_3[[#This Row],[STN]],SE_3[STN],SE_3[Ethnicity],"",0)</f>
        <v/>
      </c>
    </row>
    <row r="433" spans="1:6" ht="13.9">
      <c r="A433" s="3">
        <v>22909651</v>
      </c>
      <c r="B433" s="10">
        <v>38541</v>
      </c>
      <c r="C433" s="19">
        <v>17.400365074536051</v>
      </c>
      <c r="D433" s="3"/>
      <c r="E433" t="str">
        <f>_xlfn.XLOOKUP(PE_3[[#This Row],[STN]],SE_3[STN],SE_3[IdeaEligibility],"w/o disability",0)</f>
        <v>w/o disability</v>
      </c>
      <c r="F433" t="str">
        <f>_xlfn.XLOOKUP(PE_3[[#This Row],[STN]],SE_3[STN],SE_3[Ethnicity],"",0)</f>
        <v/>
      </c>
    </row>
    <row r="434" spans="1:6" ht="13.9">
      <c r="A434" s="3">
        <v>7710519</v>
      </c>
      <c r="B434" s="10">
        <v>38933</v>
      </c>
      <c r="C434" s="19">
        <v>16.326461588017395</v>
      </c>
      <c r="D434" s="3"/>
      <c r="E434" t="str">
        <f>_xlfn.XLOOKUP(PE_3[[#This Row],[STN]],SE_3[STN],SE_3[IdeaEligibility],"w/o disability",0)</f>
        <v>w/o disability</v>
      </c>
      <c r="F434" t="str">
        <f>_xlfn.XLOOKUP(PE_3[[#This Row],[STN]],SE_3[STN],SE_3[Ethnicity],"",0)</f>
        <v/>
      </c>
    </row>
    <row r="435" spans="1:6" ht="13.9">
      <c r="A435" s="3">
        <v>22910722</v>
      </c>
      <c r="B435" s="10">
        <v>38376</v>
      </c>
      <c r="C435" s="19">
        <v>17.852144812899301</v>
      </c>
      <c r="D435" s="3"/>
      <c r="E435" t="str">
        <f>_xlfn.XLOOKUP(PE_3[[#This Row],[STN]],SE_3[STN],SE_3[IdeaEligibility],"w/o disability",0)</f>
        <v>w/o disability</v>
      </c>
      <c r="F435" t="str">
        <f>_xlfn.XLOOKUP(PE_3[[#This Row],[STN]],SE_3[STN],SE_3[Ethnicity],"",0)</f>
        <v/>
      </c>
    </row>
    <row r="436" spans="1:6" ht="13.9">
      <c r="A436" s="3">
        <v>7709527</v>
      </c>
      <c r="B436" s="10">
        <v>38371</v>
      </c>
      <c r="C436" s="19">
        <v>17.865835108001217</v>
      </c>
      <c r="D436" s="3"/>
      <c r="E436" t="str">
        <f>_xlfn.XLOOKUP(PE_3[[#This Row],[STN]],SE_3[STN],SE_3[IdeaEligibility],"w/o disability",0)</f>
        <v>w/o disability</v>
      </c>
      <c r="F436" t="str">
        <f>_xlfn.XLOOKUP(PE_3[[#This Row],[STN]],SE_3[STN],SE_3[Ethnicity],"",0)</f>
        <v/>
      </c>
    </row>
    <row r="437" spans="1:6" ht="13.9">
      <c r="A437" s="3">
        <v>24110099</v>
      </c>
      <c r="B437" s="10">
        <v>38272</v>
      </c>
      <c r="C437" s="19">
        <v>18.134870317002882</v>
      </c>
      <c r="D437" s="3"/>
      <c r="E437" t="str">
        <f>_xlfn.XLOOKUP(PE_3[[#This Row],[STN]],SE_3[STN],SE_3[IdeaEligibility],"w/o disability",0)</f>
        <v>w/o disability</v>
      </c>
      <c r="F437" t="str">
        <f>_xlfn.XLOOKUP(PE_3[[#This Row],[STN]],SE_3[STN],SE_3[Ethnicity],"",0)</f>
        <v/>
      </c>
    </row>
    <row r="438" spans="1:6" ht="13.9">
      <c r="A438" s="3">
        <v>24110038</v>
      </c>
      <c r="B438" s="10">
        <v>38371</v>
      </c>
      <c r="C438" s="19">
        <v>17.865835108001217</v>
      </c>
      <c r="D438" s="3"/>
      <c r="E438" t="str">
        <f>_xlfn.XLOOKUP(PE_3[[#This Row],[STN]],SE_3[STN],SE_3[IdeaEligibility],"w/o disability",0)</f>
        <v>w/o disability</v>
      </c>
      <c r="F438" t="str">
        <f>_xlfn.XLOOKUP(PE_3[[#This Row],[STN]],SE_3[STN],SE_3[Ethnicity],"",0)</f>
        <v/>
      </c>
    </row>
    <row r="439" spans="1:6" ht="13.9">
      <c r="A439" s="3">
        <v>22909676</v>
      </c>
      <c r="B439" s="10">
        <v>38825</v>
      </c>
      <c r="C439" s="19">
        <v>16.622161378643902</v>
      </c>
      <c r="D439" s="3"/>
      <c r="E439" t="str">
        <f>_xlfn.XLOOKUP(PE_3[[#This Row],[STN]],SE_3[STN],SE_3[IdeaEligibility],"w/o disability",0)</f>
        <v>w/o disability</v>
      </c>
      <c r="F439" t="str">
        <f>_xlfn.XLOOKUP(PE_3[[#This Row],[STN]],SE_3[STN],SE_3[Ethnicity],"",0)</f>
        <v/>
      </c>
    </row>
    <row r="440" spans="1:6" ht="13.9">
      <c r="A440" s="3">
        <v>24110080</v>
      </c>
      <c r="B440" s="10">
        <v>38539</v>
      </c>
      <c r="C440" s="19">
        <v>17.405841192576819</v>
      </c>
      <c r="D440" s="3"/>
      <c r="E440" t="str">
        <f>_xlfn.XLOOKUP(PE_3[[#This Row],[STN]],SE_3[STN],SE_3[IdeaEligibility],"w/o disability",0)</f>
        <v>w/o disability</v>
      </c>
      <c r="F440" t="str">
        <f>_xlfn.XLOOKUP(PE_3[[#This Row],[STN]],SE_3[STN],SE_3[Ethnicity],"",0)</f>
        <v/>
      </c>
    </row>
    <row r="441" spans="1:6" ht="13.9">
      <c r="A441" s="3">
        <v>16110545</v>
      </c>
      <c r="B441" s="10">
        <v>38235</v>
      </c>
      <c r="C441" s="19">
        <v>18.236167146974065</v>
      </c>
      <c r="D441" s="3"/>
      <c r="E441" t="str">
        <f>_xlfn.XLOOKUP(PE_3[[#This Row],[STN]],SE_3[STN],SE_3[IdeaEligibility],"w/o disability",0)</f>
        <v>w/o disability</v>
      </c>
      <c r="F441" t="str">
        <f>_xlfn.XLOOKUP(PE_3[[#This Row],[STN]],SE_3[STN],SE_3[Ethnicity],"",0)</f>
        <v/>
      </c>
    </row>
    <row r="442" spans="1:6" ht="13.9">
      <c r="A442" s="3">
        <v>15110003</v>
      </c>
      <c r="B442" s="10">
        <v>38691</v>
      </c>
      <c r="C442" s="19">
        <v>16.989656221478551</v>
      </c>
      <c r="D442" s="3"/>
      <c r="E442" t="str">
        <f>_xlfn.XLOOKUP(PE_3[[#This Row],[STN]],SE_3[STN],SE_3[IdeaEligibility],"w/o disability",0)</f>
        <v>w/o disability</v>
      </c>
      <c r="F442" t="str">
        <f>_xlfn.XLOOKUP(PE_3[[#This Row],[STN]],SE_3[STN],SE_3[Ethnicity],"",0)</f>
        <v/>
      </c>
    </row>
    <row r="443" spans="1:6" ht="13.9">
      <c r="A443" s="3">
        <v>22909521</v>
      </c>
      <c r="B443" s="10">
        <v>38389</v>
      </c>
      <c r="C443" s="19">
        <v>17.816550045634315</v>
      </c>
      <c r="D443" s="3"/>
      <c r="E443" t="str">
        <f>_xlfn.XLOOKUP(PE_3[[#This Row],[STN]],SE_3[STN],SE_3[IdeaEligibility],"w/o disability",0)</f>
        <v>w/o disability</v>
      </c>
      <c r="F443" t="str">
        <f>_xlfn.XLOOKUP(PE_3[[#This Row],[STN]],SE_3[STN],SE_3[Ethnicity],"",0)</f>
        <v/>
      </c>
    </row>
    <row r="444" spans="1:6" ht="13.9">
      <c r="A444" s="3">
        <v>21709560</v>
      </c>
      <c r="B444" s="10">
        <v>38125</v>
      </c>
      <c r="C444" s="19">
        <v>18.537319884726227</v>
      </c>
      <c r="D444" s="3"/>
      <c r="E444" t="str">
        <f>_xlfn.XLOOKUP(PE_3[[#This Row],[STN]],SE_3[STN],SE_3[IdeaEligibility],"w/o disability",0)</f>
        <v>w/o disability</v>
      </c>
      <c r="F444" t="str">
        <f>_xlfn.XLOOKUP(PE_3[[#This Row],[STN]],SE_3[STN],SE_3[Ethnicity],"",0)</f>
        <v/>
      </c>
    </row>
    <row r="445" spans="1:6" ht="13.9">
      <c r="A445" s="3">
        <v>21710021</v>
      </c>
      <c r="B445" s="10">
        <v>38349</v>
      </c>
      <c r="C445" s="19">
        <v>17.924063400576369</v>
      </c>
      <c r="D445" s="3"/>
      <c r="E445" t="str">
        <f>_xlfn.XLOOKUP(PE_3[[#This Row],[STN]],SE_3[STN],SE_3[IdeaEligibility],"w/o disability",0)</f>
        <v>w/o disability</v>
      </c>
      <c r="F445" t="str">
        <f>_xlfn.XLOOKUP(PE_3[[#This Row],[STN]],SE_3[STN],SE_3[Ethnicity],"",0)</f>
        <v/>
      </c>
    </row>
    <row r="446" spans="1:6" ht="13.9">
      <c r="A446" s="3">
        <v>13710020</v>
      </c>
      <c r="B446" s="10">
        <v>38203</v>
      </c>
      <c r="C446" s="19">
        <v>18.32377521613833</v>
      </c>
      <c r="D446" s="3"/>
      <c r="E446" t="str">
        <f>_xlfn.XLOOKUP(PE_3[[#This Row],[STN]],SE_3[STN],SE_3[IdeaEligibility],"w/o disability",0)</f>
        <v>w/o disability</v>
      </c>
      <c r="F446" t="str">
        <f>_xlfn.XLOOKUP(PE_3[[#This Row],[STN]],SE_3[STN],SE_3[Ethnicity],"",0)</f>
        <v/>
      </c>
    </row>
    <row r="447" spans="1:6" ht="13.9">
      <c r="A447" s="5">
        <v>181710573</v>
      </c>
      <c r="B447" s="10">
        <v>39038</v>
      </c>
      <c r="C447" s="19">
        <v>16.038975680463842</v>
      </c>
      <c r="D447" s="3"/>
      <c r="E447" t="str">
        <f>_xlfn.XLOOKUP(PE_3[[#This Row],[STN]],SE_3[STN],SE_3[IdeaEligibility],"w/o disability",0)</f>
        <v>w/o disability</v>
      </c>
      <c r="F447" t="str">
        <f>_xlfn.XLOOKUP(PE_3[[#This Row],[STN]],SE_3[STN],SE_3[Ethnicity],"",0)</f>
        <v/>
      </c>
    </row>
    <row r="448" spans="1:6" ht="13.9">
      <c r="A448" s="5">
        <v>555510491</v>
      </c>
      <c r="B448" s="10">
        <v>38367</v>
      </c>
      <c r="C448" s="19">
        <v>17.87678734408275</v>
      </c>
      <c r="D448" s="3"/>
      <c r="E448" t="str">
        <f>_xlfn.XLOOKUP(PE_3[[#This Row],[STN]],SE_3[STN],SE_3[IdeaEligibility],"w/o disability",0)</f>
        <v>w/o disability</v>
      </c>
      <c r="F448" t="str">
        <f>_xlfn.XLOOKUP(PE_3[[#This Row],[STN]],SE_3[STN],SE_3[Ethnicity],"",0)</f>
        <v/>
      </c>
    </row>
    <row r="449" spans="1:6" ht="13.9">
      <c r="A449" s="3">
        <v>31809721</v>
      </c>
      <c r="B449" s="10">
        <v>38536</v>
      </c>
      <c r="C449" s="19">
        <v>17.414055369637968</v>
      </c>
      <c r="D449" s="3"/>
      <c r="E449" t="str">
        <f>_xlfn.XLOOKUP(PE_3[[#This Row],[STN]],SE_3[STN],SE_3[IdeaEligibility],"w/o disability",0)</f>
        <v>w/o disability</v>
      </c>
      <c r="F449" t="str">
        <f>_xlfn.XLOOKUP(PE_3[[#This Row],[STN]],SE_3[STN],SE_3[Ethnicity],"",0)</f>
        <v/>
      </c>
    </row>
    <row r="450" spans="1:6" ht="13.9">
      <c r="A450" s="3">
        <v>22909593</v>
      </c>
      <c r="B450" s="10">
        <v>38239</v>
      </c>
      <c r="C450" s="19">
        <v>18.22521613832853</v>
      </c>
      <c r="D450" s="3"/>
      <c r="E450" t="str">
        <f>_xlfn.XLOOKUP(PE_3[[#This Row],[STN]],SE_3[STN],SE_3[IdeaEligibility],"w/o disability",0)</f>
        <v>w/o disability</v>
      </c>
      <c r="F450" t="str">
        <f>_xlfn.XLOOKUP(PE_3[[#This Row],[STN]],SE_3[STN],SE_3[Ethnicity],"",0)</f>
        <v/>
      </c>
    </row>
    <row r="451" spans="1:6" ht="13.9">
      <c r="A451" s="3">
        <v>31809708</v>
      </c>
      <c r="B451" s="10">
        <v>38277</v>
      </c>
      <c r="C451" s="19">
        <v>18.121181556195967</v>
      </c>
      <c r="D451" s="3"/>
      <c r="E451" t="str">
        <f>_xlfn.XLOOKUP(PE_3[[#This Row],[STN]],SE_3[STN],SE_3[IdeaEligibility],"w/o disability",0)</f>
        <v>w/o disability</v>
      </c>
      <c r="F451" t="str">
        <f>_xlfn.XLOOKUP(PE_3[[#This Row],[STN]],SE_3[STN],SE_3[Ethnicity],"",0)</f>
        <v/>
      </c>
    </row>
    <row r="452" spans="1:6" ht="13.9">
      <c r="A452" s="3">
        <v>31810735</v>
      </c>
      <c r="B452" s="10">
        <v>38228</v>
      </c>
      <c r="C452" s="19">
        <v>18.255331412103747</v>
      </c>
      <c r="D452" s="3"/>
      <c r="E452" t="str">
        <f>_xlfn.XLOOKUP(PE_3[[#This Row],[STN]],SE_3[STN],SE_3[IdeaEligibility],"w/o disability",0)</f>
        <v>w/o disability</v>
      </c>
      <c r="F452" t="str">
        <f>_xlfn.XLOOKUP(PE_3[[#This Row],[STN]],SE_3[STN],SE_3[Ethnicity],"",0)</f>
        <v/>
      </c>
    </row>
    <row r="453" spans="1:6" ht="13.9">
      <c r="A453" s="3">
        <v>31711062</v>
      </c>
      <c r="B453" s="10">
        <v>38521</v>
      </c>
      <c r="C453" s="19">
        <v>17.455126254943718</v>
      </c>
      <c r="D453" s="3"/>
      <c r="E453" t="str">
        <f>_xlfn.XLOOKUP(PE_3[[#This Row],[STN]],SE_3[STN],SE_3[IdeaEligibility],"w/o disability",0)</f>
        <v>w/o disability</v>
      </c>
      <c r="F453" t="str">
        <f>_xlfn.XLOOKUP(PE_3[[#This Row],[STN]],SE_3[STN],SE_3[Ethnicity],"",0)</f>
        <v/>
      </c>
    </row>
    <row r="454" spans="1:6" ht="13.9">
      <c r="A454" s="3">
        <v>25310500</v>
      </c>
      <c r="B454" s="10">
        <v>38203</v>
      </c>
      <c r="C454" s="19">
        <v>18.32377521613833</v>
      </c>
      <c r="D454" s="3"/>
      <c r="E454" t="str">
        <f>_xlfn.XLOOKUP(PE_3[[#This Row],[STN]],SE_3[STN],SE_3[IdeaEligibility],"w/o disability",0)</f>
        <v>w/o disability</v>
      </c>
      <c r="F454" t="str">
        <f>_xlfn.XLOOKUP(PE_3[[#This Row],[STN]],SE_3[STN],SE_3[Ethnicity],"",0)</f>
        <v/>
      </c>
    </row>
    <row r="455" spans="1:6" ht="13.9">
      <c r="A455" s="3">
        <v>8909602</v>
      </c>
      <c r="B455" s="10">
        <v>39184</v>
      </c>
      <c r="C455" s="19">
        <v>15.638603696098563</v>
      </c>
      <c r="D455" s="3"/>
      <c r="E455" t="str">
        <f>_xlfn.XLOOKUP(PE_3[[#This Row],[STN]],SE_3[STN],SE_3[IdeaEligibility],"w/o disability",0)</f>
        <v>w/o disability</v>
      </c>
      <c r="F455" t="str">
        <f>_xlfn.XLOOKUP(PE_3[[#This Row],[STN]],SE_3[STN],SE_3[Ethnicity],"",0)</f>
        <v/>
      </c>
    </row>
    <row r="456" spans="1:6" ht="13.9">
      <c r="A456" s="3">
        <v>13610024</v>
      </c>
      <c r="B456" s="10">
        <v>38512</v>
      </c>
      <c r="C456" s="19">
        <v>17.479768786127167</v>
      </c>
      <c r="D456" s="3"/>
      <c r="E456" t="str">
        <f>_xlfn.XLOOKUP(PE_3[[#This Row],[STN]],SE_3[STN],SE_3[IdeaEligibility],"w/o disability",0)</f>
        <v>w/o disability</v>
      </c>
      <c r="F456" t="str">
        <f>_xlfn.XLOOKUP(PE_3[[#This Row],[STN]],SE_3[STN],SE_3[Ethnicity],"",0)</f>
        <v/>
      </c>
    </row>
    <row r="457" spans="1:6" ht="13.9">
      <c r="A457" s="3">
        <v>21310510</v>
      </c>
      <c r="B457" s="10">
        <v>38297</v>
      </c>
      <c r="C457" s="19">
        <v>18.066426512968302</v>
      </c>
      <c r="D457" s="3"/>
      <c r="E457" t="str">
        <f>_xlfn.XLOOKUP(PE_3[[#This Row],[STN]],SE_3[STN],SE_3[IdeaEligibility],"w/o disability",0)</f>
        <v>w/o disability</v>
      </c>
      <c r="F457" t="str">
        <f>_xlfn.XLOOKUP(PE_3[[#This Row],[STN]],SE_3[STN],SE_3[Ethnicity],"",0)</f>
        <v/>
      </c>
    </row>
    <row r="458" spans="1:6" ht="13.9">
      <c r="A458" s="3">
        <v>26510515</v>
      </c>
      <c r="B458" s="10">
        <v>38333</v>
      </c>
      <c r="C458" s="19">
        <v>17.967867435158503</v>
      </c>
      <c r="D458" s="3"/>
      <c r="E458" t="str">
        <f>_xlfn.XLOOKUP(PE_3[[#This Row],[STN]],SE_3[STN],SE_3[IdeaEligibility],"w/o disability",0)</f>
        <v>w/o disability</v>
      </c>
      <c r="F458" t="str">
        <f>_xlfn.XLOOKUP(PE_3[[#This Row],[STN]],SE_3[STN],SE_3[Ethnicity],"",0)</f>
        <v/>
      </c>
    </row>
    <row r="459" spans="1:6" ht="13.9">
      <c r="A459" s="3">
        <v>31809006</v>
      </c>
      <c r="B459" s="10">
        <v>38468</v>
      </c>
      <c r="C459" s="19">
        <v>17.600243383024033</v>
      </c>
      <c r="D459" s="3"/>
      <c r="E459" t="str">
        <f>_xlfn.XLOOKUP(PE_3[[#This Row],[STN]],SE_3[STN],SE_3[IdeaEligibility],"w/o disability",0)</f>
        <v>w/o disability</v>
      </c>
      <c r="F459" t="str">
        <f>_xlfn.XLOOKUP(PE_3[[#This Row],[STN]],SE_3[STN],SE_3[Ethnicity],"",0)</f>
        <v/>
      </c>
    </row>
    <row r="460" spans="1:6" ht="13.9">
      <c r="A460" s="3">
        <v>17810516</v>
      </c>
      <c r="B460" s="10">
        <v>38706</v>
      </c>
      <c r="C460" s="19">
        <v>16.948585336172801</v>
      </c>
      <c r="D460" s="3"/>
      <c r="E460" t="str">
        <f>_xlfn.XLOOKUP(PE_3[[#This Row],[STN]],SE_3[STN],SE_3[IdeaEligibility],"w/o disability",0)</f>
        <v>w/o disability</v>
      </c>
      <c r="F460" t="str">
        <f>_xlfn.XLOOKUP(PE_3[[#This Row],[STN]],SE_3[STN],SE_3[Ethnicity],"",0)</f>
        <v/>
      </c>
    </row>
    <row r="461" spans="1:6" ht="13.9">
      <c r="A461" s="3">
        <v>31711035</v>
      </c>
      <c r="B461" s="10">
        <v>38270</v>
      </c>
      <c r="C461" s="19">
        <v>18.140345821325649</v>
      </c>
      <c r="D461" s="3"/>
      <c r="E461" t="str">
        <f>_xlfn.XLOOKUP(PE_3[[#This Row],[STN]],SE_3[STN],SE_3[IdeaEligibility],"w/o disability",0)</f>
        <v>w/o disability</v>
      </c>
      <c r="F461" t="str">
        <f>_xlfn.XLOOKUP(PE_3[[#This Row],[STN]],SE_3[STN],SE_3[Ethnicity],"",0)</f>
        <v/>
      </c>
    </row>
    <row r="462" spans="1:6" ht="13.9">
      <c r="A462" s="3">
        <v>18910518</v>
      </c>
      <c r="B462" s="10">
        <v>38517</v>
      </c>
      <c r="C462" s="19">
        <v>17.46607849102525</v>
      </c>
      <c r="D462" s="3"/>
      <c r="E462" t="str">
        <f>_xlfn.XLOOKUP(PE_3[[#This Row],[STN]],SE_3[STN],SE_3[IdeaEligibility],"w/o disability",0)</f>
        <v>w/o disability</v>
      </c>
      <c r="F462" t="str">
        <f>_xlfn.XLOOKUP(PE_3[[#This Row],[STN]],SE_3[STN],SE_3[Ethnicity],"",0)</f>
        <v/>
      </c>
    </row>
    <row r="463" spans="1:6" ht="13.9">
      <c r="A463" s="3">
        <v>22910503</v>
      </c>
      <c r="B463" s="10">
        <v>38941</v>
      </c>
      <c r="C463" s="19">
        <v>16.304557899822836</v>
      </c>
      <c r="D463" s="3"/>
      <c r="E463" t="str">
        <f>_xlfn.XLOOKUP(PE_3[[#This Row],[STN]],SE_3[STN],SE_3[IdeaEligibility],"w/o disability",0)</f>
        <v>w/o disability</v>
      </c>
      <c r="F463" t="str">
        <f>_xlfn.XLOOKUP(PE_3[[#This Row],[STN]],SE_3[STN],SE_3[Ethnicity],"",0)</f>
        <v/>
      </c>
    </row>
    <row r="464" spans="1:6" ht="13.9">
      <c r="A464" s="3">
        <v>24910527</v>
      </c>
      <c r="B464" s="10">
        <v>38344</v>
      </c>
      <c r="C464" s="19">
        <v>17.937752161383287</v>
      </c>
      <c r="D464" s="3"/>
      <c r="E464" t="str">
        <f>_xlfn.XLOOKUP(PE_3[[#This Row],[STN]],SE_3[STN],SE_3[IdeaEligibility],"w/o disability",0)</f>
        <v>w/o disability</v>
      </c>
      <c r="F464" t="str">
        <f>_xlfn.XLOOKUP(PE_3[[#This Row],[STN]],SE_3[STN],SE_3[Ethnicity],"",0)</f>
        <v/>
      </c>
    </row>
    <row r="465" spans="1:6" ht="13.9">
      <c r="A465" s="3">
        <v>13610522</v>
      </c>
      <c r="B465" s="10">
        <v>38293</v>
      </c>
      <c r="C465" s="19">
        <v>18.077377521613833</v>
      </c>
      <c r="D465" s="3"/>
      <c r="E465" t="str">
        <f>_xlfn.XLOOKUP(PE_3[[#This Row],[STN]],SE_3[STN],SE_3[IdeaEligibility],"w/o disability",0)</f>
        <v>w/o disability</v>
      </c>
      <c r="F465" t="str">
        <f>_xlfn.XLOOKUP(PE_3[[#This Row],[STN]],SE_3[STN],SE_3[Ethnicity],"",0)</f>
        <v/>
      </c>
    </row>
    <row r="466" spans="1:6" ht="13.9">
      <c r="A466" s="3">
        <v>18910521</v>
      </c>
      <c r="B466" s="10">
        <v>38210</v>
      </c>
      <c r="C466" s="19">
        <v>18.304610951008648</v>
      </c>
      <c r="D466" s="3"/>
      <c r="E466" t="str">
        <f>_xlfn.XLOOKUP(PE_3[[#This Row],[STN]],SE_3[STN],SE_3[IdeaEligibility],"w/o disability",0)</f>
        <v>w/o disability</v>
      </c>
      <c r="F466" t="str">
        <f>_xlfn.XLOOKUP(PE_3[[#This Row],[STN]],SE_3[STN],SE_3[Ethnicity],"",0)</f>
        <v/>
      </c>
    </row>
    <row r="467" spans="1:6" ht="13.9">
      <c r="A467" s="3">
        <v>26510500</v>
      </c>
      <c r="B467" s="10">
        <v>38543</v>
      </c>
      <c r="C467" s="19">
        <v>17.394888956495283</v>
      </c>
      <c r="D467" s="3"/>
      <c r="E467" t="str">
        <f>_xlfn.XLOOKUP(PE_3[[#This Row],[STN]],SE_3[STN],SE_3[IdeaEligibility],"w/o disability",0)</f>
        <v>w/o disability</v>
      </c>
      <c r="F467" t="str">
        <f>_xlfn.XLOOKUP(PE_3[[#This Row],[STN]],SE_3[STN],SE_3[Ethnicity],"",0)</f>
        <v/>
      </c>
    </row>
    <row r="468" spans="1:6" ht="13.9">
      <c r="A468" s="3">
        <v>13710502</v>
      </c>
      <c r="B468" s="10">
        <v>38556</v>
      </c>
      <c r="C468" s="19">
        <v>17.359294189230301</v>
      </c>
      <c r="D468" s="3"/>
      <c r="E468" t="str">
        <f>_xlfn.XLOOKUP(PE_3[[#This Row],[STN]],SE_3[STN],SE_3[IdeaEligibility],"w/o disability",0)</f>
        <v>w/o disability</v>
      </c>
      <c r="F468" t="str">
        <f>_xlfn.XLOOKUP(PE_3[[#This Row],[STN]],SE_3[STN],SE_3[Ethnicity],"",0)</f>
        <v/>
      </c>
    </row>
    <row r="469" spans="1:6" ht="13.9">
      <c r="A469" s="3">
        <v>31711045</v>
      </c>
      <c r="B469" s="10">
        <v>38466</v>
      </c>
      <c r="C469" s="19">
        <v>17.605719501064801</v>
      </c>
      <c r="D469" s="3"/>
      <c r="E469" t="str">
        <f>_xlfn.XLOOKUP(PE_3[[#This Row],[STN]],SE_3[STN],SE_3[IdeaEligibility],"w/o disability",0)</f>
        <v>w/o disability</v>
      </c>
      <c r="F469" t="str">
        <f>_xlfn.XLOOKUP(PE_3[[#This Row],[STN]],SE_3[STN],SE_3[Ethnicity],"",0)</f>
        <v/>
      </c>
    </row>
    <row r="470" spans="1:6" ht="13.9">
      <c r="A470" s="3">
        <v>20510536</v>
      </c>
      <c r="B470" s="10">
        <v>38554</v>
      </c>
      <c r="C470" s="19">
        <v>17.364770307271069</v>
      </c>
      <c r="D470" s="3"/>
      <c r="E470" t="str">
        <f>_xlfn.XLOOKUP(PE_3[[#This Row],[STN]],SE_3[STN],SE_3[IdeaEligibility],"w/o disability",0)</f>
        <v>w/o disability</v>
      </c>
      <c r="F470" t="str">
        <f>_xlfn.XLOOKUP(PE_3[[#This Row],[STN]],SE_3[STN],SE_3[Ethnicity],"",0)</f>
        <v/>
      </c>
    </row>
    <row r="471" spans="1:6" ht="13.9">
      <c r="A471" s="3">
        <v>22910732</v>
      </c>
      <c r="B471" s="10">
        <v>38819</v>
      </c>
      <c r="C471" s="19">
        <v>16.638589144789819</v>
      </c>
      <c r="D471" s="3"/>
      <c r="E471" t="str">
        <f>_xlfn.XLOOKUP(PE_3[[#This Row],[STN]],SE_3[STN],SE_3[IdeaEligibility],"w/o disability",0)</f>
        <v>w/o disability</v>
      </c>
      <c r="F471" t="str">
        <f>_xlfn.XLOOKUP(PE_3[[#This Row],[STN]],SE_3[STN],SE_3[Ethnicity],"",0)</f>
        <v/>
      </c>
    </row>
    <row r="472" spans="1:6" ht="13.9">
      <c r="A472" s="3">
        <v>22910795</v>
      </c>
      <c r="B472" s="10">
        <v>38601</v>
      </c>
      <c r="C472" s="19">
        <v>17.236081533313051</v>
      </c>
      <c r="D472" s="3"/>
      <c r="E472" t="str">
        <f>_xlfn.XLOOKUP(PE_3[[#This Row],[STN]],SE_3[STN],SE_3[IdeaEligibility],"w/o disability",0)</f>
        <v>w/o disability</v>
      </c>
      <c r="F472" t="str">
        <f>_xlfn.XLOOKUP(PE_3[[#This Row],[STN]],SE_3[STN],SE_3[Ethnicity],"",0)</f>
        <v/>
      </c>
    </row>
    <row r="473" spans="1:6" ht="13.9">
      <c r="A473" s="3">
        <v>13610519</v>
      </c>
      <c r="B473" s="10">
        <v>38409</v>
      </c>
      <c r="C473" s="19">
        <v>17.761788865226649</v>
      </c>
      <c r="D473" s="3"/>
      <c r="E473" t="str">
        <f>_xlfn.XLOOKUP(PE_3[[#This Row],[STN]],SE_3[STN],SE_3[IdeaEligibility],"w/o disability",0)</f>
        <v>w/o disability</v>
      </c>
      <c r="F473" t="str">
        <f>_xlfn.XLOOKUP(PE_3[[#This Row],[STN]],SE_3[STN],SE_3[Ethnicity],"",0)</f>
        <v/>
      </c>
    </row>
    <row r="474" spans="1:6" ht="13.9">
      <c r="A474" s="3">
        <v>7710524</v>
      </c>
      <c r="B474" s="10">
        <v>38867</v>
      </c>
      <c r="C474" s="19">
        <v>16.507167015622482</v>
      </c>
      <c r="D474" s="3"/>
      <c r="E474" t="str">
        <f>_xlfn.XLOOKUP(PE_3[[#This Row],[STN]],SE_3[STN],SE_3[IdeaEligibility],"w/o disability",0)</f>
        <v>w/o disability</v>
      </c>
      <c r="F474" t="str">
        <f>_xlfn.XLOOKUP(PE_3[[#This Row],[STN]],SE_3[STN],SE_3[Ethnicity],"",0)</f>
        <v/>
      </c>
    </row>
    <row r="475" spans="1:6" ht="13.9">
      <c r="A475" s="3">
        <v>22910196</v>
      </c>
      <c r="B475" s="10">
        <v>38990</v>
      </c>
      <c r="C475" s="19">
        <v>16.170397809631179</v>
      </c>
      <c r="D475" s="3"/>
      <c r="E475" t="str">
        <f>_xlfn.XLOOKUP(PE_3[[#This Row],[STN]],SE_3[STN],SE_3[IdeaEligibility],"w/o disability",0)</f>
        <v>w/o disability</v>
      </c>
      <c r="F475" t="str">
        <f>_xlfn.XLOOKUP(PE_3[[#This Row],[STN]],SE_3[STN],SE_3[Ethnicity],"",0)</f>
        <v/>
      </c>
    </row>
    <row r="476" spans="1:6" ht="13.9">
      <c r="A476" s="3">
        <v>22910193</v>
      </c>
      <c r="B476" s="10">
        <v>39077</v>
      </c>
      <c r="C476" s="19">
        <v>15.93219520051538</v>
      </c>
      <c r="D476" s="3"/>
      <c r="E476" t="str">
        <f>_xlfn.XLOOKUP(PE_3[[#This Row],[STN]],SE_3[STN],SE_3[IdeaEligibility],"w/o disability",0)</f>
        <v>w/o disability</v>
      </c>
      <c r="F476" t="str">
        <f>_xlfn.XLOOKUP(PE_3[[#This Row],[STN]],SE_3[STN],SE_3[Ethnicity],"",0)</f>
        <v/>
      </c>
    </row>
    <row r="477" spans="1:6" ht="13.9">
      <c r="A477" s="3">
        <v>18910513</v>
      </c>
      <c r="B477" s="10">
        <v>38527</v>
      </c>
      <c r="C477" s="19">
        <v>17.438697900821417</v>
      </c>
      <c r="D477" s="3"/>
      <c r="E477" t="str">
        <f>_xlfn.XLOOKUP(PE_3[[#This Row],[STN]],SE_3[STN],SE_3[IdeaEligibility],"w/o disability",0)</f>
        <v>w/o disability</v>
      </c>
      <c r="F477" t="str">
        <f>_xlfn.XLOOKUP(PE_3[[#This Row],[STN]],SE_3[STN],SE_3[Ethnicity],"",0)</f>
        <v/>
      </c>
    </row>
    <row r="478" spans="1:6" ht="13.9">
      <c r="A478" s="3">
        <v>21310504</v>
      </c>
      <c r="B478" s="10">
        <v>38306</v>
      </c>
      <c r="C478" s="19">
        <v>18.04178674351585</v>
      </c>
      <c r="D478" s="3"/>
      <c r="E478" t="str">
        <f>_xlfn.XLOOKUP(PE_3[[#This Row],[STN]],SE_3[STN],SE_3[IdeaEligibility],"w/o disability",0)</f>
        <v>w/o disability</v>
      </c>
      <c r="F478" t="str">
        <f>_xlfn.XLOOKUP(PE_3[[#This Row],[STN]],SE_3[STN],SE_3[Ethnicity],"",0)</f>
        <v/>
      </c>
    </row>
    <row r="479" spans="1:6" ht="13.9">
      <c r="A479" s="3">
        <v>22910761</v>
      </c>
      <c r="B479" s="10">
        <v>38697</v>
      </c>
      <c r="C479" s="19">
        <v>16.97322786735625</v>
      </c>
      <c r="D479" s="3"/>
      <c r="E479" t="str">
        <f>_xlfn.XLOOKUP(PE_3[[#This Row],[STN]],SE_3[STN],SE_3[IdeaEligibility],"w/o disability",0)</f>
        <v>w/o disability</v>
      </c>
      <c r="F479" t="str">
        <f>_xlfn.XLOOKUP(PE_3[[#This Row],[STN]],SE_3[STN],SE_3[Ethnicity],"",0)</f>
        <v/>
      </c>
    </row>
    <row r="480" spans="1:6" ht="13.9">
      <c r="A480" s="3">
        <v>21311504</v>
      </c>
      <c r="B480" s="10">
        <v>39009</v>
      </c>
      <c r="C480" s="19">
        <v>16.11837655016911</v>
      </c>
      <c r="D480" s="3"/>
      <c r="E480" t="str">
        <f>_xlfn.XLOOKUP(PE_3[[#This Row],[STN]],SE_3[STN],SE_3[IdeaEligibility],"w/o disability",0)</f>
        <v>w/o disability</v>
      </c>
      <c r="F480" t="str">
        <f>_xlfn.XLOOKUP(PE_3[[#This Row],[STN]],SE_3[STN],SE_3[Ethnicity],"",0)</f>
        <v/>
      </c>
    </row>
    <row r="481" spans="1:6" ht="13.9">
      <c r="A481" s="3">
        <v>22910796</v>
      </c>
      <c r="B481" s="10">
        <v>38603</v>
      </c>
      <c r="C481" s="19">
        <v>17.230605415272283</v>
      </c>
      <c r="D481" s="3"/>
      <c r="E481" t="str">
        <f>_xlfn.XLOOKUP(PE_3[[#This Row],[STN]],SE_3[STN],SE_3[IdeaEligibility],"w/o disability",0)</f>
        <v>w/o disability</v>
      </c>
      <c r="F481" t="str">
        <f>_xlfn.XLOOKUP(PE_3[[#This Row],[STN]],SE_3[STN],SE_3[Ethnicity],"",0)</f>
        <v/>
      </c>
    </row>
    <row r="482" spans="1:6" ht="13.9">
      <c r="A482" s="3">
        <v>22910168</v>
      </c>
      <c r="B482" s="10">
        <v>38730</v>
      </c>
      <c r="C482" s="19">
        <v>16.88226767595426</v>
      </c>
      <c r="D482" s="3"/>
      <c r="E482" t="str">
        <f>_xlfn.XLOOKUP(PE_3[[#This Row],[STN]],SE_3[STN],SE_3[IdeaEligibility],"w/o disability",0)</f>
        <v>w/o disability</v>
      </c>
      <c r="F482" t="str">
        <f>_xlfn.XLOOKUP(PE_3[[#This Row],[STN]],SE_3[STN],SE_3[Ethnicity],"",0)</f>
        <v/>
      </c>
    </row>
    <row r="483" spans="1:6" ht="13.9">
      <c r="A483" s="3">
        <v>22910733</v>
      </c>
      <c r="B483" s="10">
        <v>38492</v>
      </c>
      <c r="C483" s="19">
        <v>17.534529966534834</v>
      </c>
      <c r="D483" s="3"/>
      <c r="E483" t="str">
        <f>_xlfn.XLOOKUP(PE_3[[#This Row],[STN]],SE_3[STN],SE_3[IdeaEligibility],"w/o disability",0)</f>
        <v>w/o disability</v>
      </c>
      <c r="F483" t="str">
        <f>_xlfn.XLOOKUP(PE_3[[#This Row],[STN]],SE_3[STN],SE_3[Ethnicity],"",0)</f>
        <v/>
      </c>
    </row>
    <row r="484" spans="1:6" ht="13.9">
      <c r="A484" s="3">
        <v>18610542</v>
      </c>
      <c r="B484" s="10">
        <v>39051</v>
      </c>
      <c r="C484" s="19">
        <v>16.00338218714769</v>
      </c>
      <c r="D484" s="3"/>
      <c r="E484" t="str">
        <f>_xlfn.XLOOKUP(PE_3[[#This Row],[STN]],SE_3[STN],SE_3[IdeaEligibility],"w/o disability",0)</f>
        <v>w/o disability</v>
      </c>
      <c r="F484" t="str">
        <f>_xlfn.XLOOKUP(PE_3[[#This Row],[STN]],SE_3[STN],SE_3[Ethnicity],"",0)</f>
        <v/>
      </c>
    </row>
    <row r="485" spans="1:6" ht="13.9">
      <c r="A485" s="5">
        <v>651010058</v>
      </c>
      <c r="B485" s="10">
        <v>38586</v>
      </c>
      <c r="C485" s="19">
        <v>17.277152418618801</v>
      </c>
      <c r="D485" s="3"/>
      <c r="E485" t="str">
        <f>_xlfn.XLOOKUP(PE_3[[#This Row],[STN]],SE_3[STN],SE_3[IdeaEligibility],"w/o disability",0)</f>
        <v>w/o disability</v>
      </c>
      <c r="F485" t="str">
        <f>_xlfn.XLOOKUP(PE_3[[#This Row],[STN]],SE_3[STN],SE_3[Ethnicity],"",0)</f>
        <v/>
      </c>
    </row>
    <row r="486" spans="1:6" ht="13.9">
      <c r="A486" s="3">
        <v>18910544</v>
      </c>
      <c r="B486" s="10">
        <v>38297</v>
      </c>
      <c r="C486" s="19">
        <v>18.066426512968302</v>
      </c>
      <c r="D486" s="3"/>
      <c r="E486" t="str">
        <f>_xlfn.XLOOKUP(PE_3[[#This Row],[STN]],SE_3[STN],SE_3[IdeaEligibility],"w/o disability",0)</f>
        <v>w/o disability</v>
      </c>
      <c r="F486" t="str">
        <f>_xlfn.XLOOKUP(PE_3[[#This Row],[STN]],SE_3[STN],SE_3[Ethnicity],"",0)</f>
        <v/>
      </c>
    </row>
    <row r="487" spans="1:6" ht="13.9">
      <c r="A487" s="3">
        <v>22910729</v>
      </c>
      <c r="B487" s="10">
        <v>39030</v>
      </c>
      <c r="C487" s="19">
        <v>16.060879368658398</v>
      </c>
      <c r="D487" s="3"/>
      <c r="E487" t="str">
        <f>_xlfn.XLOOKUP(PE_3[[#This Row],[STN]],SE_3[STN],SE_3[IdeaEligibility],"w/o disability",0)</f>
        <v>w/o disability</v>
      </c>
      <c r="F487" t="str">
        <f>_xlfn.XLOOKUP(PE_3[[#This Row],[STN]],SE_3[STN],SE_3[Ethnicity],"",0)</f>
        <v/>
      </c>
    </row>
    <row r="488" spans="1:6" ht="13.9">
      <c r="A488" s="3">
        <v>22910766</v>
      </c>
      <c r="B488" s="10">
        <v>38282</v>
      </c>
      <c r="C488" s="19">
        <v>18.107492795389049</v>
      </c>
      <c r="D488" s="3"/>
      <c r="E488" t="str">
        <f>_xlfn.XLOOKUP(PE_3[[#This Row],[STN]],SE_3[STN],SE_3[IdeaEligibility],"w/o disability",0)</f>
        <v>w/o disability</v>
      </c>
      <c r="F488" t="str">
        <f>_xlfn.XLOOKUP(PE_3[[#This Row],[STN]],SE_3[STN],SE_3[Ethnicity],"",0)</f>
        <v/>
      </c>
    </row>
    <row r="489" spans="1:6" ht="13.9">
      <c r="A489" s="3">
        <v>13610526</v>
      </c>
      <c r="B489" s="10">
        <v>38400</v>
      </c>
      <c r="C489" s="19">
        <v>17.786431396410102</v>
      </c>
      <c r="D489" s="3"/>
      <c r="E489" t="str">
        <f>_xlfn.XLOOKUP(PE_3[[#This Row],[STN]],SE_3[STN],SE_3[IdeaEligibility],"w/o disability",0)</f>
        <v>w/o disability</v>
      </c>
      <c r="F489" t="str">
        <f>_xlfn.XLOOKUP(PE_3[[#This Row],[STN]],SE_3[STN],SE_3[Ethnicity],"",0)</f>
        <v/>
      </c>
    </row>
    <row r="490" spans="1:6" ht="13.9">
      <c r="A490" s="5">
        <v>324708813</v>
      </c>
      <c r="B490" s="10">
        <v>38002</v>
      </c>
      <c r="C490" s="19">
        <v>18.874063400576372</v>
      </c>
      <c r="D490" s="3"/>
      <c r="E490" t="str">
        <f>_xlfn.XLOOKUP(PE_3[[#This Row],[STN]],SE_3[STN],SE_3[IdeaEligibility],"w/o disability",0)</f>
        <v>w/o disability</v>
      </c>
      <c r="F490" t="str">
        <f>_xlfn.XLOOKUP(PE_3[[#This Row],[STN]],SE_3[STN],SE_3[Ethnicity],"",0)</f>
        <v/>
      </c>
    </row>
    <row r="491" spans="1:6" ht="13.9">
      <c r="A491" s="3">
        <v>13609107</v>
      </c>
      <c r="B491" s="10">
        <v>38258</v>
      </c>
      <c r="C491" s="19">
        <v>18.173198847262249</v>
      </c>
      <c r="D491" s="3"/>
      <c r="E491" t="str">
        <f>_xlfn.XLOOKUP(PE_3[[#This Row],[STN]],SE_3[STN],SE_3[IdeaEligibility],"w/o disability",0)</f>
        <v>w/o disability</v>
      </c>
      <c r="F491" t="str">
        <f>_xlfn.XLOOKUP(PE_3[[#This Row],[STN]],SE_3[STN],SE_3[Ethnicity],"",0)</f>
        <v/>
      </c>
    </row>
    <row r="492" spans="1:6" ht="13.9">
      <c r="A492" s="3">
        <v>24109185</v>
      </c>
      <c r="B492" s="10">
        <v>37880</v>
      </c>
      <c r="C492" s="19">
        <v>19.208761122518823</v>
      </c>
      <c r="D492" s="3"/>
      <c r="E492" t="str">
        <f>_xlfn.XLOOKUP(PE_3[[#This Row],[STN]],SE_3[STN],SE_3[IdeaEligibility],"w/o disability",0)</f>
        <v>w/o disability</v>
      </c>
      <c r="F492" t="str">
        <f>_xlfn.XLOOKUP(PE_3[[#This Row],[STN]],SE_3[STN],SE_3[Ethnicity],"",0)</f>
        <v/>
      </c>
    </row>
    <row r="493" spans="1:6" ht="13.9">
      <c r="A493" s="3">
        <v>17808880</v>
      </c>
      <c r="B493" s="10">
        <v>38188</v>
      </c>
      <c r="C493" s="19">
        <v>18.36484149855908</v>
      </c>
      <c r="D493" s="3"/>
      <c r="E493" t="str">
        <f>_xlfn.XLOOKUP(PE_3[[#This Row],[STN]],SE_3[STN],SE_3[IdeaEligibility],"w/o disability",0)</f>
        <v>w/o disability</v>
      </c>
      <c r="F493" t="str">
        <f>_xlfn.XLOOKUP(PE_3[[#This Row],[STN]],SE_3[STN],SE_3[Ethnicity],"",0)</f>
        <v/>
      </c>
    </row>
    <row r="494" spans="1:6" ht="13.9">
      <c r="A494" s="3">
        <v>31807113</v>
      </c>
      <c r="B494" s="10">
        <v>38223</v>
      </c>
      <c r="C494" s="19">
        <v>18.269020172910665</v>
      </c>
      <c r="D494" s="3"/>
      <c r="E494" t="str">
        <f>_xlfn.XLOOKUP(PE_3[[#This Row],[STN]],SE_3[STN],SE_3[IdeaEligibility],"w/o disability",0)</f>
        <v>w/o disability</v>
      </c>
      <c r="F494" t="str">
        <f>_xlfn.XLOOKUP(PE_3[[#This Row],[STN]],SE_3[STN],SE_3[Ethnicity],"",0)</f>
        <v/>
      </c>
    </row>
    <row r="495" spans="1:6" ht="13.9">
      <c r="A495" s="3">
        <v>18608584</v>
      </c>
      <c r="B495" s="10">
        <v>38265</v>
      </c>
      <c r="C495" s="19">
        <v>18.154034582132567</v>
      </c>
      <c r="D495" s="3"/>
      <c r="E495" t="str">
        <f>_xlfn.XLOOKUP(PE_3[[#This Row],[STN]],SE_3[STN],SE_3[IdeaEligibility],"w/o disability",0)</f>
        <v>w/o disability</v>
      </c>
      <c r="F495" t="str">
        <f>_xlfn.XLOOKUP(PE_3[[#This Row],[STN]],SE_3[STN],SE_3[Ethnicity],"",0)</f>
        <v/>
      </c>
    </row>
    <row r="496" spans="1:6" ht="13.9">
      <c r="A496" s="3">
        <v>8904502</v>
      </c>
      <c r="B496" s="10">
        <v>36964</v>
      </c>
      <c r="C496" s="19">
        <v>21.717983820784067</v>
      </c>
      <c r="D496" s="3"/>
      <c r="E496" t="str">
        <f>_xlfn.XLOOKUP(PE_3[[#This Row],[STN]],SE_3[STN],SE_3[IdeaEligibility],"w/o disability",0)</f>
        <v>w/o disability</v>
      </c>
      <c r="F496" t="str">
        <f>_xlfn.XLOOKUP(PE_3[[#This Row],[STN]],SE_3[STN],SE_3[Ethnicity],"",0)</f>
        <v/>
      </c>
    </row>
    <row r="497" spans="1:6" ht="13.9">
      <c r="A497" s="3">
        <v>22908548</v>
      </c>
      <c r="B497" s="10">
        <v>37789</v>
      </c>
      <c r="C497" s="19">
        <v>19.457905544147845</v>
      </c>
      <c r="D497" s="3"/>
      <c r="E497" t="str">
        <f>_xlfn.XLOOKUP(PE_3[[#This Row],[STN]],SE_3[STN],SE_3[IdeaEligibility],"w/o disability",0)</f>
        <v>w/o disability</v>
      </c>
      <c r="F497" t="str">
        <f>_xlfn.XLOOKUP(PE_3[[#This Row],[STN]],SE_3[STN],SE_3[Ethnicity],"",0)</f>
        <v/>
      </c>
    </row>
    <row r="498" spans="1:6" ht="13.9">
      <c r="A498" s="3">
        <v>15304524</v>
      </c>
      <c r="B498" s="10">
        <v>36921</v>
      </c>
      <c r="C498" s="19">
        <v>21.835718730553825</v>
      </c>
      <c r="D498" s="3"/>
      <c r="E498" t="str">
        <f>_xlfn.XLOOKUP(PE_3[[#This Row],[STN]],SE_3[STN],SE_3[IdeaEligibility],"w/o disability",0)</f>
        <v>w/o disability</v>
      </c>
      <c r="F498" t="str">
        <f>_xlfn.XLOOKUP(PE_3[[#This Row],[STN]],SE_3[STN],SE_3[Ethnicity],"",0)</f>
        <v/>
      </c>
    </row>
    <row r="499" spans="1:6" ht="13.9">
      <c r="A499" s="3">
        <v>25710007</v>
      </c>
      <c r="B499" s="10">
        <v>38391</v>
      </c>
      <c r="C499" s="19">
        <v>17.811073927593551</v>
      </c>
      <c r="D499" s="3"/>
      <c r="E499" t="str">
        <f>_xlfn.XLOOKUP(PE_3[[#This Row],[STN]],SE_3[STN],SE_3[IdeaEligibility],"w/o disability",0)</f>
        <v>w/o disability</v>
      </c>
      <c r="F499" t="str">
        <f>_xlfn.XLOOKUP(PE_3[[#This Row],[STN]],SE_3[STN],SE_3[Ethnicity],"",0)</f>
        <v/>
      </c>
    </row>
    <row r="500" spans="1:6" ht="13.9">
      <c r="A500" s="3">
        <v>25710024</v>
      </c>
      <c r="B500" s="10">
        <v>38212</v>
      </c>
      <c r="C500" s="19">
        <v>18.299135446685881</v>
      </c>
      <c r="D500" s="3"/>
      <c r="E500" t="str">
        <f>_xlfn.XLOOKUP(PE_3[[#This Row],[STN]],SE_3[STN],SE_3[IdeaEligibility],"w/o disability",0)</f>
        <v>w/o disability</v>
      </c>
      <c r="F500" t="str">
        <f>_xlfn.XLOOKUP(PE_3[[#This Row],[STN]],SE_3[STN],SE_3[Ethnicity],"",0)</f>
        <v/>
      </c>
    </row>
    <row r="501" spans="1:6" ht="13.9">
      <c r="A501" s="3">
        <v>18910025</v>
      </c>
      <c r="B501" s="10">
        <v>38192</v>
      </c>
      <c r="C501" s="19">
        <v>18.353890489913546</v>
      </c>
      <c r="D501" s="3"/>
      <c r="E501" t="str">
        <f>_xlfn.XLOOKUP(PE_3[[#This Row],[STN]],SE_3[STN],SE_3[IdeaEligibility],"w/o disability",0)</f>
        <v>w/o disability</v>
      </c>
      <c r="F501" t="str">
        <f>_xlfn.XLOOKUP(PE_3[[#This Row],[STN]],SE_3[STN],SE_3[Ethnicity],"",0)</f>
        <v/>
      </c>
    </row>
    <row r="502" spans="1:6" ht="13.9">
      <c r="A502" s="3">
        <v>17810009</v>
      </c>
      <c r="B502" s="10">
        <v>38638</v>
      </c>
      <c r="C502" s="19">
        <v>17.134773349558866</v>
      </c>
      <c r="D502" s="3"/>
      <c r="E502" t="str">
        <f>_xlfn.XLOOKUP(PE_3[[#This Row],[STN]],SE_3[STN],SE_3[IdeaEligibility],"w/o disability",0)</f>
        <v>w/o disability</v>
      </c>
      <c r="F502" t="str">
        <f>_xlfn.XLOOKUP(PE_3[[#This Row],[STN]],SE_3[STN],SE_3[Ethnicity],"",0)</f>
        <v/>
      </c>
    </row>
    <row r="503" spans="1:6" ht="13.9">
      <c r="A503" s="3">
        <v>19709107</v>
      </c>
      <c r="B503" s="10">
        <v>37628</v>
      </c>
      <c r="C503" s="19">
        <v>19.898699520876111</v>
      </c>
      <c r="D503" s="3"/>
      <c r="E503" t="str">
        <f>_xlfn.XLOOKUP(PE_3[[#This Row],[STN]],SE_3[STN],SE_3[IdeaEligibility],"w/o disability",0)</f>
        <v>w/o disability</v>
      </c>
      <c r="F503" t="str">
        <f>_xlfn.XLOOKUP(PE_3[[#This Row],[STN]],SE_3[STN],SE_3[Ethnicity],"",0)</f>
        <v/>
      </c>
    </row>
    <row r="504" spans="1:6" ht="13.9">
      <c r="A504" s="3">
        <v>19310026</v>
      </c>
      <c r="B504" s="10">
        <v>38169</v>
      </c>
      <c r="C504" s="19">
        <v>18.416858789625362</v>
      </c>
      <c r="D504" s="3"/>
      <c r="E504" t="str">
        <f>_xlfn.XLOOKUP(PE_3[[#This Row],[STN]],SE_3[STN],SE_3[IdeaEligibility],"w/o disability",0)</f>
        <v>w/o disability</v>
      </c>
      <c r="F504" t="str">
        <f>_xlfn.XLOOKUP(PE_3[[#This Row],[STN]],SE_3[STN],SE_3[Ethnicity],"",0)</f>
        <v/>
      </c>
    </row>
    <row r="505" spans="1:6" ht="13.9">
      <c r="A505" s="3">
        <v>16110053</v>
      </c>
      <c r="B505" s="10">
        <v>38182</v>
      </c>
      <c r="C505" s="19">
        <v>18.381268011527379</v>
      </c>
      <c r="D505" s="3"/>
      <c r="E505" t="str">
        <f>_xlfn.XLOOKUP(PE_3[[#This Row],[STN]],SE_3[STN],SE_3[IdeaEligibility],"w/o disability",0)</f>
        <v>w/o disability</v>
      </c>
      <c r="F505" t="str">
        <f>_xlfn.XLOOKUP(PE_3[[#This Row],[STN]],SE_3[STN],SE_3[Ethnicity],"",0)</f>
        <v/>
      </c>
    </row>
    <row r="506" spans="1:6" ht="13.9">
      <c r="A506" s="3">
        <v>17808872</v>
      </c>
      <c r="B506" s="10">
        <v>38276</v>
      </c>
      <c r="C506" s="19">
        <v>18.123919308357351</v>
      </c>
      <c r="D506" s="3"/>
      <c r="E506" t="str">
        <f>_xlfn.XLOOKUP(PE_3[[#This Row],[STN]],SE_3[STN],SE_3[IdeaEligibility],"w/o disability",0)</f>
        <v>w/o disability</v>
      </c>
      <c r="F506" t="str">
        <f>_xlfn.XLOOKUP(PE_3[[#This Row],[STN]],SE_3[STN],SE_3[Ethnicity],"",0)</f>
        <v/>
      </c>
    </row>
    <row r="507" spans="1:6" ht="13.9">
      <c r="A507" s="3">
        <v>15308579</v>
      </c>
      <c r="B507" s="10">
        <v>38471</v>
      </c>
      <c r="C507" s="19">
        <v>17.592029205962884</v>
      </c>
      <c r="D507" s="3"/>
      <c r="E507" t="str">
        <f>_xlfn.XLOOKUP(PE_3[[#This Row],[STN]],SE_3[STN],SE_3[IdeaEligibility],"w/o disability",0)</f>
        <v>w/o disability</v>
      </c>
      <c r="F507" t="str">
        <f>_xlfn.XLOOKUP(PE_3[[#This Row],[STN]],SE_3[STN],SE_3[Ethnicity],"",0)</f>
        <v/>
      </c>
    </row>
    <row r="508" spans="1:6" ht="13.9">
      <c r="A508" s="3">
        <v>22907599</v>
      </c>
      <c r="B508" s="10">
        <v>37814</v>
      </c>
      <c r="C508" s="19">
        <v>19.389459274469541</v>
      </c>
      <c r="D508" s="3"/>
      <c r="E508" t="str">
        <f>_xlfn.XLOOKUP(PE_3[[#This Row],[STN]],SE_3[STN],SE_3[IdeaEligibility],"w/o disability",0)</f>
        <v>w/o disability</v>
      </c>
      <c r="F508" t="str">
        <f>_xlfn.XLOOKUP(PE_3[[#This Row],[STN]],SE_3[STN],SE_3[Ethnicity],"",0)</f>
        <v/>
      </c>
    </row>
    <row r="509" spans="1:6" ht="13.9">
      <c r="A509" s="3">
        <v>13610006</v>
      </c>
      <c r="B509" s="10">
        <v>38383</v>
      </c>
      <c r="C509" s="19">
        <v>17.832978399756616</v>
      </c>
      <c r="D509" s="3"/>
      <c r="E509" t="str">
        <f>_xlfn.XLOOKUP(PE_3[[#This Row],[STN]],SE_3[STN],SE_3[IdeaEligibility],"w/o disability",0)</f>
        <v>w/o disability</v>
      </c>
      <c r="F509" t="str">
        <f>_xlfn.XLOOKUP(PE_3[[#This Row],[STN]],SE_3[STN],SE_3[Ethnicity],"",0)</f>
        <v/>
      </c>
    </row>
    <row r="510" spans="1:6" ht="13.9">
      <c r="A510" s="3">
        <v>16110016</v>
      </c>
      <c r="B510" s="10">
        <v>38242</v>
      </c>
      <c r="C510" s="19">
        <v>18.217002881844383</v>
      </c>
      <c r="D510" s="3"/>
      <c r="E510" t="str">
        <f>_xlfn.XLOOKUP(PE_3[[#This Row],[STN]],SE_3[STN],SE_3[IdeaEligibility],"w/o disability",0)</f>
        <v>w/o disability</v>
      </c>
      <c r="F510" t="str">
        <f>_xlfn.XLOOKUP(PE_3[[#This Row],[STN]],SE_3[STN],SE_3[Ethnicity],"",0)</f>
        <v/>
      </c>
    </row>
    <row r="511" spans="1:6" ht="13.9">
      <c r="A511" s="3">
        <v>18910027</v>
      </c>
      <c r="B511" s="10">
        <v>38127</v>
      </c>
      <c r="C511" s="19">
        <v>18.531844380403459</v>
      </c>
      <c r="D511" s="3"/>
      <c r="E511" t="str">
        <f>_xlfn.XLOOKUP(PE_3[[#This Row],[STN]],SE_3[STN],SE_3[IdeaEligibility],"w/o disability",0)</f>
        <v>w/o disability</v>
      </c>
      <c r="F511" t="str">
        <f>_xlfn.XLOOKUP(PE_3[[#This Row],[STN]],SE_3[STN],SE_3[Ethnicity],"",0)</f>
        <v/>
      </c>
    </row>
    <row r="512" spans="1:6" ht="13.9">
      <c r="A512" s="3">
        <v>25710016</v>
      </c>
      <c r="B512" s="10">
        <v>38448</v>
      </c>
      <c r="C512" s="19">
        <v>17.655004563431699</v>
      </c>
      <c r="D512" s="3"/>
      <c r="E512" t="str">
        <f>_xlfn.XLOOKUP(PE_3[[#This Row],[STN]],SE_3[STN],SE_3[IdeaEligibility],"w/o disability",0)</f>
        <v>w/o disability</v>
      </c>
      <c r="F512" t="str">
        <f>_xlfn.XLOOKUP(PE_3[[#This Row],[STN]],SE_3[STN],SE_3[Ethnicity],"",0)</f>
        <v/>
      </c>
    </row>
    <row r="513" spans="1:6" ht="13.9">
      <c r="A513" s="5">
        <v>405708375</v>
      </c>
      <c r="B513" s="10">
        <v>38543</v>
      </c>
      <c r="C513" s="19">
        <v>17.394888956495283</v>
      </c>
      <c r="D513" s="3"/>
      <c r="E513" t="str">
        <f>_xlfn.XLOOKUP(PE_3[[#This Row],[STN]],SE_3[STN],SE_3[IdeaEligibility],"w/o disability",0)</f>
        <v>w/o disability</v>
      </c>
      <c r="F513" t="str">
        <f>_xlfn.XLOOKUP(PE_3[[#This Row],[STN]],SE_3[STN],SE_3[Ethnicity],"",0)</f>
        <v/>
      </c>
    </row>
    <row r="514" spans="1:6" ht="13.9">
      <c r="A514" s="5">
        <v>350909099</v>
      </c>
      <c r="B514" s="10">
        <v>39044</v>
      </c>
      <c r="C514" s="19">
        <v>16.022547914317926</v>
      </c>
      <c r="D514" s="3"/>
      <c r="E514" t="str">
        <f>_xlfn.XLOOKUP(PE_3[[#This Row],[STN]],SE_3[STN],SE_3[IdeaEligibility],"w/o disability",0)</f>
        <v>w/o disability</v>
      </c>
      <c r="F514" t="str">
        <f>_xlfn.XLOOKUP(PE_3[[#This Row],[STN]],SE_3[STN],SE_3[Ethnicity],"",0)</f>
        <v/>
      </c>
    </row>
    <row r="515" spans="1:6" ht="13.9">
      <c r="A515" s="3">
        <v>26510521</v>
      </c>
      <c r="B515" s="10">
        <v>38480</v>
      </c>
      <c r="C515" s="19">
        <v>17.567386674779435</v>
      </c>
      <c r="D515" s="3"/>
      <c r="E515" t="str">
        <f>_xlfn.XLOOKUP(PE_3[[#This Row],[STN]],SE_3[STN],SE_3[IdeaEligibility],"w/o disability",0)</f>
        <v>w/o disability</v>
      </c>
      <c r="F515" t="str">
        <f>_xlfn.XLOOKUP(PE_3[[#This Row],[STN]],SE_3[STN],SE_3[Ethnicity],"",0)</f>
        <v/>
      </c>
    </row>
    <row r="516" spans="1:6" ht="13.9">
      <c r="A516" s="3">
        <v>26510522</v>
      </c>
      <c r="B516" s="10">
        <v>38188</v>
      </c>
      <c r="C516" s="19">
        <v>18.36484149855908</v>
      </c>
      <c r="D516" s="3"/>
      <c r="E516" t="str">
        <f>_xlfn.XLOOKUP(PE_3[[#This Row],[STN]],SE_3[STN],SE_3[IdeaEligibility],"w/o disability",0)</f>
        <v>w/o disability</v>
      </c>
      <c r="F516" t="str">
        <f>_xlfn.XLOOKUP(PE_3[[#This Row],[STN]],SE_3[STN],SE_3[Ethnicity],"",0)</f>
        <v/>
      </c>
    </row>
    <row r="517" spans="1:6" ht="13.9">
      <c r="A517" s="3">
        <v>17810030</v>
      </c>
      <c r="B517" s="10">
        <v>38016</v>
      </c>
      <c r="C517" s="19">
        <v>18.835734870317005</v>
      </c>
      <c r="D517" s="3"/>
      <c r="E517" t="str">
        <f>_xlfn.XLOOKUP(PE_3[[#This Row],[STN]],SE_3[STN],SE_3[IdeaEligibility],"w/o disability",0)</f>
        <v>w/o disability</v>
      </c>
      <c r="F517" t="str">
        <f>_xlfn.XLOOKUP(PE_3[[#This Row],[STN]],SE_3[STN],SE_3[Ethnicity],"",0)</f>
        <v/>
      </c>
    </row>
    <row r="518" spans="1:6" ht="13.9">
      <c r="A518" s="3">
        <v>18910044</v>
      </c>
      <c r="B518" s="10">
        <v>38048</v>
      </c>
      <c r="C518" s="19">
        <v>18.74812680115274</v>
      </c>
      <c r="D518" s="3"/>
      <c r="E518" t="str">
        <f>_xlfn.XLOOKUP(PE_3[[#This Row],[STN]],SE_3[STN],SE_3[IdeaEligibility],"w/o disability",0)</f>
        <v>w/o disability</v>
      </c>
      <c r="F518" t="str">
        <f>_xlfn.XLOOKUP(PE_3[[#This Row],[STN]],SE_3[STN],SE_3[Ethnicity],"",0)</f>
        <v/>
      </c>
    </row>
    <row r="519" spans="1:6" ht="13.9">
      <c r="A519" s="3">
        <v>25710009</v>
      </c>
      <c r="B519" s="10">
        <v>38225</v>
      </c>
      <c r="C519" s="19">
        <v>18.263544668587897</v>
      </c>
      <c r="D519" s="3"/>
      <c r="E519" t="str">
        <f>_xlfn.XLOOKUP(PE_3[[#This Row],[STN]],SE_3[STN],SE_3[IdeaEligibility],"w/o disability",0)</f>
        <v>w/o disability</v>
      </c>
      <c r="F519" t="str">
        <f>_xlfn.XLOOKUP(PE_3[[#This Row],[STN]],SE_3[STN],SE_3[Ethnicity],"",0)</f>
        <v/>
      </c>
    </row>
    <row r="520" spans="1:6" ht="13.9">
      <c r="A520" s="3">
        <v>25710011</v>
      </c>
      <c r="B520" s="10">
        <v>38459</v>
      </c>
      <c r="C520" s="19">
        <v>17.624885914207482</v>
      </c>
      <c r="D520" s="3"/>
      <c r="E520" t="str">
        <f>_xlfn.XLOOKUP(PE_3[[#This Row],[STN]],SE_3[STN],SE_3[IdeaEligibility],"w/o disability",0)</f>
        <v>w/o disability</v>
      </c>
      <c r="F520" t="str">
        <f>_xlfn.XLOOKUP(PE_3[[#This Row],[STN]],SE_3[STN],SE_3[Ethnicity],"",0)</f>
        <v/>
      </c>
    </row>
    <row r="521" spans="1:6" ht="13.9">
      <c r="A521" s="3">
        <v>25710020</v>
      </c>
      <c r="B521" s="10">
        <v>38291</v>
      </c>
      <c r="C521" s="19">
        <v>18.0828530259366</v>
      </c>
      <c r="D521" s="3"/>
      <c r="E521" t="str">
        <f>_xlfn.XLOOKUP(PE_3[[#This Row],[STN]],SE_3[STN],SE_3[IdeaEligibility],"w/o disability",0)</f>
        <v>w/o disability</v>
      </c>
      <c r="F521" t="str">
        <f>_xlfn.XLOOKUP(PE_3[[#This Row],[STN]],SE_3[STN],SE_3[Ethnicity],"",0)</f>
        <v/>
      </c>
    </row>
    <row r="522" spans="1:6" ht="13.9">
      <c r="A522" s="3">
        <v>26510006</v>
      </c>
      <c r="B522" s="10">
        <v>38388</v>
      </c>
      <c r="C522" s="19">
        <v>17.819288104654699</v>
      </c>
      <c r="D522" s="3"/>
      <c r="E522" t="str">
        <f>_xlfn.XLOOKUP(PE_3[[#This Row],[STN]],SE_3[STN],SE_3[IdeaEligibility],"w/o disability",0)</f>
        <v>w/o disability</v>
      </c>
      <c r="F522" t="str">
        <f>_xlfn.XLOOKUP(PE_3[[#This Row],[STN]],SE_3[STN],SE_3[Ethnicity],"",0)</f>
        <v/>
      </c>
    </row>
    <row r="523" spans="1:6" ht="13.9">
      <c r="A523" s="3">
        <v>26510008</v>
      </c>
      <c r="B523" s="10">
        <v>38453</v>
      </c>
      <c r="C523" s="19">
        <v>17.641314268329783</v>
      </c>
      <c r="D523" s="3"/>
      <c r="E523" t="str">
        <f>_xlfn.XLOOKUP(PE_3[[#This Row],[STN]],SE_3[STN],SE_3[IdeaEligibility],"w/o disability",0)</f>
        <v>w/o disability</v>
      </c>
      <c r="F523" t="str">
        <f>_xlfn.XLOOKUP(PE_3[[#This Row],[STN]],SE_3[STN],SE_3[Ethnicity],"",0)</f>
        <v/>
      </c>
    </row>
    <row r="524" spans="1:6" ht="13.9">
      <c r="A524" s="3">
        <v>22909511</v>
      </c>
      <c r="B524" s="10">
        <v>38309</v>
      </c>
      <c r="C524" s="19">
        <v>18.033573487031703</v>
      </c>
      <c r="D524" s="3"/>
      <c r="E524" t="str">
        <f>_xlfn.XLOOKUP(PE_3[[#This Row],[STN]],SE_3[STN],SE_3[IdeaEligibility],"w/o disability",0)</f>
        <v>w/o disability</v>
      </c>
      <c r="F524" t="str">
        <f>_xlfn.XLOOKUP(PE_3[[#This Row],[STN]],SE_3[STN],SE_3[Ethnicity],"",0)</f>
        <v/>
      </c>
    </row>
    <row r="525" spans="1:6" ht="13.9">
      <c r="A525" s="3">
        <v>13610011</v>
      </c>
      <c r="B525" s="10">
        <v>38372</v>
      </c>
      <c r="C525" s="19">
        <v>17.863097048980833</v>
      </c>
      <c r="D525" s="3"/>
      <c r="E525" t="str">
        <f>_xlfn.XLOOKUP(PE_3[[#This Row],[STN]],SE_3[STN],SE_3[IdeaEligibility],"w/o disability",0)</f>
        <v>w/o disability</v>
      </c>
      <c r="F525" t="str">
        <f>_xlfn.XLOOKUP(PE_3[[#This Row],[STN]],SE_3[STN],SE_3[Ethnicity],"",0)</f>
        <v/>
      </c>
    </row>
    <row r="526" spans="1:6" ht="13.9">
      <c r="A526" s="3">
        <v>13610020</v>
      </c>
      <c r="B526" s="10">
        <v>38468</v>
      </c>
      <c r="C526" s="19">
        <v>17.600243383024033</v>
      </c>
      <c r="D526" s="3"/>
      <c r="E526" t="str">
        <f>_xlfn.XLOOKUP(PE_3[[#This Row],[STN]],SE_3[STN],SE_3[IdeaEligibility],"w/o disability",0)</f>
        <v>w/o disability</v>
      </c>
      <c r="F526" t="str">
        <f>_xlfn.XLOOKUP(PE_3[[#This Row],[STN]],SE_3[STN],SE_3[Ethnicity],"",0)</f>
        <v/>
      </c>
    </row>
    <row r="527" spans="1:6" ht="13.9">
      <c r="A527" s="3">
        <v>13610014</v>
      </c>
      <c r="B527" s="10">
        <v>38315</v>
      </c>
      <c r="C527" s="19">
        <v>18.017146974063401</v>
      </c>
      <c r="D527" s="3"/>
      <c r="E527" t="str">
        <f>_xlfn.XLOOKUP(PE_3[[#This Row],[STN]],SE_3[STN],SE_3[IdeaEligibility],"w/o disability",0)</f>
        <v>w/o disability</v>
      </c>
      <c r="F527" t="str">
        <f>_xlfn.XLOOKUP(PE_3[[#This Row],[STN]],SE_3[STN],SE_3[Ethnicity],"",0)</f>
        <v/>
      </c>
    </row>
    <row r="528" spans="1:6" ht="13.9">
      <c r="A528" s="3">
        <v>31808718</v>
      </c>
      <c r="B528" s="10">
        <v>38322</v>
      </c>
      <c r="C528" s="19">
        <v>17.997982708933719</v>
      </c>
      <c r="D528" s="3"/>
      <c r="E528" t="str">
        <f>_xlfn.XLOOKUP(PE_3[[#This Row],[STN]],SE_3[STN],SE_3[IdeaEligibility],"w/o disability",0)</f>
        <v>w/o disability</v>
      </c>
      <c r="F528" t="str">
        <f>_xlfn.XLOOKUP(PE_3[[#This Row],[STN]],SE_3[STN],SE_3[Ethnicity],"",0)</f>
        <v/>
      </c>
    </row>
    <row r="529" spans="1:6" ht="13.9">
      <c r="A529" s="3">
        <v>7710005</v>
      </c>
      <c r="B529" s="10">
        <v>38415</v>
      </c>
      <c r="C529" s="19">
        <v>17.745360511104352</v>
      </c>
      <c r="D529" s="3"/>
      <c r="E529" t="str">
        <f>_xlfn.XLOOKUP(PE_3[[#This Row],[STN]],SE_3[STN],SE_3[IdeaEligibility],"w/o disability",0)</f>
        <v>w/o disability</v>
      </c>
      <c r="F529" t="str">
        <f>_xlfn.XLOOKUP(PE_3[[#This Row],[STN]],SE_3[STN],SE_3[Ethnicity],"",0)</f>
        <v/>
      </c>
    </row>
    <row r="530" spans="1:6" ht="13.9">
      <c r="A530" s="3">
        <v>15109144</v>
      </c>
      <c r="B530" s="10">
        <v>38339</v>
      </c>
      <c r="C530" s="19">
        <v>17.951440922190201</v>
      </c>
      <c r="D530" s="3"/>
      <c r="E530" t="str">
        <f>_xlfn.XLOOKUP(PE_3[[#This Row],[STN]],SE_3[STN],SE_3[IdeaEligibility],"w/o disability",0)</f>
        <v>w/o disability</v>
      </c>
      <c r="F530" t="str">
        <f>_xlfn.XLOOKUP(PE_3[[#This Row],[STN]],SE_3[STN],SE_3[Ethnicity],"",0)</f>
        <v/>
      </c>
    </row>
    <row r="531" spans="1:6" ht="13.9">
      <c r="A531" s="3">
        <v>15109145</v>
      </c>
      <c r="B531" s="10">
        <v>38282</v>
      </c>
      <c r="C531" s="19">
        <v>18.107492795389049</v>
      </c>
      <c r="D531" s="3"/>
      <c r="E531" t="str">
        <f>_xlfn.XLOOKUP(PE_3[[#This Row],[STN]],SE_3[STN],SE_3[IdeaEligibility],"w/o disability",0)</f>
        <v>w/o disability</v>
      </c>
      <c r="F531" t="str">
        <f>_xlfn.XLOOKUP(PE_3[[#This Row],[STN]],SE_3[STN],SE_3[Ethnicity],"",0)</f>
        <v/>
      </c>
    </row>
    <row r="532" spans="1:6" ht="13.9">
      <c r="A532" s="3">
        <v>15109173</v>
      </c>
      <c r="B532" s="10">
        <v>38318</v>
      </c>
      <c r="C532" s="19">
        <v>18.00893371757925</v>
      </c>
      <c r="D532" s="3"/>
      <c r="E532" t="str">
        <f>_xlfn.XLOOKUP(PE_3[[#This Row],[STN]],SE_3[STN],SE_3[IdeaEligibility],"w/o disability",0)</f>
        <v>w/o disability</v>
      </c>
      <c r="F532" t="str">
        <f>_xlfn.XLOOKUP(PE_3[[#This Row],[STN]],SE_3[STN],SE_3[Ethnicity],"",0)</f>
        <v/>
      </c>
    </row>
    <row r="533" spans="1:6" ht="13.9">
      <c r="A533" s="3">
        <v>20509517</v>
      </c>
      <c r="B533" s="10">
        <v>38195</v>
      </c>
      <c r="C533" s="19">
        <v>18.345677233429395</v>
      </c>
      <c r="D533" s="3"/>
      <c r="E533" t="str">
        <f>_xlfn.XLOOKUP(PE_3[[#This Row],[STN]],SE_3[STN],SE_3[IdeaEligibility],"w/o disability",0)</f>
        <v>w/o disability</v>
      </c>
      <c r="F533" t="str">
        <f>_xlfn.XLOOKUP(PE_3[[#This Row],[STN]],SE_3[STN],SE_3[Ethnicity],"",0)</f>
        <v/>
      </c>
    </row>
    <row r="534" spans="1:6" ht="13.9">
      <c r="A534" s="3">
        <v>17808881</v>
      </c>
      <c r="B534" s="10">
        <v>38227</v>
      </c>
      <c r="C534" s="19">
        <v>18.25806916426513</v>
      </c>
      <c r="D534" s="3"/>
      <c r="E534" t="str">
        <f>_xlfn.XLOOKUP(PE_3[[#This Row],[STN]],SE_3[STN],SE_3[IdeaEligibility],"w/o disability",0)</f>
        <v>w/o disability</v>
      </c>
      <c r="F534" t="str">
        <f>_xlfn.XLOOKUP(PE_3[[#This Row],[STN]],SE_3[STN],SE_3[Ethnicity],"",0)</f>
        <v/>
      </c>
    </row>
    <row r="535" spans="1:6" ht="13.9">
      <c r="A535" s="3">
        <v>8909010</v>
      </c>
      <c r="B535" s="10">
        <v>38838</v>
      </c>
      <c r="C535" s="19">
        <v>16.586567885327749</v>
      </c>
      <c r="D535" s="3"/>
      <c r="E535" t="str">
        <f>_xlfn.XLOOKUP(PE_3[[#This Row],[STN]],SE_3[STN],SE_3[IdeaEligibility],"w/o disability",0)</f>
        <v>w/o disability</v>
      </c>
      <c r="F535" t="str">
        <f>_xlfn.XLOOKUP(PE_3[[#This Row],[STN]],SE_3[STN],SE_3[Ethnicity],"",0)</f>
        <v/>
      </c>
    </row>
    <row r="536" spans="1:6" ht="13.9">
      <c r="A536" s="3">
        <v>22909570</v>
      </c>
      <c r="B536" s="10">
        <v>38348</v>
      </c>
      <c r="C536" s="19">
        <v>17.926801152737752</v>
      </c>
      <c r="D536" s="3"/>
      <c r="E536" t="str">
        <f>_xlfn.XLOOKUP(PE_3[[#This Row],[STN]],SE_3[STN],SE_3[IdeaEligibility],"w/o disability",0)</f>
        <v>w/o disability</v>
      </c>
      <c r="F536" t="str">
        <f>_xlfn.XLOOKUP(PE_3[[#This Row],[STN]],SE_3[STN],SE_3[Ethnicity],"",0)</f>
        <v/>
      </c>
    </row>
    <row r="537" spans="1:6" ht="13.9">
      <c r="A537" s="3">
        <v>17810034</v>
      </c>
      <c r="B537" s="10">
        <v>38097</v>
      </c>
      <c r="C537" s="19">
        <v>18.613976945244957</v>
      </c>
      <c r="D537" s="3"/>
      <c r="E537" t="str">
        <f>_xlfn.XLOOKUP(PE_3[[#This Row],[STN]],SE_3[STN],SE_3[IdeaEligibility],"w/o disability",0)</f>
        <v>w/o disability</v>
      </c>
      <c r="F537" t="str">
        <f>_xlfn.XLOOKUP(PE_3[[#This Row],[STN]],SE_3[STN],SE_3[Ethnicity],"",0)</f>
        <v/>
      </c>
    </row>
    <row r="538" spans="1:6" ht="13.9">
      <c r="A538" s="3">
        <v>27310008</v>
      </c>
      <c r="B538" s="10">
        <v>38032</v>
      </c>
      <c r="C538" s="19">
        <v>18.79193083573487</v>
      </c>
      <c r="D538" s="3"/>
      <c r="E538" t="str">
        <f>_xlfn.XLOOKUP(PE_3[[#This Row],[STN]],SE_3[STN],SE_3[IdeaEligibility],"w/o disability",0)</f>
        <v>w/o disability</v>
      </c>
      <c r="F538" t="str">
        <f>_xlfn.XLOOKUP(PE_3[[#This Row],[STN]],SE_3[STN],SE_3[Ethnicity],"",0)</f>
        <v/>
      </c>
    </row>
    <row r="539" spans="1:6" ht="13.9">
      <c r="A539" s="3">
        <v>15710014</v>
      </c>
      <c r="B539" s="10">
        <v>38204</v>
      </c>
      <c r="C539" s="19">
        <v>18.321037463976946</v>
      </c>
      <c r="D539" s="3"/>
      <c r="E539" t="str">
        <f>_xlfn.XLOOKUP(PE_3[[#This Row],[STN]],SE_3[STN],SE_3[IdeaEligibility],"w/o disability",0)</f>
        <v>w/o disability</v>
      </c>
      <c r="F539" t="str">
        <f>_xlfn.XLOOKUP(PE_3[[#This Row],[STN]],SE_3[STN],SE_3[Ethnicity],"",0)</f>
        <v/>
      </c>
    </row>
    <row r="540" spans="1:6" ht="13.9">
      <c r="A540" s="3">
        <v>15710016</v>
      </c>
      <c r="B540" s="10">
        <v>38201</v>
      </c>
      <c r="C540" s="19">
        <v>18.329250720461097</v>
      </c>
      <c r="D540" s="3"/>
      <c r="E540" t="str">
        <f>_xlfn.XLOOKUP(PE_3[[#This Row],[STN]],SE_3[STN],SE_3[IdeaEligibility],"w/o disability",0)</f>
        <v>w/o disability</v>
      </c>
      <c r="F540" t="str">
        <f>_xlfn.XLOOKUP(PE_3[[#This Row],[STN]],SE_3[STN],SE_3[Ethnicity],"",0)</f>
        <v/>
      </c>
    </row>
    <row r="541" spans="1:6" ht="13.9">
      <c r="A541" s="3">
        <v>25710003</v>
      </c>
      <c r="B541" s="10">
        <v>38454</v>
      </c>
      <c r="C541" s="19">
        <v>17.638576209309399</v>
      </c>
      <c r="D541" s="3"/>
      <c r="E541" t="str">
        <f>_xlfn.XLOOKUP(PE_3[[#This Row],[STN]],SE_3[STN],SE_3[IdeaEligibility],"w/o disability",0)</f>
        <v>w/o disability</v>
      </c>
      <c r="F541" t="str">
        <f>_xlfn.XLOOKUP(PE_3[[#This Row],[STN]],SE_3[STN],SE_3[Ethnicity],"",0)</f>
        <v/>
      </c>
    </row>
    <row r="542" spans="1:6" ht="13.9">
      <c r="A542" s="3">
        <v>13610029</v>
      </c>
      <c r="B542" s="10">
        <v>38503</v>
      </c>
      <c r="C542" s="19">
        <v>17.504411317310616</v>
      </c>
      <c r="D542" s="3"/>
      <c r="E542" t="str">
        <f>_xlfn.XLOOKUP(PE_3[[#This Row],[STN]],SE_3[STN],SE_3[IdeaEligibility],"w/o disability",0)</f>
        <v>w/o disability</v>
      </c>
      <c r="F542" t="str">
        <f>_xlfn.XLOOKUP(PE_3[[#This Row],[STN]],SE_3[STN],SE_3[Ethnicity],"",0)</f>
        <v/>
      </c>
    </row>
    <row r="543" spans="1:6" ht="13.9">
      <c r="A543" s="3">
        <v>15109140</v>
      </c>
      <c r="B543" s="10">
        <v>38526</v>
      </c>
      <c r="C543" s="19">
        <v>17.441435959841801</v>
      </c>
      <c r="D543" s="3"/>
      <c r="E543" t="str">
        <f>_xlfn.XLOOKUP(PE_3[[#This Row],[STN]],SE_3[STN],SE_3[IdeaEligibility],"w/o disability",0)</f>
        <v>w/o disability</v>
      </c>
      <c r="F543" t="str">
        <f>_xlfn.XLOOKUP(PE_3[[#This Row],[STN]],SE_3[STN],SE_3[Ethnicity],"",0)</f>
        <v/>
      </c>
    </row>
    <row r="544" spans="1:6" ht="13.9">
      <c r="A544" s="3">
        <v>15710019</v>
      </c>
      <c r="B544" s="10">
        <v>38480</v>
      </c>
      <c r="C544" s="19">
        <v>17.567386674779435</v>
      </c>
      <c r="D544" s="3"/>
      <c r="E544" t="str">
        <f>_xlfn.XLOOKUP(PE_3[[#This Row],[STN]],SE_3[STN],SE_3[IdeaEligibility],"w/o disability",0)</f>
        <v>w/o disability</v>
      </c>
      <c r="F544" t="str">
        <f>_xlfn.XLOOKUP(PE_3[[#This Row],[STN]],SE_3[STN],SE_3[Ethnicity],"",0)</f>
        <v/>
      </c>
    </row>
    <row r="545" spans="1:6" ht="13.9">
      <c r="A545" s="3">
        <v>18910003</v>
      </c>
      <c r="B545" s="10">
        <v>38400</v>
      </c>
      <c r="C545" s="19">
        <v>17.786431396410102</v>
      </c>
      <c r="D545" s="3"/>
      <c r="E545" t="str">
        <f>_xlfn.XLOOKUP(PE_3[[#This Row],[STN]],SE_3[STN],SE_3[IdeaEligibility],"w/o disability",0)</f>
        <v>w/o disability</v>
      </c>
      <c r="F545" t="str">
        <f>_xlfn.XLOOKUP(PE_3[[#This Row],[STN]],SE_3[STN],SE_3[Ethnicity],"",0)</f>
        <v/>
      </c>
    </row>
    <row r="546" spans="1:6" ht="13.9">
      <c r="A546" s="3">
        <v>25310018</v>
      </c>
      <c r="B546" s="10">
        <v>38551</v>
      </c>
      <c r="C546" s="19">
        <v>17.372984484332218</v>
      </c>
      <c r="D546" s="3"/>
      <c r="E546" t="str">
        <f>_xlfn.XLOOKUP(PE_3[[#This Row],[STN]],SE_3[STN],SE_3[IdeaEligibility],"w/o disability",0)</f>
        <v>w/o disability</v>
      </c>
      <c r="F546" t="str">
        <f>_xlfn.XLOOKUP(PE_3[[#This Row],[STN]],SE_3[STN],SE_3[Ethnicity],"",0)</f>
        <v/>
      </c>
    </row>
    <row r="547" spans="1:6" ht="13.9">
      <c r="A547" s="3">
        <v>25710005</v>
      </c>
      <c r="B547" s="10">
        <v>38215</v>
      </c>
      <c r="C547" s="19">
        <v>18.29092219020173</v>
      </c>
      <c r="D547" s="3"/>
      <c r="E547" t="str">
        <f>_xlfn.XLOOKUP(PE_3[[#This Row],[STN]],SE_3[STN],SE_3[IdeaEligibility],"w/o disability",0)</f>
        <v>w/o disability</v>
      </c>
      <c r="F547" t="str">
        <f>_xlfn.XLOOKUP(PE_3[[#This Row],[STN]],SE_3[STN],SE_3[Ethnicity],"",0)</f>
        <v/>
      </c>
    </row>
    <row r="548" spans="1:6" ht="13.9">
      <c r="A548" s="3">
        <v>26510013</v>
      </c>
      <c r="B548" s="10">
        <v>38401</v>
      </c>
      <c r="C548" s="19">
        <v>17.783693337389717</v>
      </c>
      <c r="D548" s="3"/>
      <c r="E548" t="str">
        <f>_xlfn.XLOOKUP(PE_3[[#This Row],[STN]],SE_3[STN],SE_3[IdeaEligibility],"w/o disability",0)</f>
        <v>w/o disability</v>
      </c>
      <c r="F548" t="str">
        <f>_xlfn.XLOOKUP(PE_3[[#This Row],[STN]],SE_3[STN],SE_3[Ethnicity],"",0)</f>
        <v/>
      </c>
    </row>
    <row r="549" spans="1:6" ht="13.9">
      <c r="A549" s="3">
        <v>24110010</v>
      </c>
      <c r="B549" s="10">
        <v>38532</v>
      </c>
      <c r="C549" s="19">
        <v>17.4250076057195</v>
      </c>
      <c r="D549" s="3"/>
      <c r="E549" t="str">
        <f>_xlfn.XLOOKUP(PE_3[[#This Row],[STN]],SE_3[STN],SE_3[IdeaEligibility],"w/o disability",0)</f>
        <v>w/o disability</v>
      </c>
      <c r="F549" t="str">
        <f>_xlfn.XLOOKUP(PE_3[[#This Row],[STN]],SE_3[STN],SE_3[Ethnicity],"",0)</f>
        <v/>
      </c>
    </row>
    <row r="550" spans="1:6" ht="13.9">
      <c r="A550" s="3">
        <v>24110048</v>
      </c>
      <c r="B550" s="10">
        <v>38386</v>
      </c>
      <c r="C550" s="19">
        <v>17.824764222695467</v>
      </c>
      <c r="D550" s="3"/>
      <c r="E550" t="str">
        <f>_xlfn.XLOOKUP(PE_3[[#This Row],[STN]],SE_3[STN],SE_3[IdeaEligibility],"w/o disability",0)</f>
        <v>w/o disability</v>
      </c>
      <c r="F550" t="str">
        <f>_xlfn.XLOOKUP(PE_3[[#This Row],[STN]],SE_3[STN],SE_3[Ethnicity],"",0)</f>
        <v/>
      </c>
    </row>
    <row r="551" spans="1:6" ht="13.9">
      <c r="A551" s="3">
        <v>24110076</v>
      </c>
      <c r="B551" s="10">
        <v>38392</v>
      </c>
      <c r="C551" s="19">
        <v>17.808335868573167</v>
      </c>
      <c r="D551" s="3"/>
      <c r="E551" t="str">
        <f>_xlfn.XLOOKUP(PE_3[[#This Row],[STN]],SE_3[STN],SE_3[IdeaEligibility],"w/o disability",0)</f>
        <v>w/o disability</v>
      </c>
      <c r="F551" t="str">
        <f>_xlfn.XLOOKUP(PE_3[[#This Row],[STN]],SE_3[STN],SE_3[Ethnicity],"",0)</f>
        <v/>
      </c>
    </row>
    <row r="552" spans="1:6" ht="13.9">
      <c r="A552" s="3">
        <v>24110077</v>
      </c>
      <c r="B552" s="10">
        <v>38234</v>
      </c>
      <c r="C552" s="19">
        <v>18.238904899135449</v>
      </c>
      <c r="D552" s="3"/>
      <c r="E552" t="str">
        <f>_xlfn.XLOOKUP(PE_3[[#This Row],[STN]],SE_3[STN],SE_3[IdeaEligibility],"w/o disability",0)</f>
        <v>w/o disability</v>
      </c>
      <c r="F552" t="str">
        <f>_xlfn.XLOOKUP(PE_3[[#This Row],[STN]],SE_3[STN],SE_3[Ethnicity],"",0)</f>
        <v/>
      </c>
    </row>
    <row r="553" spans="1:6" ht="13.9">
      <c r="A553" s="3">
        <v>24110094</v>
      </c>
      <c r="B553" s="10">
        <v>38357</v>
      </c>
      <c r="C553" s="19">
        <v>17.904167934286583</v>
      </c>
      <c r="D553" s="3"/>
      <c r="E553" t="str">
        <f>_xlfn.XLOOKUP(PE_3[[#This Row],[STN]],SE_3[STN],SE_3[IdeaEligibility],"w/o disability",0)</f>
        <v>w/o disability</v>
      </c>
      <c r="F553" t="str">
        <f>_xlfn.XLOOKUP(PE_3[[#This Row],[STN]],SE_3[STN],SE_3[Ethnicity],"",0)</f>
        <v/>
      </c>
    </row>
    <row r="554" spans="1:6" ht="13.9">
      <c r="A554" s="3">
        <v>24110095</v>
      </c>
      <c r="B554" s="10">
        <v>38209</v>
      </c>
      <c r="C554" s="19">
        <v>18.307348703170028</v>
      </c>
      <c r="D554" s="3"/>
      <c r="E554" t="str">
        <f>_xlfn.XLOOKUP(PE_3[[#This Row],[STN]],SE_3[STN],SE_3[IdeaEligibility],"w/o disability",0)</f>
        <v>w/o disability</v>
      </c>
      <c r="F554" t="str">
        <f>_xlfn.XLOOKUP(PE_3[[#This Row],[STN]],SE_3[STN],SE_3[Ethnicity],"",0)</f>
        <v/>
      </c>
    </row>
    <row r="555" spans="1:6" ht="13.9">
      <c r="A555" s="3">
        <v>24110041</v>
      </c>
      <c r="B555" s="10">
        <v>38316</v>
      </c>
      <c r="C555" s="19">
        <v>18.014409221902017</v>
      </c>
      <c r="D555" s="3"/>
      <c r="E555" t="str">
        <f>_xlfn.XLOOKUP(PE_3[[#This Row],[STN]],SE_3[STN],SE_3[IdeaEligibility],"w/o disability",0)</f>
        <v>w/o disability</v>
      </c>
      <c r="F555" t="str">
        <f>_xlfn.XLOOKUP(PE_3[[#This Row],[STN]],SE_3[STN],SE_3[Ethnicity],"",0)</f>
        <v/>
      </c>
    </row>
    <row r="556" spans="1:6" ht="13.9">
      <c r="A556" s="3">
        <v>13710017</v>
      </c>
      <c r="B556" s="10">
        <v>38310</v>
      </c>
      <c r="C556" s="19">
        <v>18.030835734870319</v>
      </c>
      <c r="D556" s="3"/>
      <c r="E556" t="str">
        <f>_xlfn.XLOOKUP(PE_3[[#This Row],[STN]],SE_3[STN],SE_3[IdeaEligibility],"w/o disability",0)</f>
        <v>w/o disability</v>
      </c>
      <c r="F556" t="str">
        <f>_xlfn.XLOOKUP(PE_3[[#This Row],[STN]],SE_3[STN],SE_3[Ethnicity],"",0)</f>
        <v/>
      </c>
    </row>
    <row r="557" spans="1:6" ht="13.9">
      <c r="A557" s="3">
        <v>15109500</v>
      </c>
      <c r="B557" s="10">
        <v>38370</v>
      </c>
      <c r="C557" s="19">
        <v>17.868573167021601</v>
      </c>
      <c r="D557" s="3"/>
      <c r="E557" t="str">
        <f>_xlfn.XLOOKUP(PE_3[[#This Row],[STN]],SE_3[STN],SE_3[IdeaEligibility],"w/o disability",0)</f>
        <v>w/o disability</v>
      </c>
      <c r="F557" t="str">
        <f>_xlfn.XLOOKUP(PE_3[[#This Row],[STN]],SE_3[STN],SE_3[Ethnicity],"",0)</f>
        <v/>
      </c>
    </row>
    <row r="558" spans="1:6" ht="13.9">
      <c r="A558" s="3">
        <v>15109138</v>
      </c>
      <c r="B558" s="10">
        <v>38261</v>
      </c>
      <c r="C558" s="19">
        <v>18.164985590778098</v>
      </c>
      <c r="D558" s="3"/>
      <c r="E558" t="str">
        <f>_xlfn.XLOOKUP(PE_3[[#This Row],[STN]],SE_3[STN],SE_3[IdeaEligibility],"w/o disability",0)</f>
        <v>w/o disability</v>
      </c>
      <c r="F558" t="str">
        <f>_xlfn.XLOOKUP(PE_3[[#This Row],[STN]],SE_3[STN],SE_3[Ethnicity],"",0)</f>
        <v/>
      </c>
    </row>
    <row r="559" spans="1:6" ht="13.9">
      <c r="A559" s="3">
        <v>22909502</v>
      </c>
      <c r="B559" s="10">
        <v>38587</v>
      </c>
      <c r="C559" s="19">
        <v>17.274414359598417</v>
      </c>
      <c r="D559" s="3"/>
      <c r="E559" t="str">
        <f>_xlfn.XLOOKUP(PE_3[[#This Row],[STN]],SE_3[STN],SE_3[IdeaEligibility],"w/o disability",0)</f>
        <v>w/o disability</v>
      </c>
      <c r="F559" t="str">
        <f>_xlfn.XLOOKUP(PE_3[[#This Row],[STN]],SE_3[STN],SE_3[Ethnicity],"",0)</f>
        <v/>
      </c>
    </row>
    <row r="560" spans="1:6" ht="13.9">
      <c r="A560" s="3">
        <v>15110030</v>
      </c>
      <c r="B560" s="10">
        <v>38652</v>
      </c>
      <c r="C560" s="19">
        <v>17.0964405232735</v>
      </c>
      <c r="D560" s="3"/>
      <c r="E560" t="str">
        <f>_xlfn.XLOOKUP(PE_3[[#This Row],[STN]],SE_3[STN],SE_3[IdeaEligibility],"w/o disability",0)</f>
        <v>w/o disability</v>
      </c>
      <c r="F560" t="str">
        <f>_xlfn.XLOOKUP(PE_3[[#This Row],[STN]],SE_3[STN],SE_3[Ethnicity],"",0)</f>
        <v/>
      </c>
    </row>
    <row r="561" spans="1:6" ht="13.9">
      <c r="A561" s="3">
        <v>14910020</v>
      </c>
      <c r="B561" s="10">
        <v>38349</v>
      </c>
      <c r="C561" s="19">
        <v>17.924063400576369</v>
      </c>
      <c r="D561" s="3"/>
      <c r="E561" t="str">
        <f>_xlfn.XLOOKUP(PE_3[[#This Row],[STN]],SE_3[STN],SE_3[IdeaEligibility],"w/o disability",0)</f>
        <v>w/o disability</v>
      </c>
      <c r="F561" t="str">
        <f>_xlfn.XLOOKUP(PE_3[[#This Row],[STN]],SE_3[STN],SE_3[Ethnicity],"",0)</f>
        <v/>
      </c>
    </row>
    <row r="562" spans="1:6" ht="13.9">
      <c r="A562" s="3">
        <v>24110057</v>
      </c>
      <c r="B562" s="10">
        <v>38489</v>
      </c>
      <c r="C562" s="19">
        <v>17.542744143595982</v>
      </c>
      <c r="D562" s="3"/>
      <c r="E562" t="str">
        <f>_xlfn.XLOOKUP(PE_3[[#This Row],[STN]],SE_3[STN],SE_3[IdeaEligibility],"w/o disability",0)</f>
        <v>w/o disability</v>
      </c>
      <c r="F562" t="str">
        <f>_xlfn.XLOOKUP(PE_3[[#This Row],[STN]],SE_3[STN],SE_3[Ethnicity],"",0)</f>
        <v/>
      </c>
    </row>
    <row r="563" spans="1:6" ht="13.9">
      <c r="A563" s="3">
        <v>24110074</v>
      </c>
      <c r="B563" s="10">
        <v>38286</v>
      </c>
      <c r="C563" s="19">
        <v>18.096541786743519</v>
      </c>
      <c r="D563" s="3"/>
      <c r="E563" t="str">
        <f>_xlfn.XLOOKUP(PE_3[[#This Row],[STN]],SE_3[STN],SE_3[IdeaEligibility],"w/o disability",0)</f>
        <v>w/o disability</v>
      </c>
      <c r="F563" t="str">
        <f>_xlfn.XLOOKUP(PE_3[[#This Row],[STN]],SE_3[STN],SE_3[Ethnicity],"",0)</f>
        <v/>
      </c>
    </row>
    <row r="564" spans="1:6" ht="13.9">
      <c r="A564" s="3">
        <v>24110044</v>
      </c>
      <c r="B564" s="10">
        <v>38405</v>
      </c>
      <c r="C564" s="19">
        <v>17.772741101308185</v>
      </c>
      <c r="D564" s="3"/>
      <c r="E564" t="str">
        <f>_xlfn.XLOOKUP(PE_3[[#This Row],[STN]],SE_3[STN],SE_3[IdeaEligibility],"w/o disability",0)</f>
        <v>w/o disability</v>
      </c>
      <c r="F564" t="str">
        <f>_xlfn.XLOOKUP(PE_3[[#This Row],[STN]],SE_3[STN],SE_3[Ethnicity],"",0)</f>
        <v/>
      </c>
    </row>
    <row r="565" spans="1:6" ht="13.9">
      <c r="A565" s="3">
        <v>26510534</v>
      </c>
      <c r="B565" s="10">
        <v>38230</v>
      </c>
      <c r="C565" s="19">
        <v>18.249855907780979</v>
      </c>
      <c r="D565" s="3"/>
      <c r="E565" t="str">
        <f>_xlfn.XLOOKUP(PE_3[[#This Row],[STN]],SE_3[STN],SE_3[IdeaEligibility],"w/o disability",0)</f>
        <v>w/o disability</v>
      </c>
      <c r="F565" t="str">
        <f>_xlfn.XLOOKUP(PE_3[[#This Row],[STN]],SE_3[STN],SE_3[Ethnicity],"",0)</f>
        <v/>
      </c>
    </row>
    <row r="566" spans="1:6" ht="13.9">
      <c r="A566" s="3">
        <v>24110016</v>
      </c>
      <c r="B566" s="10">
        <v>38376</v>
      </c>
      <c r="C566" s="19">
        <v>17.852144812899301</v>
      </c>
      <c r="D566" s="3"/>
      <c r="E566" t="str">
        <f>_xlfn.XLOOKUP(PE_3[[#This Row],[STN]],SE_3[STN],SE_3[IdeaEligibility],"w/o disability",0)</f>
        <v>w/o disability</v>
      </c>
      <c r="F566" t="str">
        <f>_xlfn.XLOOKUP(PE_3[[#This Row],[STN]],SE_3[STN],SE_3[Ethnicity],"",0)</f>
        <v/>
      </c>
    </row>
    <row r="567" spans="1:6" ht="13.9">
      <c r="A567" s="3">
        <v>24110045</v>
      </c>
      <c r="B567" s="10">
        <v>38262</v>
      </c>
      <c r="C567" s="19">
        <v>18.162247838616715</v>
      </c>
      <c r="D567" s="3"/>
      <c r="E567" t="str">
        <f>_xlfn.XLOOKUP(PE_3[[#This Row],[STN]],SE_3[STN],SE_3[IdeaEligibility],"w/o disability",0)</f>
        <v>w/o disability</v>
      </c>
      <c r="F567" t="str">
        <f>_xlfn.XLOOKUP(PE_3[[#This Row],[STN]],SE_3[STN],SE_3[Ethnicity],"",0)</f>
        <v/>
      </c>
    </row>
    <row r="568" spans="1:6" ht="13.9">
      <c r="A568" s="3">
        <v>25709500</v>
      </c>
      <c r="B568" s="10">
        <v>37865</v>
      </c>
      <c r="C568" s="19">
        <v>19.249828884325805</v>
      </c>
      <c r="D568" s="3"/>
      <c r="E568" t="str">
        <f>_xlfn.XLOOKUP(PE_3[[#This Row],[STN]],SE_3[STN],SE_3[IdeaEligibility],"w/o disability",0)</f>
        <v>w/o disability</v>
      </c>
      <c r="F568" t="str">
        <f>_xlfn.XLOOKUP(PE_3[[#This Row],[STN]],SE_3[STN],SE_3[Ethnicity],"",0)</f>
        <v/>
      </c>
    </row>
    <row r="569" spans="1:6" ht="13.9">
      <c r="A569" s="3">
        <v>13710514</v>
      </c>
      <c r="B569" s="10">
        <v>38287</v>
      </c>
      <c r="C569" s="19">
        <v>18.093804034582135</v>
      </c>
      <c r="D569" s="3"/>
      <c r="E569" t="str">
        <f>_xlfn.XLOOKUP(PE_3[[#This Row],[STN]],SE_3[STN],SE_3[IdeaEligibility],"w/o disability",0)</f>
        <v>w/o disability</v>
      </c>
      <c r="F569" t="str">
        <f>_xlfn.XLOOKUP(PE_3[[#This Row],[STN]],SE_3[STN],SE_3[Ethnicity],"",0)</f>
        <v/>
      </c>
    </row>
    <row r="570" spans="1:6" ht="13.9">
      <c r="A570" s="3">
        <v>22909561</v>
      </c>
      <c r="B570" s="10">
        <v>38429</v>
      </c>
      <c r="C570" s="19">
        <v>17.707027684818982</v>
      </c>
      <c r="D570" s="3"/>
      <c r="E570" t="str">
        <f>_xlfn.XLOOKUP(PE_3[[#This Row],[STN]],SE_3[STN],SE_3[IdeaEligibility],"w/o disability",0)</f>
        <v>w/o disability</v>
      </c>
      <c r="F570" t="str">
        <f>_xlfn.XLOOKUP(PE_3[[#This Row],[STN]],SE_3[STN],SE_3[Ethnicity],"",0)</f>
        <v/>
      </c>
    </row>
    <row r="571" spans="1:6" ht="13.9">
      <c r="A571" s="3">
        <v>31809752</v>
      </c>
      <c r="B571" s="10">
        <v>38751</v>
      </c>
      <c r="C571" s="19">
        <v>16.824770494443548</v>
      </c>
      <c r="D571" s="3"/>
      <c r="E571" t="str">
        <f>_xlfn.XLOOKUP(PE_3[[#This Row],[STN]],SE_3[STN],SE_3[IdeaEligibility],"w/o disability",0)</f>
        <v>w/o disability</v>
      </c>
      <c r="F571" t="str">
        <f>_xlfn.XLOOKUP(PE_3[[#This Row],[STN]],SE_3[STN],SE_3[Ethnicity],"",0)</f>
        <v/>
      </c>
    </row>
    <row r="572" spans="1:6" ht="13.9">
      <c r="A572" s="3">
        <v>22909628</v>
      </c>
      <c r="B572" s="10">
        <v>38770</v>
      </c>
      <c r="C572" s="19">
        <v>16.772749234981479</v>
      </c>
      <c r="D572" s="3"/>
      <c r="E572" t="str">
        <f>_xlfn.XLOOKUP(PE_3[[#This Row],[STN]],SE_3[STN],SE_3[IdeaEligibility],"w/o disability",0)</f>
        <v>w/o disability</v>
      </c>
      <c r="F572" t="str">
        <f>_xlfn.XLOOKUP(PE_3[[#This Row],[STN]],SE_3[STN],SE_3[Ethnicity],"",0)</f>
        <v/>
      </c>
    </row>
    <row r="573" spans="1:6" ht="13.9">
      <c r="A573" s="3">
        <v>24110060</v>
      </c>
      <c r="B573" s="10">
        <v>38544</v>
      </c>
      <c r="C573" s="19">
        <v>17.392150897474902</v>
      </c>
      <c r="D573" s="3"/>
      <c r="E573" t="str">
        <f>_xlfn.XLOOKUP(PE_3[[#This Row],[STN]],SE_3[STN],SE_3[IdeaEligibility],"w/o disability",0)</f>
        <v>w/o disability</v>
      </c>
      <c r="F573" t="str">
        <f>_xlfn.XLOOKUP(PE_3[[#This Row],[STN]],SE_3[STN],SE_3[Ethnicity],"",0)</f>
        <v/>
      </c>
    </row>
    <row r="574" spans="1:6" ht="13.9">
      <c r="A574" s="3">
        <v>24910004</v>
      </c>
      <c r="B574" s="10">
        <v>38435</v>
      </c>
      <c r="C574" s="19">
        <v>17.690599330696685</v>
      </c>
      <c r="D574" s="3"/>
      <c r="E574" t="str">
        <f>_xlfn.XLOOKUP(PE_3[[#This Row],[STN]],SE_3[STN],SE_3[IdeaEligibility],"w/o disability",0)</f>
        <v>w/o disability</v>
      </c>
      <c r="F574" t="str">
        <f>_xlfn.XLOOKUP(PE_3[[#This Row],[STN]],SE_3[STN],SE_3[Ethnicity],"",0)</f>
        <v/>
      </c>
    </row>
    <row r="575" spans="1:6" ht="13.9">
      <c r="A575" s="3">
        <v>24910006</v>
      </c>
      <c r="B575" s="10">
        <v>38276</v>
      </c>
      <c r="C575" s="19">
        <v>18.123919308357351</v>
      </c>
      <c r="D575" s="3"/>
      <c r="E575" t="str">
        <f>_xlfn.XLOOKUP(PE_3[[#This Row],[STN]],SE_3[STN],SE_3[IdeaEligibility],"w/o disability",0)</f>
        <v>w/o disability</v>
      </c>
      <c r="F575" t="str">
        <f>_xlfn.XLOOKUP(PE_3[[#This Row],[STN]],SE_3[STN],SE_3[Ethnicity],"",0)</f>
        <v/>
      </c>
    </row>
    <row r="576" spans="1:6" ht="13.9">
      <c r="A576" s="3">
        <v>24910017</v>
      </c>
      <c r="B576" s="10">
        <v>38453</v>
      </c>
      <c r="C576" s="19">
        <v>17.641314268329783</v>
      </c>
      <c r="D576" s="3"/>
      <c r="E576" t="str">
        <f>_xlfn.XLOOKUP(PE_3[[#This Row],[STN]],SE_3[STN],SE_3[IdeaEligibility],"w/o disability",0)</f>
        <v>w/o disability</v>
      </c>
      <c r="F576" t="str">
        <f>_xlfn.XLOOKUP(PE_3[[#This Row],[STN]],SE_3[STN],SE_3[Ethnicity],"",0)</f>
        <v/>
      </c>
    </row>
    <row r="577" spans="1:6" ht="13.9">
      <c r="A577" s="3">
        <v>14910004</v>
      </c>
      <c r="B577" s="10">
        <v>38245</v>
      </c>
      <c r="C577" s="19">
        <v>18.208789625360232</v>
      </c>
      <c r="D577" s="3"/>
      <c r="E577" t="str">
        <f>_xlfn.XLOOKUP(PE_3[[#This Row],[STN]],SE_3[STN],SE_3[IdeaEligibility],"w/o disability",0)</f>
        <v>w/o disability</v>
      </c>
      <c r="F577" t="str">
        <f>_xlfn.XLOOKUP(PE_3[[#This Row],[STN]],SE_3[STN],SE_3[Ethnicity],"",0)</f>
        <v/>
      </c>
    </row>
    <row r="578" spans="1:6" ht="13.9">
      <c r="A578" s="3">
        <v>24110050</v>
      </c>
      <c r="B578" s="10">
        <v>38356</v>
      </c>
      <c r="C578" s="19">
        <v>17.906905993306967</v>
      </c>
      <c r="D578" s="3"/>
      <c r="E578" t="str">
        <f>_xlfn.XLOOKUP(PE_3[[#This Row],[STN]],SE_3[STN],SE_3[IdeaEligibility],"w/o disability",0)</f>
        <v>w/o disability</v>
      </c>
      <c r="F578" t="str">
        <f>_xlfn.XLOOKUP(PE_3[[#This Row],[STN]],SE_3[STN],SE_3[Ethnicity],"",0)</f>
        <v/>
      </c>
    </row>
    <row r="579" spans="1:6" ht="13.9">
      <c r="A579" s="3">
        <v>15110077</v>
      </c>
      <c r="B579" s="10">
        <v>38528</v>
      </c>
      <c r="C579" s="19">
        <v>17.435959841801033</v>
      </c>
      <c r="D579" s="3"/>
      <c r="E579" t="str">
        <f>_xlfn.XLOOKUP(PE_3[[#This Row],[STN]],SE_3[STN],SE_3[IdeaEligibility],"w/o disability",0)</f>
        <v>w/o disability</v>
      </c>
      <c r="F579" t="str">
        <f>_xlfn.XLOOKUP(PE_3[[#This Row],[STN]],SE_3[STN],SE_3[Ethnicity],"",0)</f>
        <v/>
      </c>
    </row>
    <row r="580" spans="1:6" ht="13.9">
      <c r="A580" s="3">
        <v>15110006</v>
      </c>
      <c r="B580" s="10">
        <v>38835</v>
      </c>
      <c r="C580" s="19">
        <v>16.594781768400708</v>
      </c>
      <c r="D580" s="3"/>
      <c r="E580" t="str">
        <f>_xlfn.XLOOKUP(PE_3[[#This Row],[STN]],SE_3[STN],SE_3[IdeaEligibility],"w/o disability",0)</f>
        <v>w/o disability</v>
      </c>
      <c r="F580" t="str">
        <f>_xlfn.XLOOKUP(PE_3[[#This Row],[STN]],SE_3[STN],SE_3[Ethnicity],"",0)</f>
        <v/>
      </c>
    </row>
    <row r="581" spans="1:6" ht="13.9">
      <c r="A581" s="3">
        <v>13710005</v>
      </c>
      <c r="B581" s="10">
        <v>38276</v>
      </c>
      <c r="C581" s="19">
        <v>18.123919308357351</v>
      </c>
      <c r="D581" s="3"/>
      <c r="E581" t="str">
        <f>_xlfn.XLOOKUP(PE_3[[#This Row],[STN]],SE_3[STN],SE_3[IdeaEligibility],"w/o disability",0)</f>
        <v>w/o disability</v>
      </c>
      <c r="F581" t="str">
        <f>_xlfn.XLOOKUP(PE_3[[#This Row],[STN]],SE_3[STN],SE_3[Ethnicity],"",0)</f>
        <v/>
      </c>
    </row>
    <row r="582" spans="1:6" ht="13.9">
      <c r="A582" s="3">
        <v>13710006</v>
      </c>
      <c r="B582" s="10">
        <v>38266</v>
      </c>
      <c r="C582" s="19">
        <v>18.151296829971184</v>
      </c>
      <c r="D582" s="3"/>
      <c r="E582" t="str">
        <f>_xlfn.XLOOKUP(PE_3[[#This Row],[STN]],SE_3[STN],SE_3[IdeaEligibility],"w/o disability",0)</f>
        <v>w/o disability</v>
      </c>
      <c r="F582" t="str">
        <f>_xlfn.XLOOKUP(PE_3[[#This Row],[STN]],SE_3[STN],SE_3[Ethnicity],"",0)</f>
        <v/>
      </c>
    </row>
    <row r="583" spans="1:6" ht="13.9">
      <c r="A583" s="3">
        <v>13710007</v>
      </c>
      <c r="B583" s="10">
        <v>38317</v>
      </c>
      <c r="C583" s="19">
        <v>18.011671469740634</v>
      </c>
      <c r="D583" s="3"/>
      <c r="E583" t="str">
        <f>_xlfn.XLOOKUP(PE_3[[#This Row],[STN]],SE_3[STN],SE_3[IdeaEligibility],"w/o disability",0)</f>
        <v>w/o disability</v>
      </c>
      <c r="F583" t="str">
        <f>_xlfn.XLOOKUP(PE_3[[#This Row],[STN]],SE_3[STN],SE_3[Ethnicity],"",0)</f>
        <v/>
      </c>
    </row>
    <row r="584" spans="1:6" ht="13.9">
      <c r="A584" s="3">
        <v>24110062</v>
      </c>
      <c r="B584" s="10">
        <v>38269</v>
      </c>
      <c r="C584" s="19">
        <v>18.143083573487033</v>
      </c>
      <c r="D584" s="3"/>
      <c r="E584" t="str">
        <f>_xlfn.XLOOKUP(PE_3[[#This Row],[STN]],SE_3[STN],SE_3[IdeaEligibility],"w/o disability",0)</f>
        <v>w/o disability</v>
      </c>
      <c r="F584" t="str">
        <f>_xlfn.XLOOKUP(PE_3[[#This Row],[STN]],SE_3[STN],SE_3[Ethnicity],"",0)</f>
        <v/>
      </c>
    </row>
    <row r="585" spans="1:6" ht="13.9">
      <c r="A585" s="3">
        <v>24110063</v>
      </c>
      <c r="B585" s="10">
        <v>38534</v>
      </c>
      <c r="C585" s="19">
        <v>17.419531487678736</v>
      </c>
      <c r="D585" s="3"/>
      <c r="E585" t="str">
        <f>_xlfn.XLOOKUP(PE_3[[#This Row],[STN]],SE_3[STN],SE_3[IdeaEligibility],"w/o disability",0)</f>
        <v>w/o disability</v>
      </c>
      <c r="F585" t="str">
        <f>_xlfn.XLOOKUP(PE_3[[#This Row],[STN]],SE_3[STN],SE_3[Ethnicity],"",0)</f>
        <v/>
      </c>
    </row>
    <row r="586" spans="1:6" ht="13.9">
      <c r="A586" s="3">
        <v>22909571</v>
      </c>
      <c r="B586" s="10">
        <v>38540</v>
      </c>
      <c r="C586" s="19">
        <v>17.403103133556435</v>
      </c>
      <c r="D586" s="3"/>
      <c r="E586" t="str">
        <f>_xlfn.XLOOKUP(PE_3[[#This Row],[STN]],SE_3[STN],SE_3[IdeaEligibility],"w/o disability",0)</f>
        <v>w/o disability</v>
      </c>
      <c r="F586" t="str">
        <f>_xlfn.XLOOKUP(PE_3[[#This Row],[STN]],SE_3[STN],SE_3[Ethnicity],"",0)</f>
        <v/>
      </c>
    </row>
    <row r="587" spans="1:6" ht="13.9">
      <c r="A587" s="3">
        <v>25310013</v>
      </c>
      <c r="B587" s="10">
        <v>38478</v>
      </c>
      <c r="C587" s="19">
        <v>17.572862792820199</v>
      </c>
      <c r="D587" s="3"/>
      <c r="E587" t="str">
        <f>_xlfn.XLOOKUP(PE_3[[#This Row],[STN]],SE_3[STN],SE_3[IdeaEligibility],"w/o disability",0)</f>
        <v>w/o disability</v>
      </c>
      <c r="F587" t="str">
        <f>_xlfn.XLOOKUP(PE_3[[#This Row],[STN]],SE_3[STN],SE_3[Ethnicity],"",0)</f>
        <v/>
      </c>
    </row>
    <row r="588" spans="1:6" ht="13.9">
      <c r="A588" s="3">
        <v>25310502</v>
      </c>
      <c r="B588" s="10">
        <v>38559</v>
      </c>
      <c r="C588" s="19">
        <v>17.351080012169152</v>
      </c>
      <c r="D588" s="3"/>
      <c r="E588" t="str">
        <f>_xlfn.XLOOKUP(PE_3[[#This Row],[STN]],SE_3[STN],SE_3[IdeaEligibility],"w/o disability",0)</f>
        <v>w/o disability</v>
      </c>
      <c r="F588" t="str">
        <f>_xlfn.XLOOKUP(PE_3[[#This Row],[STN]],SE_3[STN],SE_3[Ethnicity],"",0)</f>
        <v/>
      </c>
    </row>
    <row r="589" spans="1:6" ht="13.9">
      <c r="A589" s="3">
        <v>31710039</v>
      </c>
      <c r="B589" s="10">
        <v>38222</v>
      </c>
      <c r="C589" s="19">
        <v>18.271757925072048</v>
      </c>
      <c r="D589" s="3"/>
      <c r="E589" t="str">
        <f>_xlfn.XLOOKUP(PE_3[[#This Row],[STN]],SE_3[STN],SE_3[IdeaEligibility],"w/o disability",0)</f>
        <v>w/o disability</v>
      </c>
      <c r="F589" t="str">
        <f>_xlfn.XLOOKUP(PE_3[[#This Row],[STN]],SE_3[STN],SE_3[Ethnicity],"",0)</f>
        <v/>
      </c>
    </row>
    <row r="590" spans="1:6" ht="13.9">
      <c r="A590" s="3">
        <v>24910010</v>
      </c>
      <c r="B590" s="10">
        <v>38549</v>
      </c>
      <c r="C590" s="19">
        <v>17.378460602372986</v>
      </c>
      <c r="D590" s="3"/>
      <c r="E590" t="str">
        <f>_xlfn.XLOOKUP(PE_3[[#This Row],[STN]],SE_3[STN],SE_3[IdeaEligibility],"w/o disability",0)</f>
        <v>w/o disability</v>
      </c>
      <c r="F590" t="str">
        <f>_xlfn.XLOOKUP(PE_3[[#This Row],[STN]],SE_3[STN],SE_3[Ethnicity],"",0)</f>
        <v/>
      </c>
    </row>
    <row r="591" spans="1:6" ht="13.9">
      <c r="A591" s="3">
        <v>22909605</v>
      </c>
      <c r="B591" s="10">
        <v>38368</v>
      </c>
      <c r="C591" s="19">
        <v>17.874049285062366</v>
      </c>
      <c r="D591" s="3"/>
      <c r="E591" t="str">
        <f>_xlfn.XLOOKUP(PE_3[[#This Row],[STN]],SE_3[STN],SE_3[IdeaEligibility],"w/o disability",0)</f>
        <v>w/o disability</v>
      </c>
      <c r="F591" t="str">
        <f>_xlfn.XLOOKUP(PE_3[[#This Row],[STN]],SE_3[STN],SE_3[Ethnicity],"",0)</f>
        <v/>
      </c>
    </row>
    <row r="592" spans="1:6" ht="13.9">
      <c r="A592" s="3">
        <v>25710507</v>
      </c>
      <c r="B592" s="10">
        <v>38013</v>
      </c>
      <c r="C592" s="19">
        <v>18.843948126801155</v>
      </c>
      <c r="D592" s="3"/>
      <c r="E592" t="str">
        <f>_xlfn.XLOOKUP(PE_3[[#This Row],[STN]],SE_3[STN],SE_3[IdeaEligibility],"w/o disability",0)</f>
        <v>w/o disability</v>
      </c>
      <c r="F592" t="str">
        <f>_xlfn.XLOOKUP(PE_3[[#This Row],[STN]],SE_3[STN],SE_3[Ethnicity],"",0)</f>
        <v/>
      </c>
    </row>
    <row r="593" spans="1:6" ht="13.9">
      <c r="A593" s="5">
        <v>153910010</v>
      </c>
      <c r="B593" s="10">
        <v>38559</v>
      </c>
      <c r="C593" s="19">
        <v>17.351080012169152</v>
      </c>
      <c r="D593" s="3"/>
      <c r="E593" t="str">
        <f>_xlfn.XLOOKUP(PE_3[[#This Row],[STN]],SE_3[STN],SE_3[IdeaEligibility],"w/o disability",0)</f>
        <v>w/o disability</v>
      </c>
      <c r="F593" t="str">
        <f>_xlfn.XLOOKUP(PE_3[[#This Row],[STN]],SE_3[STN],SE_3[Ethnicity],"",0)</f>
        <v/>
      </c>
    </row>
    <row r="594" spans="1:6" ht="13.9">
      <c r="A594" s="3">
        <v>31710137</v>
      </c>
      <c r="B594" s="10">
        <v>38260</v>
      </c>
      <c r="C594" s="19">
        <v>18.167723342939482</v>
      </c>
      <c r="D594" s="3"/>
      <c r="E594" t="str">
        <f>_xlfn.XLOOKUP(PE_3[[#This Row],[STN]],SE_3[STN],SE_3[IdeaEligibility],"w/o disability",0)</f>
        <v>w/o disability</v>
      </c>
      <c r="F594" t="str">
        <f>_xlfn.XLOOKUP(PE_3[[#This Row],[STN]],SE_3[STN],SE_3[Ethnicity],"",0)</f>
        <v/>
      </c>
    </row>
    <row r="595" spans="1:6" ht="13.9">
      <c r="A595" s="3">
        <v>31710154</v>
      </c>
      <c r="B595" s="10">
        <v>38419</v>
      </c>
      <c r="C595" s="19">
        <v>17.734408275022815</v>
      </c>
      <c r="D595" s="3"/>
      <c r="E595" t="str">
        <f>_xlfn.XLOOKUP(PE_3[[#This Row],[STN]],SE_3[STN],SE_3[IdeaEligibility],"w/o disability",0)</f>
        <v>w/o disability</v>
      </c>
      <c r="F595" t="str">
        <f>_xlfn.XLOOKUP(PE_3[[#This Row],[STN]],SE_3[STN],SE_3[Ethnicity],"",0)</f>
        <v/>
      </c>
    </row>
    <row r="596" spans="1:6" ht="13.9">
      <c r="A596" s="3">
        <v>31710188</v>
      </c>
      <c r="B596" s="10">
        <v>38227</v>
      </c>
      <c r="C596" s="19">
        <v>18.25806916426513</v>
      </c>
      <c r="D596" s="3"/>
      <c r="E596" t="str">
        <f>_xlfn.XLOOKUP(PE_3[[#This Row],[STN]],SE_3[STN],SE_3[IdeaEligibility],"w/o disability",0)</f>
        <v>w/o disability</v>
      </c>
      <c r="F596" t="str">
        <f>_xlfn.XLOOKUP(PE_3[[#This Row],[STN]],SE_3[STN],SE_3[Ethnicity],"",0)</f>
        <v/>
      </c>
    </row>
    <row r="597" spans="1:6" ht="13.9">
      <c r="A597" s="3">
        <v>18910535</v>
      </c>
      <c r="B597" s="10">
        <v>38042</v>
      </c>
      <c r="C597" s="19">
        <v>18.764553314121038</v>
      </c>
      <c r="D597" s="3"/>
      <c r="E597" t="str">
        <f>_xlfn.XLOOKUP(PE_3[[#This Row],[STN]],SE_3[STN],SE_3[IdeaEligibility],"w/o disability",0)</f>
        <v>w/o disability</v>
      </c>
      <c r="F597" t="str">
        <f>_xlfn.XLOOKUP(PE_3[[#This Row],[STN]],SE_3[STN],SE_3[Ethnicity],"",0)</f>
        <v/>
      </c>
    </row>
    <row r="598" spans="1:6" ht="13.9">
      <c r="A598" s="5">
        <v>539510189</v>
      </c>
      <c r="B598" s="10">
        <v>38580</v>
      </c>
      <c r="C598" s="19">
        <v>17.293580772741102</v>
      </c>
      <c r="D598" s="3"/>
      <c r="E598" t="str">
        <f>_xlfn.XLOOKUP(PE_3[[#This Row],[STN]],SE_3[STN],SE_3[IdeaEligibility],"w/o disability",0)</f>
        <v>w/o disability</v>
      </c>
      <c r="F598" t="str">
        <f>_xlfn.XLOOKUP(PE_3[[#This Row],[STN]],SE_3[STN],SE_3[Ethnicity],"",0)</f>
        <v/>
      </c>
    </row>
    <row r="599" spans="1:6" ht="13.9">
      <c r="A599" s="3">
        <v>20510510</v>
      </c>
      <c r="B599" s="10">
        <v>38454</v>
      </c>
      <c r="C599" s="19">
        <v>17.638576209309399</v>
      </c>
      <c r="D599" s="3"/>
      <c r="E599" t="str">
        <f>_xlfn.XLOOKUP(PE_3[[#This Row],[STN]],SE_3[STN],SE_3[IdeaEligibility],"w/o disability",0)</f>
        <v>w/o disability</v>
      </c>
      <c r="F599" t="str">
        <f>_xlfn.XLOOKUP(PE_3[[#This Row],[STN]],SE_3[STN],SE_3[Ethnicity],"",0)</f>
        <v/>
      </c>
    </row>
    <row r="600" spans="1:6" ht="13.9">
      <c r="A600" s="3">
        <v>21710500</v>
      </c>
      <c r="B600" s="10">
        <v>38294</v>
      </c>
      <c r="C600" s="19">
        <v>18.07463976945245</v>
      </c>
      <c r="D600" s="3"/>
      <c r="E600" t="str">
        <f>_xlfn.XLOOKUP(PE_3[[#This Row],[STN]],SE_3[STN],SE_3[IdeaEligibility],"w/o disability",0)</f>
        <v>w/o disability</v>
      </c>
      <c r="F600" t="str">
        <f>_xlfn.XLOOKUP(PE_3[[#This Row],[STN]],SE_3[STN],SE_3[Ethnicity],"",0)</f>
        <v/>
      </c>
    </row>
    <row r="601" spans="1:6" ht="13.9">
      <c r="A601" s="3">
        <v>27310540</v>
      </c>
      <c r="B601" s="10">
        <v>38119</v>
      </c>
      <c r="C601" s="19">
        <v>18.553746397694525</v>
      </c>
      <c r="D601" s="3"/>
      <c r="E601" t="str">
        <f>_xlfn.XLOOKUP(PE_3[[#This Row],[STN]],SE_3[STN],SE_3[IdeaEligibility],"w/o disability",0)</f>
        <v>w/o disability</v>
      </c>
      <c r="F601" t="str">
        <f>_xlfn.XLOOKUP(PE_3[[#This Row],[STN]],SE_3[STN],SE_3[Ethnicity],"",0)</f>
        <v/>
      </c>
    </row>
    <row r="602" spans="1:6" ht="13.9">
      <c r="A602" s="3">
        <v>24110064</v>
      </c>
      <c r="B602" s="10">
        <v>38216</v>
      </c>
      <c r="C602" s="19">
        <v>18.288184438040346</v>
      </c>
      <c r="D602" s="3"/>
      <c r="E602" t="str">
        <f>_xlfn.XLOOKUP(PE_3[[#This Row],[STN]],SE_3[STN],SE_3[IdeaEligibility],"w/o disability",0)</f>
        <v>w/o disability</v>
      </c>
      <c r="F602" t="str">
        <f>_xlfn.XLOOKUP(PE_3[[#This Row],[STN]],SE_3[STN],SE_3[Ethnicity],"",0)</f>
        <v/>
      </c>
    </row>
    <row r="603" spans="1:6" ht="13.9">
      <c r="A603" s="3">
        <v>24910015</v>
      </c>
      <c r="B603" s="10">
        <v>38432</v>
      </c>
      <c r="C603" s="19">
        <v>17.698813507757833</v>
      </c>
      <c r="D603" s="3"/>
      <c r="E603" t="str">
        <f>_xlfn.XLOOKUP(PE_3[[#This Row],[STN]],SE_3[STN],SE_3[IdeaEligibility],"w/o disability",0)</f>
        <v>w/o disability</v>
      </c>
      <c r="F603" t="str">
        <f>_xlfn.XLOOKUP(PE_3[[#This Row],[STN]],SE_3[STN],SE_3[Ethnicity],"",0)</f>
        <v/>
      </c>
    </row>
    <row r="604" spans="1:6" ht="13.9">
      <c r="A604" s="3">
        <v>22909514</v>
      </c>
      <c r="B604" s="10">
        <v>38456</v>
      </c>
      <c r="C604" s="19">
        <v>17.633100091268634</v>
      </c>
      <c r="D604" s="3"/>
      <c r="E604" t="str">
        <f>_xlfn.XLOOKUP(PE_3[[#This Row],[STN]],SE_3[STN],SE_3[IdeaEligibility],"w/o disability",0)</f>
        <v>w/o disability</v>
      </c>
      <c r="F604" t="str">
        <f>_xlfn.XLOOKUP(PE_3[[#This Row],[STN]],SE_3[STN],SE_3[Ethnicity],"",0)</f>
        <v/>
      </c>
    </row>
    <row r="605" spans="1:6" ht="13.9">
      <c r="A605" s="3">
        <v>7708525</v>
      </c>
      <c r="B605" s="10">
        <v>38374</v>
      </c>
      <c r="C605" s="19">
        <v>17.857620930940065</v>
      </c>
      <c r="D605" s="3"/>
      <c r="E605" t="str">
        <f>_xlfn.XLOOKUP(PE_3[[#This Row],[STN]],SE_3[STN],SE_3[IdeaEligibility],"w/o disability",0)</f>
        <v>w/o disability</v>
      </c>
      <c r="F605" t="str">
        <f>_xlfn.XLOOKUP(PE_3[[#This Row],[STN]],SE_3[STN],SE_3[Ethnicity],"",0)</f>
        <v/>
      </c>
    </row>
    <row r="606" spans="1:6" ht="13.9">
      <c r="A606" s="3">
        <v>24110504</v>
      </c>
      <c r="B606" s="10">
        <v>38341</v>
      </c>
      <c r="C606" s="19">
        <v>17.945965417867438</v>
      </c>
      <c r="D606" s="3"/>
      <c r="E606" t="str">
        <f>_xlfn.XLOOKUP(PE_3[[#This Row],[STN]],SE_3[STN],SE_3[IdeaEligibility],"w/o disability",0)</f>
        <v>w/o disability</v>
      </c>
      <c r="F606" t="str">
        <f>_xlfn.XLOOKUP(PE_3[[#This Row],[STN]],SE_3[STN],SE_3[Ethnicity],"",0)</f>
        <v/>
      </c>
    </row>
    <row r="607" spans="1:6" ht="13.9">
      <c r="A607" s="3">
        <v>17810551</v>
      </c>
      <c r="B607" s="10">
        <v>38259</v>
      </c>
      <c r="C607" s="19">
        <v>18.170461095100865</v>
      </c>
      <c r="D607" s="3"/>
      <c r="E607" t="str">
        <f>_xlfn.XLOOKUP(PE_3[[#This Row],[STN]],SE_3[STN],SE_3[IdeaEligibility],"w/o disability",0)</f>
        <v>w/o disability</v>
      </c>
      <c r="F607" t="str">
        <f>_xlfn.XLOOKUP(PE_3[[#This Row],[STN]],SE_3[STN],SE_3[Ethnicity],"",0)</f>
        <v/>
      </c>
    </row>
    <row r="608" spans="1:6" ht="13.9">
      <c r="A608" s="3">
        <v>25310521</v>
      </c>
      <c r="B608" s="10">
        <v>38526</v>
      </c>
      <c r="C608" s="19">
        <v>17.441435959841801</v>
      </c>
      <c r="D608" s="3"/>
      <c r="E608" t="str">
        <f>_xlfn.XLOOKUP(PE_3[[#This Row],[STN]],SE_3[STN],SE_3[IdeaEligibility],"w/o disability",0)</f>
        <v>w/o disability</v>
      </c>
      <c r="F608" t="str">
        <f>_xlfn.XLOOKUP(PE_3[[#This Row],[STN]],SE_3[STN],SE_3[Ethnicity],"",0)</f>
        <v/>
      </c>
    </row>
    <row r="609" spans="1:6" ht="13.9">
      <c r="A609" s="3">
        <v>20510506</v>
      </c>
      <c r="B609" s="10">
        <v>38482</v>
      </c>
      <c r="C609" s="19">
        <v>17.561910556738667</v>
      </c>
      <c r="D609" s="3"/>
      <c r="E609" t="str">
        <f>_xlfn.XLOOKUP(PE_3[[#This Row],[STN]],SE_3[STN],SE_3[IdeaEligibility],"w/o disability",0)</f>
        <v>w/o disability</v>
      </c>
      <c r="F609" t="str">
        <f>_xlfn.XLOOKUP(PE_3[[#This Row],[STN]],SE_3[STN],SE_3[Ethnicity],"",0)</f>
        <v/>
      </c>
    </row>
    <row r="610" spans="1:6" ht="13.9">
      <c r="A610" s="3">
        <v>31809707</v>
      </c>
      <c r="B610" s="10">
        <v>38716</v>
      </c>
      <c r="C610" s="19">
        <v>16.921204745968968</v>
      </c>
      <c r="D610" s="3"/>
      <c r="E610" t="str">
        <f>_xlfn.XLOOKUP(PE_3[[#This Row],[STN]],SE_3[STN],SE_3[IdeaEligibility],"w/o disability",0)</f>
        <v>w/o disability</v>
      </c>
      <c r="F610" t="str">
        <f>_xlfn.XLOOKUP(PE_3[[#This Row],[STN]],SE_3[STN],SE_3[Ethnicity],"",0)</f>
        <v/>
      </c>
    </row>
    <row r="611" spans="1:6" ht="13.9">
      <c r="A611" s="3">
        <v>27510519</v>
      </c>
      <c r="B611" s="10">
        <v>38153</v>
      </c>
      <c r="C611" s="19">
        <v>18.460662824207493</v>
      </c>
      <c r="D611" s="3"/>
      <c r="E611" t="str">
        <f>_xlfn.XLOOKUP(PE_3[[#This Row],[STN]],SE_3[STN],SE_3[IdeaEligibility],"w/o disability",0)</f>
        <v>w/o disability</v>
      </c>
      <c r="F611" t="str">
        <f>_xlfn.XLOOKUP(PE_3[[#This Row],[STN]],SE_3[STN],SE_3[Ethnicity],"",0)</f>
        <v/>
      </c>
    </row>
    <row r="612" spans="1:6" ht="13.9">
      <c r="A612" s="3">
        <v>26510506</v>
      </c>
      <c r="B612" s="10">
        <v>38331</v>
      </c>
      <c r="C612" s="19">
        <v>17.97334293948127</v>
      </c>
      <c r="D612" s="3"/>
      <c r="E612" t="str">
        <f>_xlfn.XLOOKUP(PE_3[[#This Row],[STN]],SE_3[STN],SE_3[IdeaEligibility],"w/o disability",0)</f>
        <v>w/o disability</v>
      </c>
      <c r="F612" t="str">
        <f>_xlfn.XLOOKUP(PE_3[[#This Row],[STN]],SE_3[STN],SE_3[Ethnicity],"",0)</f>
        <v/>
      </c>
    </row>
    <row r="613" spans="1:6" ht="13.9">
      <c r="A613" s="3">
        <v>14110500</v>
      </c>
      <c r="B613" s="10">
        <v>38435</v>
      </c>
      <c r="C613" s="19">
        <v>17.690599330696685</v>
      </c>
      <c r="D613" s="3"/>
      <c r="E613" t="str">
        <f>_xlfn.XLOOKUP(PE_3[[#This Row],[STN]],SE_3[STN],SE_3[IdeaEligibility],"w/o disability",0)</f>
        <v>w/o disability</v>
      </c>
      <c r="F613" t="str">
        <f>_xlfn.XLOOKUP(PE_3[[#This Row],[STN]],SE_3[STN],SE_3[Ethnicity],"",0)</f>
        <v/>
      </c>
    </row>
    <row r="614" spans="1:6" ht="13.9">
      <c r="A614" s="3">
        <v>22909541</v>
      </c>
      <c r="B614" s="10">
        <v>38630</v>
      </c>
      <c r="C614" s="19">
        <v>17.156677821721935</v>
      </c>
      <c r="D614" s="3"/>
      <c r="E614" t="str">
        <f>_xlfn.XLOOKUP(PE_3[[#This Row],[STN]],SE_3[STN],SE_3[IdeaEligibility],"w/o disability",0)</f>
        <v>w/o disability</v>
      </c>
      <c r="F614" t="str">
        <f>_xlfn.XLOOKUP(PE_3[[#This Row],[STN]],SE_3[STN],SE_3[Ethnicity],"",0)</f>
        <v/>
      </c>
    </row>
    <row r="615" spans="1:6" ht="13.9">
      <c r="A615" s="5">
        <v>917315037</v>
      </c>
      <c r="B615" s="10">
        <v>39231</v>
      </c>
      <c r="C615" s="19">
        <v>15.509924709103354</v>
      </c>
      <c r="D615" s="3"/>
      <c r="E615" t="str">
        <f>_xlfn.XLOOKUP(PE_3[[#This Row],[STN]],SE_3[STN],SE_3[IdeaEligibility],"w/o disability",0)</f>
        <v>w/o disability</v>
      </c>
      <c r="F615" t="str">
        <f>_xlfn.XLOOKUP(PE_3[[#This Row],[STN]],SE_3[STN],SE_3[Ethnicity],"",0)</f>
        <v/>
      </c>
    </row>
    <row r="616" spans="1:6" ht="13.9">
      <c r="A616" s="3" t="s">
        <v>646</v>
      </c>
      <c r="B616" s="10">
        <v>38690</v>
      </c>
      <c r="C616" s="19">
        <v>16.992394280498935</v>
      </c>
      <c r="D616" s="3"/>
      <c r="E616" t="str">
        <f>_xlfn.XLOOKUP(PE_3[[#This Row],[STN]],SE_3[STN],SE_3[IdeaEligibility],"w/o disability",0)</f>
        <v>w/o disability</v>
      </c>
      <c r="F616" t="str">
        <f>_xlfn.XLOOKUP(PE_3[[#This Row],[STN]],SE_3[STN],SE_3[Ethnicity],"",0)</f>
        <v/>
      </c>
    </row>
    <row r="617" spans="1:6" ht="13.9">
      <c r="A617" s="3" t="s">
        <v>647</v>
      </c>
      <c r="B617" s="10">
        <v>38353</v>
      </c>
      <c r="C617" s="19">
        <v>17.915120170368116</v>
      </c>
      <c r="D617" s="3"/>
      <c r="E617" t="str">
        <f>_xlfn.XLOOKUP(PE_3[[#This Row],[STN]],SE_3[STN],SE_3[IdeaEligibility],"w/o disability",0)</f>
        <v>w/o disability</v>
      </c>
      <c r="F617" t="str">
        <f>_xlfn.XLOOKUP(PE_3[[#This Row],[STN]],SE_3[STN],SE_3[Ethnicity],"",0)</f>
        <v/>
      </c>
    </row>
    <row r="618" spans="1:6" ht="13.9">
      <c r="A618" s="3">
        <v>27316106</v>
      </c>
      <c r="B618" s="10">
        <v>39352</v>
      </c>
      <c r="C618" s="19">
        <v>15.178644763860369</v>
      </c>
      <c r="D618" s="3"/>
      <c r="E618" t="str">
        <f>_xlfn.XLOOKUP(PE_3[[#This Row],[STN]],SE_3[STN],SE_3[IdeaEligibility],"w/o disability",0)</f>
        <v>w/o disability</v>
      </c>
      <c r="F618" t="str">
        <f>_xlfn.XLOOKUP(PE_3[[#This Row],[STN]],SE_3[STN],SE_3[Ethnicity],"",0)</f>
        <v/>
      </c>
    </row>
    <row r="619" spans="1:6" ht="13.9">
      <c r="A619" s="3">
        <v>13615101</v>
      </c>
      <c r="B619" s="10">
        <v>38552</v>
      </c>
      <c r="C619" s="19">
        <v>17.370246425311834</v>
      </c>
      <c r="D619" s="3"/>
      <c r="E619" t="str">
        <f>_xlfn.XLOOKUP(PE_3[[#This Row],[STN]],SE_3[STN],SE_3[IdeaEligibility],"w/o disability",0)</f>
        <v>w/o disability</v>
      </c>
      <c r="F619" t="str">
        <f>_xlfn.XLOOKUP(PE_3[[#This Row],[STN]],SE_3[STN],SE_3[Ethnicity],"",0)</f>
        <v/>
      </c>
    </row>
    <row r="620" spans="1:6" ht="13.9">
      <c r="A620" s="3">
        <v>13615099</v>
      </c>
      <c r="B620" s="10">
        <v>39531</v>
      </c>
      <c r="C620" s="19">
        <v>14.687899251688265</v>
      </c>
      <c r="D620" s="3"/>
      <c r="E620" t="str">
        <f>_xlfn.XLOOKUP(PE_3[[#This Row],[STN]],SE_3[STN],SE_3[IdeaEligibility],"w/o disability",0)</f>
        <v>w/o disability</v>
      </c>
      <c r="F620" t="str">
        <f>_xlfn.XLOOKUP(PE_3[[#This Row],[STN]],SE_3[STN],SE_3[Ethnicity],"",0)</f>
        <v/>
      </c>
    </row>
    <row r="621" spans="1:6" ht="13.9">
      <c r="A621" s="3">
        <v>13616096</v>
      </c>
      <c r="B621" s="10">
        <v>38553</v>
      </c>
      <c r="C621" s="19">
        <v>17.36750836629145</v>
      </c>
      <c r="D621" s="3"/>
      <c r="E621" t="str">
        <f>_xlfn.XLOOKUP(PE_3[[#This Row],[STN]],SE_3[STN],SE_3[IdeaEligibility],"w/o disability",0)</f>
        <v>w/o disability</v>
      </c>
      <c r="F621" t="str">
        <f>_xlfn.XLOOKUP(PE_3[[#This Row],[STN]],SE_3[STN],SE_3[Ethnicity],"",0)</f>
        <v/>
      </c>
    </row>
    <row r="622" spans="1:6" ht="13.9">
      <c r="A622" s="3">
        <v>15715029</v>
      </c>
      <c r="B622" s="10">
        <v>38942</v>
      </c>
      <c r="C622" s="19">
        <v>16.301819938798516</v>
      </c>
      <c r="D622" s="3"/>
      <c r="E622" t="str">
        <f>_xlfn.XLOOKUP(PE_3[[#This Row],[STN]],SE_3[STN],SE_3[IdeaEligibility],"w/o disability",0)</f>
        <v>w/o disability</v>
      </c>
      <c r="F622" t="str">
        <f>_xlfn.XLOOKUP(PE_3[[#This Row],[STN]],SE_3[STN],SE_3[Ethnicity],"",0)</f>
        <v/>
      </c>
    </row>
    <row r="623" spans="1:6" ht="13.9">
      <c r="A623" s="3">
        <v>20515092</v>
      </c>
      <c r="B623" s="10">
        <v>39581</v>
      </c>
      <c r="C623" s="19">
        <v>14.551012958569082</v>
      </c>
      <c r="D623" s="3"/>
      <c r="E623" t="str">
        <f>_xlfn.XLOOKUP(PE_3[[#This Row],[STN]],SE_3[STN],SE_3[IdeaEligibility],"w/o disability",0)</f>
        <v>w/o disability</v>
      </c>
      <c r="F623" t="str">
        <f>_xlfn.XLOOKUP(PE_3[[#This Row],[STN]],SE_3[STN],SE_3[Ethnicity],"",0)</f>
        <v/>
      </c>
    </row>
    <row r="624" spans="1:6" ht="13.9">
      <c r="A624" s="5">
        <v>231515646</v>
      </c>
      <c r="B624" s="10">
        <v>38742</v>
      </c>
      <c r="C624" s="19">
        <v>16.849412143662423</v>
      </c>
      <c r="D624" s="3"/>
      <c r="E624" t="str">
        <f>_xlfn.XLOOKUP(PE_3[[#This Row],[STN]],SE_3[STN],SE_3[IdeaEligibility],"w/o disability",0)</f>
        <v>w/o disability</v>
      </c>
      <c r="F624" t="str">
        <f>_xlfn.XLOOKUP(PE_3[[#This Row],[STN]],SE_3[STN],SE_3[Ethnicity],"",0)</f>
        <v/>
      </c>
    </row>
    <row r="625" spans="1:6" ht="13.9">
      <c r="A625" s="3">
        <v>17816125</v>
      </c>
      <c r="B625" s="10">
        <v>38130</v>
      </c>
      <c r="C625" s="19">
        <v>18.523631123919309</v>
      </c>
      <c r="D625" s="3"/>
      <c r="E625" t="str">
        <f>_xlfn.XLOOKUP(PE_3[[#This Row],[STN]],SE_3[STN],SE_3[IdeaEligibility],"w/o disability",0)</f>
        <v>w/o disability</v>
      </c>
      <c r="F625" t="str">
        <f>_xlfn.XLOOKUP(PE_3[[#This Row],[STN]],SE_3[STN],SE_3[Ethnicity],"",0)</f>
        <v/>
      </c>
    </row>
    <row r="626" spans="1:6" ht="13.9">
      <c r="A626" s="3">
        <v>20516088</v>
      </c>
      <c r="B626" s="10">
        <v>38817</v>
      </c>
      <c r="C626" s="19">
        <v>16.644065066838461</v>
      </c>
      <c r="D626" s="3"/>
      <c r="E626" t="str">
        <f>_xlfn.XLOOKUP(PE_3[[#This Row],[STN]],SE_3[STN],SE_3[IdeaEligibility],"w/o disability",0)</f>
        <v>w/o disability</v>
      </c>
      <c r="F626" t="str">
        <f>_xlfn.XLOOKUP(PE_3[[#This Row],[STN]],SE_3[STN],SE_3[Ethnicity],"",0)</f>
        <v/>
      </c>
    </row>
    <row r="627" spans="1:6" ht="13.9">
      <c r="A627" s="3">
        <v>14115079</v>
      </c>
      <c r="B627" s="10">
        <v>39365</v>
      </c>
      <c r="C627" s="19">
        <v>15.143052703627653</v>
      </c>
      <c r="D627" s="3"/>
      <c r="E627" t="str">
        <f>_xlfn.XLOOKUP(PE_3[[#This Row],[STN]],SE_3[STN],SE_3[IdeaEligibility],"w/o disability",0)</f>
        <v>w/o disability</v>
      </c>
      <c r="F627" t="str">
        <f>_xlfn.XLOOKUP(PE_3[[#This Row],[STN]],SE_3[STN],SE_3[Ethnicity],"",0)</f>
        <v/>
      </c>
    </row>
    <row r="628" spans="1:6" ht="13.9">
      <c r="A628" s="3">
        <v>17815117</v>
      </c>
      <c r="B628" s="10">
        <v>38186</v>
      </c>
      <c r="C628" s="19">
        <v>18.370317002881844</v>
      </c>
      <c r="D628" s="3"/>
      <c r="E628" t="str">
        <f>_xlfn.XLOOKUP(PE_3[[#This Row],[STN]],SE_3[STN],SE_3[IdeaEligibility],"w/o disability",0)</f>
        <v>w/o disability</v>
      </c>
      <c r="F628" t="str">
        <f>_xlfn.XLOOKUP(PE_3[[#This Row],[STN]],SE_3[STN],SE_3[Ethnicity],"",0)</f>
        <v/>
      </c>
    </row>
    <row r="629" spans="1:6" ht="13.9">
      <c r="A629" s="3">
        <v>17815118</v>
      </c>
      <c r="B629" s="10">
        <v>38789</v>
      </c>
      <c r="C629" s="19">
        <v>16.720727975519406</v>
      </c>
      <c r="D629" s="3"/>
      <c r="E629" t="str">
        <f>_xlfn.XLOOKUP(PE_3[[#This Row],[STN]],SE_3[STN],SE_3[IdeaEligibility],"w/o disability",0)</f>
        <v>w/o disability</v>
      </c>
      <c r="F629" t="str">
        <f>_xlfn.XLOOKUP(PE_3[[#This Row],[STN]],SE_3[STN],SE_3[Ethnicity],"",0)</f>
        <v/>
      </c>
    </row>
    <row r="630" spans="1:6" ht="13.9">
      <c r="A630" s="3">
        <v>25316053</v>
      </c>
      <c r="B630" s="10">
        <v>38654</v>
      </c>
      <c r="C630" s="19">
        <v>17.090964405232736</v>
      </c>
      <c r="D630" s="3"/>
      <c r="E630" t="str">
        <f>_xlfn.XLOOKUP(PE_3[[#This Row],[STN]],SE_3[STN],SE_3[IdeaEligibility],"w/o disability",0)</f>
        <v>w/o disability</v>
      </c>
      <c r="F630" t="str">
        <f>_xlfn.XLOOKUP(PE_3[[#This Row],[STN]],SE_3[STN],SE_3[Ethnicity],"",0)</f>
        <v/>
      </c>
    </row>
    <row r="631" spans="1:6" ht="13.9">
      <c r="A631" s="3">
        <v>27316082</v>
      </c>
      <c r="B631" s="10">
        <v>38335</v>
      </c>
      <c r="C631" s="19">
        <v>17.962391930835736</v>
      </c>
      <c r="D631" s="3"/>
      <c r="E631" t="str">
        <f>_xlfn.XLOOKUP(PE_3[[#This Row],[STN]],SE_3[STN],SE_3[IdeaEligibility],"w/o disability",0)</f>
        <v>w/o disability</v>
      </c>
      <c r="F631" t="str">
        <f>_xlfn.XLOOKUP(PE_3[[#This Row],[STN]],SE_3[STN],SE_3[Ethnicity],"",0)</f>
        <v/>
      </c>
    </row>
    <row r="632" spans="1:6" ht="13.9">
      <c r="A632" s="3">
        <v>13613565</v>
      </c>
      <c r="B632" s="10">
        <v>39504</v>
      </c>
      <c r="C632" s="19">
        <v>14.761817849972623</v>
      </c>
      <c r="D632" s="3"/>
      <c r="E632" t="str">
        <f>_xlfn.XLOOKUP(PE_3[[#This Row],[STN]],SE_3[STN],SE_3[IdeaEligibility],"w/o disability",0)</f>
        <v>w/o disability</v>
      </c>
      <c r="F632" t="str">
        <f>_xlfn.XLOOKUP(PE_3[[#This Row],[STN]],SE_3[STN],SE_3[Ethnicity],"",0)</f>
        <v/>
      </c>
    </row>
    <row r="633" spans="1:6" ht="13.9">
      <c r="A633" s="3">
        <v>18915084</v>
      </c>
      <c r="B633" s="10">
        <v>38825</v>
      </c>
      <c r="C633" s="19">
        <v>16.622161378643902</v>
      </c>
      <c r="D633" s="3"/>
      <c r="E633" t="str">
        <f>_xlfn.XLOOKUP(PE_3[[#This Row],[STN]],SE_3[STN],SE_3[IdeaEligibility],"w/o disability",0)</f>
        <v>w/o disability</v>
      </c>
      <c r="F633" t="str">
        <f>_xlfn.XLOOKUP(PE_3[[#This Row],[STN]],SE_3[STN],SE_3[Ethnicity],"",0)</f>
        <v/>
      </c>
    </row>
    <row r="634" spans="1:6" ht="13.9">
      <c r="A634" s="3">
        <v>18915070</v>
      </c>
      <c r="B634" s="10">
        <v>39210</v>
      </c>
      <c r="C634" s="19">
        <v>15.567419575633128</v>
      </c>
      <c r="D634" s="3"/>
      <c r="E634" t="str">
        <f>_xlfn.XLOOKUP(PE_3[[#This Row],[STN]],SE_3[STN],SE_3[IdeaEligibility],"w/o disability",0)</f>
        <v>w/o disability</v>
      </c>
      <c r="F634" t="str">
        <f>_xlfn.XLOOKUP(PE_3[[#This Row],[STN]],SE_3[STN],SE_3[Ethnicity],"",0)</f>
        <v/>
      </c>
    </row>
    <row r="635" spans="1:6" ht="13.9">
      <c r="A635" s="3">
        <v>13713542</v>
      </c>
      <c r="B635" s="10">
        <v>38674</v>
      </c>
      <c r="C635" s="19">
        <v>17.036203224825069</v>
      </c>
      <c r="D635" s="3"/>
      <c r="E635" t="str">
        <f>_xlfn.XLOOKUP(PE_3[[#This Row],[STN]],SE_3[STN],SE_3[IdeaEligibility],"w/o disability",0)</f>
        <v>w/o disability</v>
      </c>
      <c r="F635" t="str">
        <f>_xlfn.XLOOKUP(PE_3[[#This Row],[STN]],SE_3[STN],SE_3[Ethnicity],"",0)</f>
        <v/>
      </c>
    </row>
    <row r="636" spans="1:6" ht="13.9">
      <c r="A636" s="3">
        <v>18913561</v>
      </c>
      <c r="B636" s="10">
        <v>39170</v>
      </c>
      <c r="C636" s="19">
        <v>15.676933607118412</v>
      </c>
      <c r="D636" s="3"/>
      <c r="E636" t="str">
        <f>_xlfn.XLOOKUP(PE_3[[#This Row],[STN]],SE_3[STN],SE_3[IdeaEligibility],"w/o disability",0)</f>
        <v>w/o disability</v>
      </c>
      <c r="F636" t="str">
        <f>_xlfn.XLOOKUP(PE_3[[#This Row],[STN]],SE_3[STN],SE_3[Ethnicity],"",0)</f>
        <v/>
      </c>
    </row>
    <row r="637" spans="1:6" ht="13.9">
      <c r="A637" s="3">
        <v>17816047</v>
      </c>
      <c r="B637" s="10">
        <v>38574</v>
      </c>
      <c r="C637" s="19">
        <v>17.310009126863402</v>
      </c>
      <c r="D637" s="3"/>
      <c r="E637" t="str">
        <f>_xlfn.XLOOKUP(PE_3[[#This Row],[STN]],SE_3[STN],SE_3[IdeaEligibility],"w/o disability",0)</f>
        <v>w/o disability</v>
      </c>
      <c r="F637" t="str">
        <f>_xlfn.XLOOKUP(PE_3[[#This Row],[STN]],SE_3[STN],SE_3[Ethnicity],"",0)</f>
        <v/>
      </c>
    </row>
    <row r="638" spans="1:6" ht="13.9">
      <c r="A638" s="3">
        <v>27313548</v>
      </c>
      <c r="B638" s="10">
        <v>39195</v>
      </c>
      <c r="C638" s="19">
        <v>15.60848733744011</v>
      </c>
      <c r="D638" s="3"/>
      <c r="E638" t="str">
        <f>_xlfn.XLOOKUP(PE_3[[#This Row],[STN]],SE_3[STN],SE_3[IdeaEligibility],"w/o disability",0)</f>
        <v>w/o disability</v>
      </c>
      <c r="F638" t="str">
        <f>_xlfn.XLOOKUP(PE_3[[#This Row],[STN]],SE_3[STN],SE_3[Ethnicity],"",0)</f>
        <v/>
      </c>
    </row>
    <row r="639" spans="1:6" ht="13.9">
      <c r="A639" s="3">
        <v>31014026</v>
      </c>
      <c r="B639" s="10">
        <v>39022</v>
      </c>
      <c r="C639" s="19">
        <v>16.082783056852954</v>
      </c>
      <c r="D639" s="3"/>
      <c r="E639" t="str">
        <f>_xlfn.XLOOKUP(PE_3[[#This Row],[STN]],SE_3[STN],SE_3[IdeaEligibility],"w/o disability",0)</f>
        <v>w/o disability</v>
      </c>
      <c r="F639" t="str">
        <f>_xlfn.XLOOKUP(PE_3[[#This Row],[STN]],SE_3[STN],SE_3[Ethnicity],"",0)</f>
        <v/>
      </c>
    </row>
    <row r="640" spans="1:6" ht="13.9">
      <c r="A640" s="3">
        <v>19715066</v>
      </c>
      <c r="B640" s="10">
        <v>38776</v>
      </c>
      <c r="C640" s="19">
        <v>16.756321468835562</v>
      </c>
      <c r="D640" s="3"/>
      <c r="E640" t="str">
        <f>_xlfn.XLOOKUP(PE_3[[#This Row],[STN]],SE_3[STN],SE_3[IdeaEligibility],"w/o disability",0)</f>
        <v>w/o disability</v>
      </c>
      <c r="F640" t="str">
        <f>_xlfn.XLOOKUP(PE_3[[#This Row],[STN]],SE_3[STN],SE_3[Ethnicity],"",0)</f>
        <v/>
      </c>
    </row>
    <row r="641" spans="1:6" ht="13.9">
      <c r="A641" s="3">
        <v>15713586</v>
      </c>
      <c r="B641" s="10">
        <v>39402</v>
      </c>
      <c r="C641" s="19">
        <v>15.041752224503764</v>
      </c>
      <c r="D641" s="3"/>
      <c r="E641" t="str">
        <f>_xlfn.XLOOKUP(PE_3[[#This Row],[STN]],SE_3[STN],SE_3[IdeaEligibility],"w/o disability",0)</f>
        <v>w/o disability</v>
      </c>
      <c r="F641" t="str">
        <f>_xlfn.XLOOKUP(PE_3[[#This Row],[STN]],SE_3[STN],SE_3[Ethnicity],"",0)</f>
        <v/>
      </c>
    </row>
    <row r="642" spans="1:6" ht="13.9">
      <c r="A642" s="3">
        <v>17815100</v>
      </c>
      <c r="B642" s="10">
        <v>38971</v>
      </c>
      <c r="C642" s="19">
        <v>16.222419069093252</v>
      </c>
      <c r="D642" s="3"/>
      <c r="E642" t="str">
        <f>_xlfn.XLOOKUP(PE_3[[#This Row],[STN]],SE_3[STN],SE_3[IdeaEligibility],"w/o disability",0)</f>
        <v>w/o disability</v>
      </c>
      <c r="F642" t="str">
        <f>_xlfn.XLOOKUP(PE_3[[#This Row],[STN]],SE_3[STN],SE_3[Ethnicity],"",0)</f>
        <v/>
      </c>
    </row>
    <row r="643" spans="1:6" ht="13.9">
      <c r="A643" s="3">
        <v>18616045</v>
      </c>
      <c r="B643" s="10">
        <v>39400</v>
      </c>
      <c r="C643" s="19">
        <v>15.047227926078028</v>
      </c>
      <c r="D643" s="3"/>
      <c r="E643" t="str">
        <f>_xlfn.XLOOKUP(PE_3[[#This Row],[STN]],SE_3[STN],SE_3[IdeaEligibility],"w/o disability",0)</f>
        <v>w/o disability</v>
      </c>
      <c r="F643" t="str">
        <f>_xlfn.XLOOKUP(PE_3[[#This Row],[STN]],SE_3[STN],SE_3[Ethnicity],"",0)</f>
        <v/>
      </c>
    </row>
    <row r="644" spans="1:6" ht="13.9">
      <c r="A644" s="3">
        <v>13814028</v>
      </c>
      <c r="B644" s="10">
        <v>39803</v>
      </c>
      <c r="C644" s="19">
        <v>13.943237817119913</v>
      </c>
      <c r="D644" s="3"/>
      <c r="E644" t="str">
        <f>_xlfn.XLOOKUP(PE_3[[#This Row],[STN]],SE_3[STN],SE_3[IdeaEligibility],"w/o disability",0)</f>
        <v>w/o disability</v>
      </c>
      <c r="F644" t="str">
        <f>_xlfn.XLOOKUP(PE_3[[#This Row],[STN]],SE_3[STN],SE_3[Ethnicity],"",0)</f>
        <v/>
      </c>
    </row>
    <row r="645" spans="1:6" ht="13.9">
      <c r="A645" s="3">
        <v>14113527</v>
      </c>
      <c r="B645" s="10">
        <v>39668</v>
      </c>
      <c r="C645" s="19">
        <v>14.312830808541705</v>
      </c>
      <c r="D645" s="3"/>
      <c r="E645" t="str">
        <f>_xlfn.XLOOKUP(PE_3[[#This Row],[STN]],SE_3[STN],SE_3[IdeaEligibility],"w/o disability",0)</f>
        <v>w/o disability</v>
      </c>
      <c r="F645" t="str">
        <f>_xlfn.XLOOKUP(PE_3[[#This Row],[STN]],SE_3[STN],SE_3[Ethnicity],"",0)</f>
        <v/>
      </c>
    </row>
    <row r="646" spans="1:6" ht="13.9">
      <c r="A646" s="5">
        <v>255138261</v>
      </c>
      <c r="B646" s="10">
        <v>39372</v>
      </c>
      <c r="C646" s="19">
        <v>15.123887748117728</v>
      </c>
      <c r="D646" s="3"/>
      <c r="E646" t="str">
        <f>_xlfn.XLOOKUP(PE_3[[#This Row],[STN]],SE_3[STN],SE_3[IdeaEligibility],"w/o disability",0)</f>
        <v>w/o disability</v>
      </c>
      <c r="F646" t="str">
        <f>_xlfn.XLOOKUP(PE_3[[#This Row],[STN]],SE_3[STN],SE_3[Ethnicity],"",0)</f>
        <v/>
      </c>
    </row>
    <row r="647" spans="1:6" ht="13.9">
      <c r="A647" s="3">
        <v>21713548</v>
      </c>
      <c r="B647" s="10">
        <v>39008</v>
      </c>
      <c r="C647" s="19">
        <v>16.121114511193429</v>
      </c>
      <c r="D647" s="3"/>
      <c r="E647" t="str">
        <f>_xlfn.XLOOKUP(PE_3[[#This Row],[STN]],SE_3[STN],SE_3[IdeaEligibility],"w/o disability",0)</f>
        <v>w/o disability</v>
      </c>
      <c r="F647" t="str">
        <f>_xlfn.XLOOKUP(PE_3[[#This Row],[STN]],SE_3[STN],SE_3[Ethnicity],"",0)</f>
        <v/>
      </c>
    </row>
    <row r="648" spans="1:6" ht="13.9">
      <c r="A648" s="3">
        <v>27014133</v>
      </c>
      <c r="B648" s="10">
        <v>38715</v>
      </c>
      <c r="C648" s="19">
        <v>16.923942804989352</v>
      </c>
      <c r="D648" s="3"/>
      <c r="E648" t="str">
        <f>_xlfn.XLOOKUP(PE_3[[#This Row],[STN]],SE_3[STN],SE_3[IdeaEligibility],"w/o disability",0)</f>
        <v>w/o disability</v>
      </c>
      <c r="F648" t="str">
        <f>_xlfn.XLOOKUP(PE_3[[#This Row],[STN]],SE_3[STN],SE_3[Ethnicity],"",0)</f>
        <v/>
      </c>
    </row>
    <row r="649" spans="1:6" ht="13.9">
      <c r="A649" s="3">
        <v>17814107</v>
      </c>
      <c r="B649" s="10">
        <v>39322</v>
      </c>
      <c r="C649" s="19">
        <v>15.260780287474333</v>
      </c>
      <c r="D649" s="3"/>
      <c r="E649" t="str">
        <f>_xlfn.XLOOKUP(PE_3[[#This Row],[STN]],SE_3[STN],SE_3[IdeaEligibility],"w/o disability",0)</f>
        <v>w/o disability</v>
      </c>
      <c r="F649" t="str">
        <f>_xlfn.XLOOKUP(PE_3[[#This Row],[STN]],SE_3[STN],SE_3[Ethnicity],"",0)</f>
        <v/>
      </c>
    </row>
    <row r="650" spans="1:6" ht="13.9">
      <c r="A650" s="3">
        <v>17814108</v>
      </c>
      <c r="B650" s="10">
        <v>39225</v>
      </c>
      <c r="C650" s="19">
        <v>15.526351813826146</v>
      </c>
      <c r="D650" s="3"/>
      <c r="E650" t="str">
        <f>_xlfn.XLOOKUP(PE_3[[#This Row],[STN]],SE_3[STN],SE_3[IdeaEligibility],"w/o disability",0)</f>
        <v>w/o disability</v>
      </c>
      <c r="F650" t="str">
        <f>_xlfn.XLOOKUP(PE_3[[#This Row],[STN]],SE_3[STN],SE_3[Ethnicity],"",0)</f>
        <v/>
      </c>
    </row>
    <row r="651" spans="1:6" ht="13.9">
      <c r="A651" s="3">
        <v>17813556</v>
      </c>
      <c r="B651" s="10">
        <v>38265</v>
      </c>
      <c r="C651" s="19">
        <v>18.154034582132567</v>
      </c>
      <c r="D651" s="3"/>
      <c r="E651" t="str">
        <f>_xlfn.XLOOKUP(PE_3[[#This Row],[STN]],SE_3[STN],SE_3[IdeaEligibility],"w/o disability",0)</f>
        <v>w/o disability</v>
      </c>
      <c r="F651" t="str">
        <f>_xlfn.XLOOKUP(PE_3[[#This Row],[STN]],SE_3[STN],SE_3[Ethnicity],"",0)</f>
        <v/>
      </c>
    </row>
    <row r="652" spans="1:6" ht="13.9">
      <c r="A652" s="3">
        <v>13613552</v>
      </c>
      <c r="B652" s="10">
        <v>38728</v>
      </c>
      <c r="C652" s="19">
        <v>16.887743598002899</v>
      </c>
      <c r="D652" s="3"/>
      <c r="E652" t="str">
        <f>_xlfn.XLOOKUP(PE_3[[#This Row],[STN]],SE_3[STN],SE_3[IdeaEligibility],"w/o disability",0)</f>
        <v>w/o disability</v>
      </c>
      <c r="F652" t="str">
        <f>_xlfn.XLOOKUP(PE_3[[#This Row],[STN]],SE_3[STN],SE_3[Ethnicity],"",0)</f>
        <v/>
      </c>
    </row>
    <row r="653" spans="1:6" ht="13.9">
      <c r="A653" s="3">
        <v>18913556</v>
      </c>
      <c r="B653" s="10">
        <v>39583</v>
      </c>
      <c r="C653" s="19">
        <v>14.545537506844315</v>
      </c>
      <c r="D653" s="3"/>
      <c r="E653" t="str">
        <f>_xlfn.XLOOKUP(PE_3[[#This Row],[STN]],SE_3[STN],SE_3[IdeaEligibility],"w/o disability",0)</f>
        <v>w/o disability</v>
      </c>
      <c r="F653" t="str">
        <f>_xlfn.XLOOKUP(PE_3[[#This Row],[STN]],SE_3[STN],SE_3[Ethnicity],"",0)</f>
        <v/>
      </c>
    </row>
    <row r="654" spans="1:6" ht="13.9">
      <c r="A654" s="3">
        <v>27514081</v>
      </c>
      <c r="B654" s="10">
        <v>39570</v>
      </c>
      <c r="C654" s="19">
        <v>14.581127943055302</v>
      </c>
      <c r="D654" s="3"/>
      <c r="E654" t="str">
        <f>_xlfn.XLOOKUP(PE_3[[#This Row],[STN]],SE_3[STN],SE_3[IdeaEligibility],"w/o disability",0)</f>
        <v>w/o disability</v>
      </c>
      <c r="F654" t="str">
        <f>_xlfn.XLOOKUP(PE_3[[#This Row],[STN]],SE_3[STN],SE_3[Ethnicity],"",0)</f>
        <v/>
      </c>
    </row>
    <row r="655" spans="1:6" ht="13.9">
      <c r="A655" s="3">
        <v>17814102</v>
      </c>
      <c r="B655" s="10">
        <v>39348</v>
      </c>
      <c r="C655" s="19">
        <v>15.189596167008897</v>
      </c>
      <c r="D655" s="3"/>
      <c r="E655" t="str">
        <f>_xlfn.XLOOKUP(PE_3[[#This Row],[STN]],SE_3[STN],SE_3[IdeaEligibility],"w/o disability",0)</f>
        <v>w/o disability</v>
      </c>
      <c r="F655" t="str">
        <f>_xlfn.XLOOKUP(PE_3[[#This Row],[STN]],SE_3[STN],SE_3[Ethnicity],"",0)</f>
        <v/>
      </c>
    </row>
    <row r="656" spans="1:6" ht="13.9">
      <c r="A656" s="3">
        <v>17814104</v>
      </c>
      <c r="B656" s="10">
        <v>39429</v>
      </c>
      <c r="C656" s="19">
        <v>14.967830253251197</v>
      </c>
      <c r="D656" s="3"/>
      <c r="E656" t="str">
        <f>_xlfn.XLOOKUP(PE_3[[#This Row],[STN]],SE_3[STN],SE_3[IdeaEligibility],"w/o disability",0)</f>
        <v>w/o disability</v>
      </c>
      <c r="F656" t="str">
        <f>_xlfn.XLOOKUP(PE_3[[#This Row],[STN]],SE_3[STN],SE_3[Ethnicity],"",0)</f>
        <v/>
      </c>
    </row>
    <row r="657" spans="1:6" ht="13.9">
      <c r="A657" s="3">
        <v>20513535</v>
      </c>
      <c r="B657" s="10">
        <v>39393</v>
      </c>
      <c r="C657" s="19">
        <v>15.066392881587953</v>
      </c>
      <c r="D657" s="3"/>
      <c r="E657" t="str">
        <f>_xlfn.XLOOKUP(PE_3[[#This Row],[STN]],SE_3[STN],SE_3[IdeaEligibility],"w/o disability",0)</f>
        <v>w/o disability</v>
      </c>
      <c r="F657" t="str">
        <f>_xlfn.XLOOKUP(PE_3[[#This Row],[STN]],SE_3[STN],SE_3[Ethnicity],"",0)</f>
        <v/>
      </c>
    </row>
    <row r="658" spans="1:6" ht="13.9">
      <c r="A658" s="3">
        <v>26514028</v>
      </c>
      <c r="B658" s="10">
        <v>39637</v>
      </c>
      <c r="C658" s="19">
        <v>14.397700310275598</v>
      </c>
      <c r="D658" s="3"/>
      <c r="E658" t="str">
        <f>_xlfn.XLOOKUP(PE_3[[#This Row],[STN]],SE_3[STN],SE_3[IdeaEligibility],"w/o disability",0)</f>
        <v>w/o disability</v>
      </c>
      <c r="F658" t="str">
        <f>_xlfn.XLOOKUP(PE_3[[#This Row],[STN]],SE_3[STN],SE_3[Ethnicity],"",0)</f>
        <v/>
      </c>
    </row>
    <row r="659" spans="1:6" ht="13.9">
      <c r="A659" s="3">
        <v>25315046</v>
      </c>
      <c r="B659" s="10">
        <v>38407</v>
      </c>
      <c r="C659" s="19">
        <v>17.767264983267417</v>
      </c>
      <c r="D659" s="3"/>
      <c r="E659" t="str">
        <f>_xlfn.XLOOKUP(PE_3[[#This Row],[STN]],SE_3[STN],SE_3[IdeaEligibility],"w/o disability",0)</f>
        <v>w/o disability</v>
      </c>
      <c r="F659" t="str">
        <f>_xlfn.XLOOKUP(PE_3[[#This Row],[STN]],SE_3[STN],SE_3[Ethnicity],"",0)</f>
        <v/>
      </c>
    </row>
    <row r="660" spans="1:6" ht="13.9">
      <c r="A660" s="3">
        <v>13613551</v>
      </c>
      <c r="B660" s="10">
        <v>38365</v>
      </c>
      <c r="C660" s="19">
        <v>17.882263462123518</v>
      </c>
      <c r="D660" s="3"/>
      <c r="E660" t="str">
        <f>_xlfn.XLOOKUP(PE_3[[#This Row],[STN]],SE_3[STN],SE_3[IdeaEligibility],"w/o disability",0)</f>
        <v>w/o disability</v>
      </c>
      <c r="F660" t="str">
        <f>_xlfn.XLOOKUP(PE_3[[#This Row],[STN]],SE_3[STN],SE_3[Ethnicity],"",0)</f>
        <v/>
      </c>
    </row>
    <row r="661" spans="1:6" ht="13.9">
      <c r="A661" s="5">
        <v>905714004</v>
      </c>
      <c r="B661" s="10">
        <v>39490</v>
      </c>
      <c r="C661" s="19">
        <v>14.800146012045994</v>
      </c>
      <c r="D661" s="3"/>
      <c r="E661" t="str">
        <f>_xlfn.XLOOKUP(PE_3[[#This Row],[STN]],SE_3[STN],SE_3[IdeaEligibility],"w/o disability",0)</f>
        <v>w/o disability</v>
      </c>
      <c r="F661" t="str">
        <f>_xlfn.XLOOKUP(PE_3[[#This Row],[STN]],SE_3[STN],SE_3[Ethnicity],"",0)</f>
        <v/>
      </c>
    </row>
    <row r="662" spans="1:6" ht="13.9">
      <c r="A662" s="3">
        <v>13613553</v>
      </c>
      <c r="B662" s="10">
        <v>39477</v>
      </c>
      <c r="C662" s="19">
        <v>14.835736448256982</v>
      </c>
      <c r="D662" s="3"/>
      <c r="E662" t="str">
        <f>_xlfn.XLOOKUP(PE_3[[#This Row],[STN]],SE_3[STN],SE_3[IdeaEligibility],"w/o disability",0)</f>
        <v>w/o disability</v>
      </c>
      <c r="F662" t="str">
        <f>_xlfn.XLOOKUP(PE_3[[#This Row],[STN]],SE_3[STN],SE_3[Ethnicity],"",0)</f>
        <v/>
      </c>
    </row>
    <row r="663" spans="1:6" ht="13.9">
      <c r="A663" s="3">
        <v>28114050</v>
      </c>
      <c r="B663" s="10">
        <v>39422</v>
      </c>
      <c r="C663" s="19">
        <v>14.986995208761122</v>
      </c>
      <c r="D663" s="3"/>
      <c r="E663" t="str">
        <f>_xlfn.XLOOKUP(PE_3[[#This Row],[STN]],SE_3[STN],SE_3[IdeaEligibility],"w/o disability",0)</f>
        <v>w/o disability</v>
      </c>
      <c r="F663" t="str">
        <f>_xlfn.XLOOKUP(PE_3[[#This Row],[STN]],SE_3[STN],SE_3[Ethnicity],"",0)</f>
        <v/>
      </c>
    </row>
    <row r="664" spans="1:6" ht="13.9">
      <c r="A664" s="3">
        <v>12118002</v>
      </c>
      <c r="B664" s="10">
        <v>38744</v>
      </c>
      <c r="C664" s="19">
        <v>16.843936221613784</v>
      </c>
      <c r="D664" s="3"/>
      <c r="E664" t="str">
        <f>_xlfn.XLOOKUP(PE_3[[#This Row],[STN]],SE_3[STN],SE_3[IdeaEligibility],"w/o disability",0)</f>
        <v>w/o disability</v>
      </c>
      <c r="F664" t="str">
        <f>_xlfn.XLOOKUP(PE_3[[#This Row],[STN]],SE_3[STN],SE_3[Ethnicity],"",0)</f>
        <v/>
      </c>
    </row>
    <row r="665" spans="1:6" ht="13.9">
      <c r="A665" s="3">
        <v>13718010</v>
      </c>
      <c r="B665" s="10">
        <v>39334</v>
      </c>
      <c r="C665" s="19">
        <v>15.227926078028748</v>
      </c>
      <c r="D665" s="3"/>
      <c r="E665" t="str">
        <f>_xlfn.XLOOKUP(PE_3[[#This Row],[STN]],SE_3[STN],SE_3[IdeaEligibility],"w/o disability",0)</f>
        <v>w/o disability</v>
      </c>
      <c r="F665" t="str">
        <f>_xlfn.XLOOKUP(PE_3[[#This Row],[STN]],SE_3[STN],SE_3[Ethnicity],"",0)</f>
        <v/>
      </c>
    </row>
    <row r="666" spans="1:6" ht="13.9">
      <c r="A666" s="3">
        <v>13617052</v>
      </c>
      <c r="B666" s="10">
        <v>39411</v>
      </c>
      <c r="C666" s="19">
        <v>15.017111567419576</v>
      </c>
      <c r="D666" s="3"/>
      <c r="E666" t="str">
        <f>_xlfn.XLOOKUP(PE_3[[#This Row],[STN]],SE_3[STN],SE_3[IdeaEligibility],"w/o disability",0)</f>
        <v>w/o disability</v>
      </c>
      <c r="F666" t="str">
        <f>_xlfn.XLOOKUP(PE_3[[#This Row],[STN]],SE_3[STN],SE_3[Ethnicity],"",0)</f>
        <v/>
      </c>
    </row>
    <row r="667" spans="1:6" ht="13.9">
      <c r="A667" s="3">
        <v>23918042</v>
      </c>
      <c r="B667" s="10">
        <v>39506</v>
      </c>
      <c r="C667" s="19">
        <v>14.756342398247856</v>
      </c>
      <c r="D667" s="3"/>
      <c r="E667" t="str">
        <f>_xlfn.XLOOKUP(PE_3[[#This Row],[STN]],SE_3[STN],SE_3[IdeaEligibility],"w/o disability",0)</f>
        <v>w/o disability</v>
      </c>
      <c r="F667" t="str">
        <f>_xlfn.XLOOKUP(PE_3[[#This Row],[STN]],SE_3[STN],SE_3[Ethnicity],"",0)</f>
        <v/>
      </c>
    </row>
    <row r="668" spans="1:6" ht="13.9">
      <c r="A668" s="3">
        <v>12618003</v>
      </c>
      <c r="B668" s="10">
        <v>38548</v>
      </c>
      <c r="C668" s="19">
        <v>17.381198661393366</v>
      </c>
      <c r="D668" s="3"/>
      <c r="E668" t="str">
        <f>_xlfn.XLOOKUP(PE_3[[#This Row],[STN]],SE_3[STN],SE_3[IdeaEligibility],"w/o disability",0)</f>
        <v>w/o disability</v>
      </c>
      <c r="F668" t="str">
        <f>_xlfn.XLOOKUP(PE_3[[#This Row],[STN]],SE_3[STN],SE_3[Ethnicity],"",0)</f>
        <v/>
      </c>
    </row>
    <row r="669" spans="1:6" ht="13.9">
      <c r="A669" s="3">
        <v>13617053</v>
      </c>
      <c r="B669" s="10">
        <v>39012</v>
      </c>
      <c r="C669" s="19">
        <v>16.110162667096152</v>
      </c>
      <c r="D669" s="3"/>
      <c r="E669" t="str">
        <f>_xlfn.XLOOKUP(PE_3[[#This Row],[STN]],SE_3[STN],SE_3[IdeaEligibility],"w/o disability",0)</f>
        <v>w/o disability</v>
      </c>
      <c r="F669" t="str">
        <f>_xlfn.XLOOKUP(PE_3[[#This Row],[STN]],SE_3[STN],SE_3[Ethnicity],"",0)</f>
        <v/>
      </c>
    </row>
    <row r="670" spans="1:6" ht="13.9">
      <c r="A670" s="3">
        <v>13617044</v>
      </c>
      <c r="B670" s="10">
        <v>39502</v>
      </c>
      <c r="C670" s="19">
        <v>14.767293301697391</v>
      </c>
      <c r="D670" s="3"/>
      <c r="E670" t="str">
        <f>_xlfn.XLOOKUP(PE_3[[#This Row],[STN]],SE_3[STN],SE_3[IdeaEligibility],"w/o disability",0)</f>
        <v>w/o disability</v>
      </c>
      <c r="F670" t="str">
        <f>_xlfn.XLOOKUP(PE_3[[#This Row],[STN]],SE_3[STN],SE_3[Ethnicity],"",0)</f>
        <v/>
      </c>
    </row>
    <row r="671" spans="1:6" ht="13.9">
      <c r="A671" s="3">
        <v>10521042</v>
      </c>
      <c r="B671" s="10">
        <v>39017</v>
      </c>
      <c r="C671" s="19">
        <v>16.096472861974551</v>
      </c>
      <c r="D671" s="3"/>
      <c r="E671" t="str">
        <f>_xlfn.XLOOKUP(PE_3[[#This Row],[STN]],SE_3[STN],SE_3[IdeaEligibility],"w/o disability",0)</f>
        <v>w/o disability</v>
      </c>
      <c r="F671" t="str">
        <f>_xlfn.XLOOKUP(PE_3[[#This Row],[STN]],SE_3[STN],SE_3[Ethnicity],"",0)</f>
        <v/>
      </c>
    </row>
    <row r="672" spans="1:6" ht="13.9">
      <c r="A672" s="3">
        <v>13321010</v>
      </c>
      <c r="B672" s="10">
        <v>39123</v>
      </c>
      <c r="C672" s="19">
        <v>15.805612594113621</v>
      </c>
      <c r="D672" s="3"/>
      <c r="E672" t="str">
        <f>_xlfn.XLOOKUP(PE_3[[#This Row],[STN]],SE_3[STN],SE_3[IdeaEligibility],"w/o disability",0)</f>
        <v>w/o disability</v>
      </c>
      <c r="F672" t="str">
        <f>_xlfn.XLOOKUP(PE_3[[#This Row],[STN]],SE_3[STN],SE_3[Ethnicity],"",0)</f>
        <v/>
      </c>
    </row>
    <row r="673" spans="1:6" ht="13.9">
      <c r="A673" s="3">
        <v>10521041</v>
      </c>
      <c r="B673" s="10">
        <v>39017</v>
      </c>
      <c r="C673" s="19">
        <v>16.096472861974551</v>
      </c>
      <c r="D673" s="3"/>
      <c r="E673" t="str">
        <f>_xlfn.XLOOKUP(PE_3[[#This Row],[STN]],SE_3[STN],SE_3[IdeaEligibility],"w/o disability",0)</f>
        <v>w/o disability</v>
      </c>
      <c r="F673" t="str">
        <f>_xlfn.XLOOKUP(PE_3[[#This Row],[STN]],SE_3[STN],SE_3[Ethnicity],"",0)</f>
        <v/>
      </c>
    </row>
    <row r="674" spans="1:6" ht="13.9">
      <c r="A674" s="5">
        <v>153917052</v>
      </c>
      <c r="B674" s="10">
        <v>39642</v>
      </c>
      <c r="C674" s="19">
        <v>14.384011680963679</v>
      </c>
      <c r="D674" s="3"/>
      <c r="E674" t="str">
        <f>_xlfn.XLOOKUP(PE_3[[#This Row],[STN]],SE_3[STN],SE_3[IdeaEligibility],"w/o disability",0)</f>
        <v>w/o disability</v>
      </c>
      <c r="F674" t="str">
        <f>_xlfn.XLOOKUP(PE_3[[#This Row],[STN]],SE_3[STN],SE_3[Ethnicity],"",0)</f>
        <v/>
      </c>
    </row>
    <row r="675" spans="1:6" ht="13.9">
      <c r="A675" s="3">
        <v>24918006</v>
      </c>
      <c r="B675" s="10">
        <v>39549</v>
      </c>
      <c r="C675" s="19">
        <v>14.63862018616536</v>
      </c>
      <c r="D675" s="3"/>
      <c r="E675" t="str">
        <f>_xlfn.XLOOKUP(PE_3[[#This Row],[STN]],SE_3[STN],SE_3[IdeaEligibility],"w/o disability",0)</f>
        <v>w/o disability</v>
      </c>
      <c r="F675" t="str">
        <f>_xlfn.XLOOKUP(PE_3[[#This Row],[STN]],SE_3[STN],SE_3[Ethnicity],"",0)</f>
        <v/>
      </c>
    </row>
    <row r="676" spans="1:6" ht="13.9">
      <c r="A676" s="3">
        <v>12818001</v>
      </c>
      <c r="B676" s="10">
        <v>38654</v>
      </c>
      <c r="C676" s="19">
        <v>17.090964405232736</v>
      </c>
      <c r="D676" s="3"/>
      <c r="E676" t="str">
        <f>_xlfn.XLOOKUP(PE_3[[#This Row],[STN]],SE_3[STN],SE_3[IdeaEligibility],"w/o disability",0)</f>
        <v>w/o disability</v>
      </c>
      <c r="F676" t="str">
        <f>_xlfn.XLOOKUP(PE_3[[#This Row],[STN]],SE_3[STN],SE_3[Ethnicity],"",0)</f>
        <v/>
      </c>
    </row>
    <row r="677" spans="1:6" ht="13.9">
      <c r="A677" s="3">
        <v>14117021</v>
      </c>
      <c r="B677" s="10">
        <v>39650</v>
      </c>
      <c r="C677" s="19">
        <v>14.362109874064611</v>
      </c>
      <c r="D677" s="3"/>
      <c r="E677" t="str">
        <f>_xlfn.XLOOKUP(PE_3[[#This Row],[STN]],SE_3[STN],SE_3[IdeaEligibility],"w/o disability",0)</f>
        <v>w/o disability</v>
      </c>
      <c r="F677" t="str">
        <f>_xlfn.XLOOKUP(PE_3[[#This Row],[STN]],SE_3[STN],SE_3[Ethnicity],"",0)</f>
        <v/>
      </c>
    </row>
    <row r="678" spans="1:6" ht="13.9">
      <c r="A678" s="3">
        <v>18917045</v>
      </c>
      <c r="B678" s="10">
        <v>39457</v>
      </c>
      <c r="C678" s="19">
        <v>14.890490965504656</v>
      </c>
      <c r="D678" s="3"/>
      <c r="E678" t="str">
        <f>_xlfn.XLOOKUP(PE_3[[#This Row],[STN]],SE_3[STN],SE_3[IdeaEligibility],"w/o disability",0)</f>
        <v>w/o disability</v>
      </c>
      <c r="F678" t="str">
        <f>_xlfn.XLOOKUP(PE_3[[#This Row],[STN]],SE_3[STN],SE_3[Ethnicity],"",0)</f>
        <v/>
      </c>
    </row>
    <row r="679" spans="1:6" ht="13.9">
      <c r="A679" s="5">
        <v>153917050</v>
      </c>
      <c r="B679" s="10">
        <v>38732</v>
      </c>
      <c r="C679" s="19">
        <v>16.876791753905621</v>
      </c>
      <c r="D679" s="3"/>
      <c r="E679" t="str">
        <f>_xlfn.XLOOKUP(PE_3[[#This Row],[STN]],SE_3[STN],SE_3[IdeaEligibility],"w/o disability",0)</f>
        <v>w/o disability</v>
      </c>
      <c r="F679" t="str">
        <f>_xlfn.XLOOKUP(PE_3[[#This Row],[STN]],SE_3[STN],SE_3[Ethnicity],"",0)</f>
        <v/>
      </c>
    </row>
    <row r="680" spans="1:6" ht="13.9">
      <c r="A680" s="3">
        <v>24021019</v>
      </c>
      <c r="B680" s="10">
        <v>39090</v>
      </c>
      <c r="C680" s="19">
        <v>15.89596167008898</v>
      </c>
      <c r="D680" s="3"/>
      <c r="E680" t="str">
        <f>_xlfn.XLOOKUP(PE_3[[#This Row],[STN]],SE_3[STN],SE_3[IdeaEligibility],"w/o disability",0)</f>
        <v>w/o disability</v>
      </c>
      <c r="F680" t="str">
        <f>_xlfn.XLOOKUP(PE_3[[#This Row],[STN]],SE_3[STN],SE_3[Ethnicity],"",0)</f>
        <v/>
      </c>
    </row>
    <row r="681" spans="1:6" ht="13.9">
      <c r="A681" s="3">
        <v>13717118</v>
      </c>
      <c r="B681" s="10">
        <v>39037</v>
      </c>
      <c r="C681" s="19">
        <v>16.041713641488162</v>
      </c>
      <c r="D681" s="3"/>
      <c r="E681" t="str">
        <f>_xlfn.XLOOKUP(PE_3[[#This Row],[STN]],SE_3[STN],SE_3[IdeaEligibility],"w/o disability",0)</f>
        <v>w/o disability</v>
      </c>
      <c r="F681" t="str">
        <f>_xlfn.XLOOKUP(PE_3[[#This Row],[STN]],SE_3[STN],SE_3[Ethnicity],"",0)</f>
        <v/>
      </c>
    </row>
    <row r="682" spans="1:6" ht="13.9">
      <c r="A682" s="3">
        <v>3309073</v>
      </c>
      <c r="B682" s="10">
        <v>38635</v>
      </c>
      <c r="C682" s="19">
        <v>17.142987526620018</v>
      </c>
      <c r="D682" s="3"/>
      <c r="E682" t="str">
        <f>_xlfn.XLOOKUP(PE_3[[#This Row],[STN]],SE_3[STN],SE_3[IdeaEligibility],"w/o disability",0)</f>
        <v>w/o disability</v>
      </c>
      <c r="F682" t="str">
        <f>_xlfn.XLOOKUP(PE_3[[#This Row],[STN]],SE_3[STN],SE_3[Ethnicity],"",0)</f>
        <v/>
      </c>
    </row>
    <row r="683" spans="1:6" ht="13.9">
      <c r="A683" s="3">
        <v>13617085</v>
      </c>
      <c r="B683" s="10">
        <v>39434</v>
      </c>
      <c r="C683" s="19">
        <v>14.954140999315538</v>
      </c>
      <c r="D683" s="3"/>
      <c r="E683" t="str">
        <f>_xlfn.XLOOKUP(PE_3[[#This Row],[STN]],SE_3[STN],SE_3[IdeaEligibility],"w/o disability",0)</f>
        <v>w/o disability</v>
      </c>
      <c r="F683" t="str">
        <f>_xlfn.XLOOKUP(PE_3[[#This Row],[STN]],SE_3[STN],SE_3[Ethnicity],"",0)</f>
        <v/>
      </c>
    </row>
    <row r="684" spans="1:6" ht="13.9">
      <c r="A684" s="3">
        <v>4317037</v>
      </c>
      <c r="B684" s="10">
        <v>39690</v>
      </c>
      <c r="C684" s="19">
        <v>14.252600839569265</v>
      </c>
      <c r="D684" s="3"/>
      <c r="E684" t="str">
        <f>_xlfn.XLOOKUP(PE_3[[#This Row],[STN]],SE_3[STN],SE_3[IdeaEligibility],"w/o disability",0)</f>
        <v>w/o disability</v>
      </c>
      <c r="F684" t="str">
        <f>_xlfn.XLOOKUP(PE_3[[#This Row],[STN]],SE_3[STN],SE_3[Ethnicity],"",0)</f>
        <v/>
      </c>
    </row>
    <row r="685" spans="1:6" ht="13.9">
      <c r="A685" s="3">
        <v>16417114</v>
      </c>
      <c r="B685" s="10">
        <v>38999</v>
      </c>
      <c r="C685" s="19">
        <v>16.145756160412304</v>
      </c>
      <c r="D685" s="3"/>
      <c r="E685" t="str">
        <f>_xlfn.XLOOKUP(PE_3[[#This Row],[STN]],SE_3[STN],SE_3[IdeaEligibility],"w/o disability",0)</f>
        <v>w/o disability</v>
      </c>
      <c r="F685" t="str">
        <f>_xlfn.XLOOKUP(PE_3[[#This Row],[STN]],SE_3[STN],SE_3[Ethnicity],"",0)</f>
        <v/>
      </c>
    </row>
    <row r="686" spans="1:6" ht="13.9">
      <c r="A686" s="3">
        <v>12121017</v>
      </c>
      <c r="B686" s="10">
        <v>38878</v>
      </c>
      <c r="C686" s="19">
        <v>16.477049444354968</v>
      </c>
      <c r="D686" s="3"/>
      <c r="E686" t="str">
        <f>_xlfn.XLOOKUP(PE_3[[#This Row],[STN]],SE_3[STN],SE_3[IdeaEligibility],"w/o disability",0)</f>
        <v>w/o disability</v>
      </c>
      <c r="F686" t="str">
        <f>_xlfn.XLOOKUP(PE_3[[#This Row],[STN]],SE_3[STN],SE_3[Ethnicity],"",0)</f>
        <v/>
      </c>
    </row>
    <row r="687" spans="1:6" ht="13.9">
      <c r="A687" s="3">
        <v>10721006</v>
      </c>
      <c r="B687" s="10">
        <v>39199</v>
      </c>
      <c r="C687" s="19">
        <v>15.597535934291582</v>
      </c>
      <c r="D687" s="3"/>
      <c r="E687" t="str">
        <f>_xlfn.XLOOKUP(PE_3[[#This Row],[STN]],SE_3[STN],SE_3[IdeaEligibility],"w/o disability",0)</f>
        <v>w/o disability</v>
      </c>
      <c r="F687" t="str">
        <f>_xlfn.XLOOKUP(PE_3[[#This Row],[STN]],SE_3[STN],SE_3[Ethnicity],"",0)</f>
        <v/>
      </c>
    </row>
    <row r="688" spans="1:6" ht="13.9">
      <c r="A688" s="3">
        <v>24021020</v>
      </c>
      <c r="B688" s="10">
        <v>39182</v>
      </c>
      <c r="C688" s="19">
        <v>15.644079397672828</v>
      </c>
      <c r="D688" s="3"/>
      <c r="E688" t="str">
        <f>_xlfn.XLOOKUP(PE_3[[#This Row],[STN]],SE_3[STN],SE_3[IdeaEligibility],"w/o disability",0)</f>
        <v>w/o disability</v>
      </c>
      <c r="F688" t="str">
        <f>_xlfn.XLOOKUP(PE_3[[#This Row],[STN]],SE_3[STN],SE_3[Ethnicity],"",0)</f>
        <v/>
      </c>
    </row>
    <row r="689" spans="1:6" ht="13.9">
      <c r="A689" s="3">
        <v>4317036</v>
      </c>
      <c r="B689" s="10">
        <v>38731</v>
      </c>
      <c r="C689" s="19">
        <v>16.879529714929941</v>
      </c>
      <c r="D689" s="3"/>
      <c r="E689" t="str">
        <f>_xlfn.XLOOKUP(PE_3[[#This Row],[STN]],SE_3[STN],SE_3[IdeaEligibility],"w/o disability",0)</f>
        <v>w/o disability</v>
      </c>
      <c r="F689" t="str">
        <f>_xlfn.XLOOKUP(PE_3[[#This Row],[STN]],SE_3[STN],SE_3[Ethnicity],"",0)</f>
        <v/>
      </c>
    </row>
    <row r="690" spans="1:6" ht="13.9">
      <c r="A690" s="3">
        <v>17817082</v>
      </c>
      <c r="B690" s="10">
        <v>38992</v>
      </c>
      <c r="C690" s="19">
        <v>16.16492188758254</v>
      </c>
      <c r="D690" s="3"/>
      <c r="E690" t="str">
        <f>_xlfn.XLOOKUP(PE_3[[#This Row],[STN]],SE_3[STN],SE_3[IdeaEligibility],"w/o disability",0)</f>
        <v>w/o disability</v>
      </c>
      <c r="F690" t="str">
        <f>_xlfn.XLOOKUP(PE_3[[#This Row],[STN]],SE_3[STN],SE_3[Ethnicity],"",0)</f>
        <v/>
      </c>
    </row>
    <row r="691" spans="1:6" ht="13.9">
      <c r="A691" s="3">
        <v>29117164</v>
      </c>
      <c r="B691" s="10">
        <v>39411</v>
      </c>
      <c r="C691" s="19">
        <v>15.017111567419576</v>
      </c>
      <c r="D691" s="3"/>
      <c r="E691" t="str">
        <f>_xlfn.XLOOKUP(PE_3[[#This Row],[STN]],SE_3[STN],SE_3[IdeaEligibility],"w/o disability",0)</f>
        <v>w/o disability</v>
      </c>
      <c r="F691" t="str">
        <f>_xlfn.XLOOKUP(PE_3[[#This Row],[STN]],SE_3[STN],SE_3[Ethnicity],"",0)</f>
        <v/>
      </c>
    </row>
    <row r="692" spans="1:6" ht="13.9">
      <c r="A692" s="3">
        <v>5317009</v>
      </c>
      <c r="B692" s="10">
        <v>38365</v>
      </c>
      <c r="C692" s="19">
        <v>17.882263462123518</v>
      </c>
      <c r="D692" s="3"/>
      <c r="E692" t="str">
        <f>_xlfn.XLOOKUP(PE_3[[#This Row],[STN]],SE_3[STN],SE_3[IdeaEligibility],"w/o disability",0)</f>
        <v>w/o disability</v>
      </c>
      <c r="F692" t="str">
        <f>_xlfn.XLOOKUP(PE_3[[#This Row],[STN]],SE_3[STN],SE_3[Ethnicity],"",0)</f>
        <v/>
      </c>
    </row>
    <row r="693" spans="1:6" ht="13.9">
      <c r="A693" s="3">
        <v>13717114</v>
      </c>
      <c r="B693" s="10">
        <v>38956</v>
      </c>
      <c r="C693" s="19">
        <v>16.263488484458044</v>
      </c>
      <c r="D693" s="3"/>
      <c r="E693" t="str">
        <f>_xlfn.XLOOKUP(PE_3[[#This Row],[STN]],SE_3[STN],SE_3[IdeaEligibility],"w/o disability",0)</f>
        <v>w/o disability</v>
      </c>
      <c r="F693" t="str">
        <f>_xlfn.XLOOKUP(PE_3[[#This Row],[STN]],SE_3[STN],SE_3[Ethnicity],"",0)</f>
        <v/>
      </c>
    </row>
    <row r="694" spans="1:6" ht="13.9">
      <c r="A694" s="3">
        <v>15717112</v>
      </c>
      <c r="B694" s="10">
        <v>38270</v>
      </c>
      <c r="C694" s="19">
        <v>18.140345821325649</v>
      </c>
      <c r="D694" s="3"/>
      <c r="E694" t="str">
        <f>_xlfn.XLOOKUP(PE_3[[#This Row],[STN]],SE_3[STN],SE_3[IdeaEligibility],"w/o disability",0)</f>
        <v>w/o disability</v>
      </c>
      <c r="F694" t="str">
        <f>_xlfn.XLOOKUP(PE_3[[#This Row],[STN]],SE_3[STN],SE_3[Ethnicity],"",0)</f>
        <v/>
      </c>
    </row>
    <row r="695" spans="1:6" ht="13.9">
      <c r="A695" s="3">
        <v>15317054</v>
      </c>
      <c r="B695" s="10">
        <v>38841</v>
      </c>
      <c r="C695" s="19">
        <v>16.578354002254791</v>
      </c>
      <c r="D695" s="3"/>
      <c r="E695" t="str">
        <f>_xlfn.XLOOKUP(PE_3[[#This Row],[STN]],SE_3[STN],SE_3[IdeaEligibility],"w/o disability",0)</f>
        <v>w/o disability</v>
      </c>
      <c r="F695" t="str">
        <f>_xlfn.XLOOKUP(PE_3[[#This Row],[STN]],SE_3[STN],SE_3[Ethnicity],"",0)</f>
        <v/>
      </c>
    </row>
    <row r="696" spans="1:6" ht="13.9">
      <c r="A696" s="3">
        <v>4317031</v>
      </c>
      <c r="B696" s="10">
        <v>39326</v>
      </c>
      <c r="C696" s="19">
        <v>15.249828884325805</v>
      </c>
      <c r="D696" s="3"/>
      <c r="E696" t="str">
        <f>_xlfn.XLOOKUP(PE_3[[#This Row],[STN]],SE_3[STN],SE_3[IdeaEligibility],"w/o disability",0)</f>
        <v>w/o disability</v>
      </c>
      <c r="F696" t="str">
        <f>_xlfn.XLOOKUP(PE_3[[#This Row],[STN]],SE_3[STN],SE_3[Ethnicity],"",0)</f>
        <v/>
      </c>
    </row>
    <row r="697" spans="1:6" ht="13.9">
      <c r="A697" s="5">
        <v>381316036</v>
      </c>
      <c r="B697" s="10">
        <v>38175</v>
      </c>
      <c r="C697" s="19">
        <v>18.40043227665706</v>
      </c>
      <c r="D697" s="3"/>
      <c r="E697" t="str">
        <f>_xlfn.XLOOKUP(PE_3[[#This Row],[STN]],SE_3[STN],SE_3[IdeaEligibility],"w/o disability",0)</f>
        <v>w/o disability</v>
      </c>
      <c r="F697" t="str">
        <f>_xlfn.XLOOKUP(PE_3[[#This Row],[STN]],SE_3[STN],SE_3[Ethnicity],"",0)</f>
        <v/>
      </c>
    </row>
    <row r="698" spans="1:6" ht="13.9">
      <c r="A698" s="3">
        <v>26917045</v>
      </c>
      <c r="B698" s="10">
        <v>38474</v>
      </c>
      <c r="C698" s="19">
        <v>17.583815028901732</v>
      </c>
      <c r="D698" s="3"/>
      <c r="E698" t="str">
        <f>_xlfn.XLOOKUP(PE_3[[#This Row],[STN]],SE_3[STN],SE_3[IdeaEligibility],"w/o disability",0)</f>
        <v>w/o disability</v>
      </c>
      <c r="F698" t="str">
        <f>_xlfn.XLOOKUP(PE_3[[#This Row],[STN]],SE_3[STN],SE_3[Ethnicity],"",0)</f>
        <v/>
      </c>
    </row>
    <row r="699" spans="1:6" ht="13.9">
      <c r="A699" s="3">
        <v>4317021</v>
      </c>
      <c r="B699" s="10">
        <v>39044</v>
      </c>
      <c r="C699" s="19">
        <v>16.022547914317926</v>
      </c>
      <c r="D699" s="3"/>
      <c r="E699" t="str">
        <f>_xlfn.XLOOKUP(PE_3[[#This Row],[STN]],SE_3[STN],SE_3[IdeaEligibility],"w/o disability",0)</f>
        <v>w/o disability</v>
      </c>
      <c r="F699" t="str">
        <f>_xlfn.XLOOKUP(PE_3[[#This Row],[STN]],SE_3[STN],SE_3[Ethnicity],"",0)</f>
        <v/>
      </c>
    </row>
    <row r="700" spans="1:6" ht="13.9">
      <c r="A700" s="3">
        <v>25717019</v>
      </c>
      <c r="B700" s="10">
        <v>39066</v>
      </c>
      <c r="C700" s="19">
        <v>15.962312771782896</v>
      </c>
      <c r="D700" s="3"/>
      <c r="E700" t="str">
        <f>_xlfn.XLOOKUP(PE_3[[#This Row],[STN]],SE_3[STN],SE_3[IdeaEligibility],"w/o disability",0)</f>
        <v>w/o disability</v>
      </c>
      <c r="F700" t="str">
        <f>_xlfn.XLOOKUP(PE_3[[#This Row],[STN]],SE_3[STN],SE_3[Ethnicity],"",0)</f>
        <v/>
      </c>
    </row>
    <row r="701" spans="1:6" ht="13.9">
      <c r="A701" s="3">
        <v>12121015</v>
      </c>
      <c r="B701" s="10">
        <v>38918</v>
      </c>
      <c r="C701" s="19">
        <v>16.367531003382187</v>
      </c>
      <c r="D701" s="3"/>
      <c r="E701" t="str">
        <f>_xlfn.XLOOKUP(PE_3[[#This Row],[STN]],SE_3[STN],SE_3[IdeaEligibility],"w/o disability",0)</f>
        <v>w/o disability</v>
      </c>
      <c r="F701" t="str">
        <f>_xlfn.XLOOKUP(PE_3[[#This Row],[STN]],SE_3[STN],SE_3[Ethnicity],"",0)</f>
        <v/>
      </c>
    </row>
    <row r="702" spans="1:6" ht="13.9">
      <c r="A702" s="3">
        <v>29421015</v>
      </c>
      <c r="B702" s="10">
        <v>39520</v>
      </c>
      <c r="C702" s="19">
        <v>14.718014236174485</v>
      </c>
      <c r="D702" s="3"/>
      <c r="E702" t="str">
        <f>_xlfn.XLOOKUP(PE_3[[#This Row],[STN]],SE_3[STN],SE_3[IdeaEligibility],"w/o disability",0)</f>
        <v>w/o disability</v>
      </c>
      <c r="F702" t="str">
        <f>_xlfn.XLOOKUP(PE_3[[#This Row],[STN]],SE_3[STN],SE_3[Ethnicity],"",0)</f>
        <v/>
      </c>
    </row>
    <row r="703" spans="1:6" ht="13.9">
      <c r="A703" s="3">
        <v>27317095</v>
      </c>
      <c r="B703" s="10">
        <v>38816</v>
      </c>
      <c r="C703" s="19">
        <v>16.646803027862781</v>
      </c>
      <c r="D703" s="3"/>
      <c r="E703" t="str">
        <f>_xlfn.XLOOKUP(PE_3[[#This Row],[STN]],SE_3[STN],SE_3[IdeaEligibility],"w/o disability",0)</f>
        <v>w/o disability</v>
      </c>
      <c r="F703" t="str">
        <f>_xlfn.XLOOKUP(PE_3[[#This Row],[STN]],SE_3[STN],SE_3[Ethnicity],"",0)</f>
        <v/>
      </c>
    </row>
    <row r="704" spans="1:6" ht="13.9">
      <c r="A704" s="3">
        <v>12621012</v>
      </c>
      <c r="B704" s="10">
        <v>38727</v>
      </c>
      <c r="C704" s="19">
        <v>16.890481559027219</v>
      </c>
      <c r="D704" s="3"/>
      <c r="E704" t="str">
        <f>_xlfn.XLOOKUP(PE_3[[#This Row],[STN]],SE_3[STN],SE_3[IdeaEligibility],"w/o disability",0)</f>
        <v>w/o disability</v>
      </c>
      <c r="F704" t="str">
        <f>_xlfn.XLOOKUP(PE_3[[#This Row],[STN]],SE_3[STN],SE_3[Ethnicity],"",0)</f>
        <v/>
      </c>
    </row>
    <row r="705" spans="1:6" ht="13.9">
      <c r="A705" s="3">
        <v>10521031</v>
      </c>
      <c r="B705" s="10">
        <v>38765</v>
      </c>
      <c r="C705" s="19">
        <v>16.786439040103076</v>
      </c>
      <c r="D705" s="3"/>
      <c r="E705" t="str">
        <f>_xlfn.XLOOKUP(PE_3[[#This Row],[STN]],SE_3[STN],SE_3[IdeaEligibility],"w/o disability",0)</f>
        <v>w/o disability</v>
      </c>
      <c r="F705" t="str">
        <f>_xlfn.XLOOKUP(PE_3[[#This Row],[STN]],SE_3[STN],SE_3[Ethnicity],"",0)</f>
        <v/>
      </c>
    </row>
    <row r="706" spans="1:6" ht="13.9">
      <c r="A706" s="3">
        <v>10521028</v>
      </c>
      <c r="B706" s="10">
        <v>38353</v>
      </c>
      <c r="C706" s="19">
        <v>17.915120170368116</v>
      </c>
      <c r="D706" s="3"/>
      <c r="E706" t="str">
        <f>_xlfn.XLOOKUP(PE_3[[#This Row],[STN]],SE_3[STN],SE_3[IdeaEligibility],"w/o disability",0)</f>
        <v>w/o disability</v>
      </c>
      <c r="F706" t="str">
        <f>_xlfn.XLOOKUP(PE_3[[#This Row],[STN]],SE_3[STN],SE_3[Ethnicity],"",0)</f>
        <v/>
      </c>
    </row>
    <row r="707" spans="1:6" ht="13.9">
      <c r="A707" s="3">
        <v>4317020</v>
      </c>
      <c r="B707" s="10">
        <v>38424</v>
      </c>
      <c r="C707" s="19">
        <v>17.720717979920899</v>
      </c>
      <c r="D707" s="3"/>
      <c r="E707" t="str">
        <f>_xlfn.XLOOKUP(PE_3[[#This Row],[STN]],SE_3[STN],SE_3[IdeaEligibility],"w/o disability",0)</f>
        <v>w/o disability</v>
      </c>
      <c r="F707" t="str">
        <f>_xlfn.XLOOKUP(PE_3[[#This Row],[STN]],SE_3[STN],SE_3[Ethnicity],"",0)</f>
        <v/>
      </c>
    </row>
    <row r="708" spans="1:6" ht="13.9">
      <c r="A708" s="3">
        <v>10521032</v>
      </c>
      <c r="B708" s="10">
        <v>37814</v>
      </c>
      <c r="C708" s="19">
        <v>19.389459274469541</v>
      </c>
      <c r="D708" s="3"/>
      <c r="E708" t="str">
        <f>_xlfn.XLOOKUP(PE_3[[#This Row],[STN]],SE_3[STN],SE_3[IdeaEligibility],"w/o disability",0)</f>
        <v>w/o disability</v>
      </c>
      <c r="F708" t="str">
        <f>_xlfn.XLOOKUP(PE_3[[#This Row],[STN]],SE_3[STN],SE_3[Ethnicity],"",0)</f>
        <v/>
      </c>
    </row>
    <row r="709" spans="1:6" ht="13.9">
      <c r="A709" s="3">
        <v>12621019</v>
      </c>
      <c r="B709" s="10">
        <v>39119</v>
      </c>
      <c r="C709" s="19">
        <v>15.816563997262149</v>
      </c>
      <c r="D709" s="3"/>
      <c r="E709" t="str">
        <f>_xlfn.XLOOKUP(PE_3[[#This Row],[STN]],SE_3[STN],SE_3[IdeaEligibility],"w/o disability",0)</f>
        <v>w/o disability</v>
      </c>
      <c r="F709" t="str">
        <f>_xlfn.XLOOKUP(PE_3[[#This Row],[STN]],SE_3[STN],SE_3[Ethnicity],"",0)</f>
        <v/>
      </c>
    </row>
    <row r="710" spans="1:6" ht="13.9">
      <c r="A710" s="5">
        <v>153920147</v>
      </c>
      <c r="B710" s="10">
        <v>39267</v>
      </c>
      <c r="C710" s="19">
        <v>15.411362080766597</v>
      </c>
      <c r="D710" s="3"/>
      <c r="E710" t="str">
        <f>_xlfn.XLOOKUP(PE_3[[#This Row],[STN]],SE_3[STN],SE_3[IdeaEligibility],"w/o disability",0)</f>
        <v>w/o disability</v>
      </c>
      <c r="F710" t="str">
        <f>_xlfn.XLOOKUP(PE_3[[#This Row],[STN]],SE_3[STN],SE_3[Ethnicity],"",0)</f>
        <v/>
      </c>
    </row>
    <row r="711" spans="1:6" ht="13.9">
      <c r="A711" s="3">
        <v>10521025</v>
      </c>
      <c r="B711" s="10">
        <v>38882</v>
      </c>
      <c r="C711" s="19">
        <v>16.46609760025769</v>
      </c>
      <c r="D711" s="3"/>
      <c r="E711" t="str">
        <f>_xlfn.XLOOKUP(PE_3[[#This Row],[STN]],SE_3[STN],SE_3[IdeaEligibility],"w/o disability",0)</f>
        <v>w/o disability</v>
      </c>
      <c r="F711" t="str">
        <f>_xlfn.XLOOKUP(PE_3[[#This Row],[STN]],SE_3[STN],SE_3[Ethnicity],"",0)</f>
        <v/>
      </c>
    </row>
    <row r="712" spans="1:6" ht="13.9">
      <c r="A712" s="5">
        <v>917817057</v>
      </c>
      <c r="B712" s="10">
        <v>39047</v>
      </c>
      <c r="C712" s="19">
        <v>16.014334031244967</v>
      </c>
      <c r="D712" s="3"/>
      <c r="E712" t="str">
        <f>_xlfn.XLOOKUP(PE_3[[#This Row],[STN]],SE_3[STN],SE_3[IdeaEligibility],"w/o disability",0)</f>
        <v>w/o disability</v>
      </c>
      <c r="F712" t="str">
        <f>_xlfn.XLOOKUP(PE_3[[#This Row],[STN]],SE_3[STN],SE_3[Ethnicity],"",0)</f>
        <v/>
      </c>
    </row>
    <row r="713" spans="1:6" ht="13.9">
      <c r="A713" s="3">
        <v>17815124</v>
      </c>
      <c r="B713" s="10">
        <v>38601</v>
      </c>
      <c r="C713" s="19">
        <v>17.236081533313051</v>
      </c>
      <c r="D713" s="3"/>
      <c r="E713" t="str">
        <f>_xlfn.XLOOKUP(PE_3[[#This Row],[STN]],SE_3[STN],SE_3[IdeaEligibility],"w/o disability",0)</f>
        <v>w/o disability</v>
      </c>
      <c r="F713" t="str">
        <f>_xlfn.XLOOKUP(PE_3[[#This Row],[STN]],SE_3[STN],SE_3[Ethnicity],"",0)</f>
        <v/>
      </c>
    </row>
    <row r="714" spans="1:6" ht="13.9">
      <c r="A714" s="3">
        <v>13317001</v>
      </c>
      <c r="B714" s="10">
        <v>38295</v>
      </c>
      <c r="C714" s="19">
        <v>18.071902017291066</v>
      </c>
      <c r="D714" s="3"/>
      <c r="E714" t="str">
        <f>_xlfn.XLOOKUP(PE_3[[#This Row],[STN]],SE_3[STN],SE_3[IdeaEligibility],"w/o disability",0)</f>
        <v>w/o disability</v>
      </c>
      <c r="F714" t="str">
        <f>_xlfn.XLOOKUP(PE_3[[#This Row],[STN]],SE_3[STN],SE_3[Ethnicity],"",0)</f>
        <v/>
      </c>
    </row>
    <row r="715" spans="1:6" ht="13.9">
      <c r="A715" s="3">
        <v>13715109</v>
      </c>
      <c r="B715" s="10">
        <v>38916</v>
      </c>
      <c r="C715" s="19">
        <v>16.373006925430825</v>
      </c>
      <c r="D715" s="3"/>
      <c r="E715" t="str">
        <f>_xlfn.XLOOKUP(PE_3[[#This Row],[STN]],SE_3[STN],SE_3[IdeaEligibility],"w/o disability",0)</f>
        <v>w/o disability</v>
      </c>
      <c r="F715" t="str">
        <f>_xlfn.XLOOKUP(PE_3[[#This Row],[STN]],SE_3[STN],SE_3[Ethnicity],"",0)</f>
        <v/>
      </c>
    </row>
    <row r="716" spans="1:6" ht="13.9">
      <c r="A716" s="3">
        <v>13615111</v>
      </c>
      <c r="B716" s="10">
        <v>39745</v>
      </c>
      <c r="C716" s="19">
        <v>14.102025917138164</v>
      </c>
      <c r="D716" s="3"/>
      <c r="E716" t="str">
        <f>_xlfn.XLOOKUP(PE_3[[#This Row],[STN]],SE_3[STN],SE_3[IdeaEligibility],"w/o disability",0)</f>
        <v>w/o disability</v>
      </c>
      <c r="F716" t="str">
        <f>_xlfn.XLOOKUP(PE_3[[#This Row],[STN]],SE_3[STN],SE_3[Ethnicity],"",0)</f>
        <v/>
      </c>
    </row>
    <row r="717" spans="1:6" ht="13.9">
      <c r="A717" s="3">
        <v>14116033</v>
      </c>
      <c r="B717" s="10">
        <v>38445</v>
      </c>
      <c r="C717" s="19">
        <v>17.663218740492852</v>
      </c>
      <c r="D717" s="3"/>
      <c r="E717" t="str">
        <f>_xlfn.XLOOKUP(PE_3[[#This Row],[STN]],SE_3[STN],SE_3[IdeaEligibility],"w/o disability",0)</f>
        <v>w/o disability</v>
      </c>
      <c r="F717" t="str">
        <f>_xlfn.XLOOKUP(PE_3[[#This Row],[STN]],SE_3[STN],SE_3[Ethnicity],"",0)</f>
        <v/>
      </c>
    </row>
    <row r="718" spans="1:6" ht="13.9">
      <c r="A718" s="3">
        <v>14916084</v>
      </c>
      <c r="B718" s="10">
        <v>38608</v>
      </c>
      <c r="C718" s="19">
        <v>17.216915120170366</v>
      </c>
      <c r="D718" s="3"/>
      <c r="E718" t="str">
        <f>_xlfn.XLOOKUP(PE_3[[#This Row],[STN]],SE_3[STN],SE_3[IdeaEligibility],"w/o disability",0)</f>
        <v>w/o disability</v>
      </c>
      <c r="F718" t="str">
        <f>_xlfn.XLOOKUP(PE_3[[#This Row],[STN]],SE_3[STN],SE_3[Ethnicity],"",0)</f>
        <v/>
      </c>
    </row>
    <row r="719" spans="1:6" ht="13.9">
      <c r="A719" s="3">
        <v>13615112</v>
      </c>
      <c r="B719" s="10">
        <v>38288</v>
      </c>
      <c r="C719" s="19">
        <v>18.091066282420751</v>
      </c>
      <c r="D719" s="3"/>
      <c r="E719" t="str">
        <f>_xlfn.XLOOKUP(PE_3[[#This Row],[STN]],SE_3[STN],SE_3[IdeaEligibility],"w/o disability",0)</f>
        <v>w/o disability</v>
      </c>
      <c r="F719" t="str">
        <f>_xlfn.XLOOKUP(PE_3[[#This Row],[STN]],SE_3[STN],SE_3[Ethnicity],"",0)</f>
        <v/>
      </c>
    </row>
    <row r="720" spans="1:6" ht="13.9">
      <c r="A720" s="3">
        <v>13615110</v>
      </c>
      <c r="B720" s="10">
        <v>39181</v>
      </c>
      <c r="C720" s="19">
        <v>15.646817248459959</v>
      </c>
      <c r="D720" s="3"/>
      <c r="E720" t="str">
        <f>_xlfn.XLOOKUP(PE_3[[#This Row],[STN]],SE_3[STN],SE_3[IdeaEligibility],"w/o disability",0)</f>
        <v>w/o disability</v>
      </c>
      <c r="F720" t="str">
        <f>_xlfn.XLOOKUP(PE_3[[#This Row],[STN]],SE_3[STN],SE_3[Ethnicity],"",0)</f>
        <v/>
      </c>
    </row>
    <row r="721" spans="1:6" ht="13.9">
      <c r="A721" s="3">
        <v>19716084</v>
      </c>
      <c r="B721" s="10">
        <v>38485</v>
      </c>
      <c r="C721" s="19">
        <v>17.553696379677518</v>
      </c>
      <c r="D721" s="3"/>
      <c r="E721" t="str">
        <f>_xlfn.XLOOKUP(PE_3[[#This Row],[STN]],SE_3[STN],SE_3[IdeaEligibility],"w/o disability",0)</f>
        <v>w/o disability</v>
      </c>
      <c r="F721" t="str">
        <f>_xlfn.XLOOKUP(PE_3[[#This Row],[STN]],SE_3[STN],SE_3[Ethnicity],"",0)</f>
        <v/>
      </c>
    </row>
    <row r="722" spans="1:6" ht="13.9">
      <c r="A722" s="3">
        <v>10521014</v>
      </c>
      <c r="B722" s="10">
        <v>38184</v>
      </c>
      <c r="C722" s="19">
        <v>18.375792507204611</v>
      </c>
      <c r="D722" s="3"/>
      <c r="E722" t="str">
        <f>_xlfn.XLOOKUP(PE_3[[#This Row],[STN]],SE_3[STN],SE_3[IdeaEligibility],"w/o disability",0)</f>
        <v>w/o disability</v>
      </c>
      <c r="F722" t="str">
        <f>_xlfn.XLOOKUP(PE_3[[#This Row],[STN]],SE_3[STN],SE_3[Ethnicity],"",0)</f>
        <v/>
      </c>
    </row>
    <row r="723" spans="1:6" ht="13.9">
      <c r="A723" s="3">
        <v>12821004</v>
      </c>
      <c r="B723" s="10">
        <v>39450</v>
      </c>
      <c r="C723" s="19">
        <v>14.90965504654134</v>
      </c>
      <c r="D723" s="3"/>
      <c r="E723" t="str">
        <f>_xlfn.XLOOKUP(PE_3[[#This Row],[STN]],SE_3[STN],SE_3[IdeaEligibility],"w/o disability",0)</f>
        <v>w/o disability</v>
      </c>
      <c r="F723" t="str">
        <f>_xlfn.XLOOKUP(PE_3[[#This Row],[STN]],SE_3[STN],SE_3[Ethnicity],"",0)</f>
        <v/>
      </c>
    </row>
    <row r="724" spans="1:6" ht="13.9">
      <c r="A724" s="3">
        <v>4721018</v>
      </c>
      <c r="B724" s="10">
        <v>38517</v>
      </c>
      <c r="C724" s="19">
        <v>17.46607849102525</v>
      </c>
      <c r="D724" s="3"/>
      <c r="E724" t="str">
        <f>_xlfn.XLOOKUP(PE_3[[#This Row],[STN]],SE_3[STN],SE_3[IdeaEligibility],"w/o disability",0)</f>
        <v>w/o disability</v>
      </c>
      <c r="F724" t="str">
        <f>_xlfn.XLOOKUP(PE_3[[#This Row],[STN]],SE_3[STN],SE_3[Ethnicity],"",0)</f>
        <v/>
      </c>
    </row>
    <row r="725" spans="1:6" ht="13.9">
      <c r="A725" s="3">
        <v>12721001</v>
      </c>
      <c r="B725" s="10">
        <v>39028</v>
      </c>
      <c r="C725" s="19">
        <v>16.066355290707037</v>
      </c>
      <c r="D725" s="3"/>
      <c r="E725" t="str">
        <f>_xlfn.XLOOKUP(PE_3[[#This Row],[STN]],SE_3[STN],SE_3[IdeaEligibility],"w/o disability",0)</f>
        <v>w/o disability</v>
      </c>
      <c r="F725" t="str">
        <f>_xlfn.XLOOKUP(PE_3[[#This Row],[STN]],SE_3[STN],SE_3[Ethnicity],"",0)</f>
        <v/>
      </c>
    </row>
    <row r="726" spans="1:6" ht="13.9">
      <c r="A726" s="3">
        <v>12821006</v>
      </c>
      <c r="B726" s="10">
        <v>39435</v>
      </c>
      <c r="C726" s="19">
        <v>14.951403148528405</v>
      </c>
      <c r="D726" s="3"/>
      <c r="E726" t="str">
        <f>_xlfn.XLOOKUP(PE_3[[#This Row],[STN]],SE_3[STN],SE_3[IdeaEligibility],"w/o disability",0)</f>
        <v>w/o disability</v>
      </c>
      <c r="F726" t="str">
        <f>_xlfn.XLOOKUP(PE_3[[#This Row],[STN]],SE_3[STN],SE_3[Ethnicity],"",0)</f>
        <v/>
      </c>
    </row>
    <row r="727" spans="1:6" ht="13.9">
      <c r="A727" s="3">
        <v>10521001</v>
      </c>
      <c r="B727" s="10">
        <v>38688</v>
      </c>
      <c r="C727" s="19">
        <v>16.997870398539703</v>
      </c>
      <c r="D727" s="3"/>
      <c r="E727" t="str">
        <f>_xlfn.XLOOKUP(PE_3[[#This Row],[STN]],SE_3[STN],SE_3[IdeaEligibility],"w/o disability",0)</f>
        <v>w/o disability</v>
      </c>
      <c r="F727" t="str">
        <f>_xlfn.XLOOKUP(PE_3[[#This Row],[STN]],SE_3[STN],SE_3[Ethnicity],"",0)</f>
        <v/>
      </c>
    </row>
    <row r="728" spans="1:6" ht="13.9">
      <c r="A728" s="3">
        <v>10221001</v>
      </c>
      <c r="B728" s="10">
        <v>38744</v>
      </c>
      <c r="C728" s="19">
        <v>16.843936221613784</v>
      </c>
      <c r="D728" s="3"/>
      <c r="E728" t="str">
        <f>_xlfn.XLOOKUP(PE_3[[#This Row],[STN]],SE_3[STN],SE_3[IdeaEligibility],"w/o disability",0)</f>
        <v>w/o disability</v>
      </c>
      <c r="F728" t="str">
        <f>_xlfn.XLOOKUP(PE_3[[#This Row],[STN]],SE_3[STN],SE_3[Ethnicity],"",0)</f>
        <v/>
      </c>
    </row>
    <row r="729" spans="1:6" ht="13.9">
      <c r="A729" s="3">
        <v>17721001</v>
      </c>
      <c r="B729" s="10">
        <v>38718</v>
      </c>
      <c r="C729" s="19">
        <v>16.915123208246094</v>
      </c>
      <c r="D729" s="3"/>
      <c r="E729" t="str">
        <f>_xlfn.XLOOKUP(PE_3[[#This Row],[STN]],SE_3[STN],SE_3[IdeaEligibility],"w/o disability",0)</f>
        <v>w/o disability</v>
      </c>
      <c r="F729" t="str">
        <f>_xlfn.XLOOKUP(PE_3[[#This Row],[STN]],SE_3[STN],SE_3[Ethnicity],"",0)</f>
        <v/>
      </c>
    </row>
    <row r="730" spans="1:6" ht="13.9">
      <c r="A730" s="3">
        <v>12621001</v>
      </c>
      <c r="B730" s="10">
        <v>39460</v>
      </c>
      <c r="C730" s="19">
        <v>14.882277787917504</v>
      </c>
      <c r="D730" s="3"/>
      <c r="E730" t="str">
        <f>_xlfn.XLOOKUP(PE_3[[#This Row],[STN]],SE_3[STN],SE_3[IdeaEligibility],"w/o disability",0)</f>
        <v>w/o disability</v>
      </c>
      <c r="F730" t="str">
        <f>_xlfn.XLOOKUP(PE_3[[#This Row],[STN]],SE_3[STN],SE_3[Ethnicity],"",0)</f>
        <v/>
      </c>
    </row>
    <row r="731" spans="1:6" ht="13.9">
      <c r="A731" s="3">
        <v>10521010</v>
      </c>
      <c r="B731" s="10">
        <v>38135</v>
      </c>
      <c r="C731" s="19">
        <v>18.509942363112394</v>
      </c>
      <c r="D731" s="3"/>
      <c r="E731" t="str">
        <f>_xlfn.XLOOKUP(PE_3[[#This Row],[STN]],SE_3[STN],SE_3[IdeaEligibility],"w/o disability",0)</f>
        <v>w/o disability</v>
      </c>
      <c r="F731" t="str">
        <f>_xlfn.XLOOKUP(PE_3[[#This Row],[STN]],SE_3[STN],SE_3[Ethnicity],"",0)</f>
        <v/>
      </c>
    </row>
    <row r="732" spans="1:6" ht="13.9">
      <c r="A732" s="3">
        <v>10521009</v>
      </c>
      <c r="B732" s="10">
        <v>38560</v>
      </c>
      <c r="C732" s="19">
        <v>17.348341953148768</v>
      </c>
      <c r="D732" s="3"/>
      <c r="E732" t="str">
        <f>_xlfn.XLOOKUP(PE_3[[#This Row],[STN]],SE_3[STN],SE_3[IdeaEligibility],"w/o disability",0)</f>
        <v>w/o disability</v>
      </c>
      <c r="F732" t="str">
        <f>_xlfn.XLOOKUP(PE_3[[#This Row],[STN]],SE_3[STN],SE_3[Ethnicity],"",0)</f>
        <v/>
      </c>
    </row>
    <row r="733" spans="1:6" ht="13.9">
      <c r="A733" s="3">
        <v>10521023</v>
      </c>
      <c r="B733" s="10">
        <v>38905</v>
      </c>
      <c r="C733" s="19">
        <v>16.403124496698339</v>
      </c>
      <c r="D733" s="3"/>
      <c r="E733" t="str">
        <f>_xlfn.XLOOKUP(PE_3[[#This Row],[STN]],SE_3[STN],SE_3[IdeaEligibility],"w/o disability",0)</f>
        <v>w/o disability</v>
      </c>
      <c r="F733" t="str">
        <f>_xlfn.XLOOKUP(PE_3[[#This Row],[STN]],SE_3[STN],SE_3[Ethnicity],"",0)</f>
        <v/>
      </c>
    </row>
    <row r="734" spans="1:6" ht="13.9">
      <c r="A734" s="3">
        <v>10521021</v>
      </c>
      <c r="B734" s="10">
        <v>38602</v>
      </c>
      <c r="C734" s="19">
        <v>17.233343474292667</v>
      </c>
      <c r="D734" s="3"/>
      <c r="E734" t="str">
        <f>_xlfn.XLOOKUP(PE_3[[#This Row],[STN]],SE_3[STN],SE_3[IdeaEligibility],"w/o disability",0)</f>
        <v>w/o disability</v>
      </c>
      <c r="F734" t="str">
        <f>_xlfn.XLOOKUP(PE_3[[#This Row],[STN]],SE_3[STN],SE_3[Ethnicity],"",0)</f>
        <v/>
      </c>
    </row>
    <row r="735" spans="1:6" ht="13.9">
      <c r="A735" s="3">
        <v>10521019</v>
      </c>
      <c r="B735" s="10">
        <v>38554</v>
      </c>
      <c r="C735" s="19">
        <v>17.364770307271069</v>
      </c>
      <c r="D735" s="3"/>
      <c r="E735" t="str">
        <f>_xlfn.XLOOKUP(PE_3[[#This Row],[STN]],SE_3[STN],SE_3[IdeaEligibility],"w/o disability",0)</f>
        <v>w/o disability</v>
      </c>
      <c r="F735" t="str">
        <f>_xlfn.XLOOKUP(PE_3[[#This Row],[STN]],SE_3[STN],SE_3[Ethnicity],"",0)</f>
        <v/>
      </c>
    </row>
    <row r="736" spans="1:6" ht="13.9">
      <c r="A736" s="3">
        <v>10521007</v>
      </c>
      <c r="B736" s="10">
        <v>38256</v>
      </c>
      <c r="C736" s="19">
        <v>18.178674351585016</v>
      </c>
      <c r="D736" s="3"/>
      <c r="E736" t="str">
        <f>_xlfn.XLOOKUP(PE_3[[#This Row],[STN]],SE_3[STN],SE_3[IdeaEligibility],"w/o disability",0)</f>
        <v>w/o disability</v>
      </c>
      <c r="F736" t="str">
        <f>_xlfn.XLOOKUP(PE_3[[#This Row],[STN]],SE_3[STN],SE_3[Ethnicity],"",0)</f>
        <v/>
      </c>
    </row>
    <row r="737" spans="1:6" ht="13.9">
      <c r="A737" s="3">
        <v>12121006</v>
      </c>
      <c r="B737" s="10">
        <v>39421</v>
      </c>
      <c r="C737" s="19">
        <v>14.989733059548255</v>
      </c>
      <c r="D737" s="3"/>
      <c r="E737" t="str">
        <f>_xlfn.XLOOKUP(PE_3[[#This Row],[STN]],SE_3[STN],SE_3[IdeaEligibility],"w/o disability",0)</f>
        <v>w/o disability</v>
      </c>
      <c r="F737" t="str">
        <f>_xlfn.XLOOKUP(PE_3[[#This Row],[STN]],SE_3[STN],SE_3[Ethnicity],"",0)</f>
        <v/>
      </c>
    </row>
    <row r="738" spans="1:6" ht="13.9">
      <c r="A738" s="3">
        <v>12121003</v>
      </c>
      <c r="B738" s="10">
        <v>39682</v>
      </c>
      <c r="C738" s="19">
        <v>14.274502646468335</v>
      </c>
      <c r="D738" s="3"/>
      <c r="E738" t="str">
        <f>_xlfn.XLOOKUP(PE_3[[#This Row],[STN]],SE_3[STN],SE_3[IdeaEligibility],"w/o disability",0)</f>
        <v>w/o disability</v>
      </c>
      <c r="F738" t="str">
        <f>_xlfn.XLOOKUP(PE_3[[#This Row],[STN]],SE_3[STN],SE_3[Ethnicity],"",0)</f>
        <v/>
      </c>
    </row>
    <row r="739" spans="1:6" ht="13.9">
      <c r="A739" s="3">
        <v>12121004</v>
      </c>
      <c r="B739" s="10">
        <v>39323</v>
      </c>
      <c r="C739" s="19">
        <v>15.2580424366872</v>
      </c>
      <c r="D739" s="3"/>
      <c r="E739" t="str">
        <f>_xlfn.XLOOKUP(PE_3[[#This Row],[STN]],SE_3[STN],SE_3[IdeaEligibility],"w/o disability",0)</f>
        <v>w/o disability</v>
      </c>
      <c r="F739" t="str">
        <f>_xlfn.XLOOKUP(PE_3[[#This Row],[STN]],SE_3[STN],SE_3[Ethnicity],"",0)</f>
        <v/>
      </c>
    </row>
    <row r="740" spans="1:6" ht="13.9">
      <c r="A740" s="3">
        <v>12121005</v>
      </c>
      <c r="B740" s="10">
        <v>39163</v>
      </c>
      <c r="C740" s="19">
        <v>15.696098562628336</v>
      </c>
      <c r="D740" s="3"/>
      <c r="E740" t="str">
        <f>_xlfn.XLOOKUP(PE_3[[#This Row],[STN]],SE_3[STN],SE_3[IdeaEligibility],"w/o disability",0)</f>
        <v>w/o disability</v>
      </c>
      <c r="F740" t="str">
        <f>_xlfn.XLOOKUP(PE_3[[#This Row],[STN]],SE_3[STN],SE_3[Ethnicity],"",0)</f>
        <v/>
      </c>
    </row>
    <row r="741" spans="1:6" ht="13.9">
      <c r="A741" s="3">
        <v>10521004</v>
      </c>
      <c r="B741" s="10">
        <v>38454</v>
      </c>
      <c r="C741" s="19">
        <v>17.638576209309399</v>
      </c>
      <c r="D741" s="3"/>
      <c r="E741" t="str">
        <f>_xlfn.XLOOKUP(PE_3[[#This Row],[STN]],SE_3[STN],SE_3[IdeaEligibility],"w/o disability",0)</f>
        <v>w/o disability</v>
      </c>
      <c r="F741" t="str">
        <f>_xlfn.XLOOKUP(PE_3[[#This Row],[STN]],SE_3[STN],SE_3[Ethnicity],"",0)</f>
        <v/>
      </c>
    </row>
    <row r="742" spans="1:6" ht="13.9">
      <c r="A742" s="3">
        <v>10521005</v>
      </c>
      <c r="B742" s="10">
        <v>38915</v>
      </c>
      <c r="C742" s="19">
        <v>16.375744886455145</v>
      </c>
      <c r="D742" s="3"/>
      <c r="E742" t="str">
        <f>_xlfn.XLOOKUP(PE_3[[#This Row],[STN]],SE_3[STN],SE_3[IdeaEligibility],"w/o disability",0)</f>
        <v>w/o disability</v>
      </c>
      <c r="F742" t="str">
        <f>_xlfn.XLOOKUP(PE_3[[#This Row],[STN]],SE_3[STN],SE_3[Ethnicity],"",0)</f>
        <v/>
      </c>
    </row>
    <row r="743" spans="1:6" ht="13.9">
      <c r="A743" s="3">
        <v>10521006</v>
      </c>
      <c r="B743" s="10">
        <v>38911</v>
      </c>
      <c r="C743" s="19">
        <v>16.386696730552423</v>
      </c>
      <c r="D743" s="3"/>
      <c r="E743" t="str">
        <f>_xlfn.XLOOKUP(PE_3[[#This Row],[STN]],SE_3[STN],SE_3[IdeaEligibility],"w/o disability",0)</f>
        <v>w/o disability</v>
      </c>
      <c r="F743" t="str">
        <f>_xlfn.XLOOKUP(PE_3[[#This Row],[STN]],SE_3[STN],SE_3[Ethnicity],"",0)</f>
        <v/>
      </c>
    </row>
    <row r="744" spans="1:6" ht="13.9">
      <c r="A744" s="3">
        <v>12120010</v>
      </c>
      <c r="B744" s="10">
        <v>39347</v>
      </c>
      <c r="C744" s="19">
        <v>15.19233401779603</v>
      </c>
      <c r="D744" s="3"/>
      <c r="E744" t="str">
        <f>_xlfn.XLOOKUP(PE_3[[#This Row],[STN]],SE_3[STN],SE_3[IdeaEligibility],"w/o disability",0)</f>
        <v>w/o disability</v>
      </c>
      <c r="F744" t="str">
        <f>_xlfn.XLOOKUP(PE_3[[#This Row],[STN]],SE_3[STN],SE_3[Ethnicity],"",0)</f>
        <v/>
      </c>
    </row>
    <row r="745" spans="1:6" ht="13.9">
      <c r="A745" s="5">
        <v>529120029</v>
      </c>
      <c r="B745" s="10">
        <v>38768</v>
      </c>
      <c r="C745" s="19">
        <v>16.778225157030118</v>
      </c>
      <c r="D745" s="3"/>
      <c r="E745" t="str">
        <f>_xlfn.XLOOKUP(PE_3[[#This Row],[STN]],SE_3[STN],SE_3[IdeaEligibility],"w/o disability",0)</f>
        <v>w/o disability</v>
      </c>
      <c r="F745" t="str">
        <f>_xlfn.XLOOKUP(PE_3[[#This Row],[STN]],SE_3[STN],SE_3[Ethnicity],"",0)</f>
        <v/>
      </c>
    </row>
    <row r="746" spans="1:6" ht="13.9">
      <c r="A746" s="3">
        <v>10520036</v>
      </c>
      <c r="B746" s="10">
        <v>37958</v>
      </c>
      <c r="C746" s="19">
        <v>18.99520876112252</v>
      </c>
      <c r="D746" s="3"/>
      <c r="E746" t="str">
        <f>_xlfn.XLOOKUP(PE_3[[#This Row],[STN]],SE_3[STN],SE_3[IdeaEligibility],"w/o disability",0)</f>
        <v>w/o disability</v>
      </c>
      <c r="F746" t="str">
        <f>_xlfn.XLOOKUP(PE_3[[#This Row],[STN]],SE_3[STN],SE_3[Ethnicity],"",0)</f>
        <v/>
      </c>
    </row>
    <row r="747" spans="1:6" ht="13.9">
      <c r="A747" s="5">
        <v>529520019</v>
      </c>
      <c r="B747" s="10">
        <v>39596</v>
      </c>
      <c r="C747" s="19">
        <v>14.509947070633327</v>
      </c>
      <c r="D747" s="3"/>
      <c r="E747" t="str">
        <f>_xlfn.XLOOKUP(PE_3[[#This Row],[STN]],SE_3[STN],SE_3[IdeaEligibility],"w/o disability",0)</f>
        <v>w/o disability</v>
      </c>
      <c r="F747" t="str">
        <f>_xlfn.XLOOKUP(PE_3[[#This Row],[STN]],SE_3[STN],SE_3[Ethnicity],"",0)</f>
        <v/>
      </c>
    </row>
    <row r="748" spans="1:6" ht="13.9">
      <c r="A748" s="3">
        <v>12120007</v>
      </c>
      <c r="B748" s="10">
        <v>38919</v>
      </c>
      <c r="C748" s="19">
        <v>16.364793042357867</v>
      </c>
      <c r="D748" s="3"/>
      <c r="E748" t="str">
        <f>_xlfn.XLOOKUP(PE_3[[#This Row],[STN]],SE_3[STN],SE_3[IdeaEligibility],"w/o disability",0)</f>
        <v>w/o disability</v>
      </c>
      <c r="F748" t="str">
        <f>_xlfn.XLOOKUP(PE_3[[#This Row],[STN]],SE_3[STN],SE_3[Ethnicity],"",0)</f>
        <v/>
      </c>
    </row>
    <row r="749" spans="1:6" ht="13.9">
      <c r="A749" s="3">
        <v>12820106</v>
      </c>
      <c r="B749" s="10">
        <v>39374</v>
      </c>
      <c r="C749" s="19">
        <v>15.118412046543463</v>
      </c>
      <c r="D749" s="3"/>
      <c r="E749" t="str">
        <f>_xlfn.XLOOKUP(PE_3[[#This Row],[STN]],SE_3[STN],SE_3[IdeaEligibility],"w/o disability",0)</f>
        <v>w/o disability</v>
      </c>
      <c r="F749" t="str">
        <f>_xlfn.XLOOKUP(PE_3[[#This Row],[STN]],SE_3[STN],SE_3[Ethnicity],"",0)</f>
        <v/>
      </c>
    </row>
    <row r="750" spans="1:6" ht="13.9">
      <c r="A750" s="3">
        <v>12120006</v>
      </c>
      <c r="B750" s="10">
        <v>39478</v>
      </c>
      <c r="C750" s="19">
        <v>14.832998722394597</v>
      </c>
      <c r="D750" s="3"/>
      <c r="E750" t="str">
        <f>_xlfn.XLOOKUP(PE_3[[#This Row],[STN]],SE_3[STN],SE_3[IdeaEligibility],"w/o disability",0)</f>
        <v>w/o disability</v>
      </c>
      <c r="F750" t="str">
        <f>_xlfn.XLOOKUP(PE_3[[#This Row],[STN]],SE_3[STN],SE_3[Ethnicity],"",0)</f>
        <v/>
      </c>
    </row>
    <row r="751" spans="1:6" ht="13.9">
      <c r="A751" s="3">
        <v>21920023</v>
      </c>
      <c r="B751" s="10">
        <v>37717</v>
      </c>
      <c r="C751" s="19">
        <v>19.655030800821354</v>
      </c>
      <c r="D751" s="3"/>
      <c r="E751" t="str">
        <f>_xlfn.XLOOKUP(PE_3[[#This Row],[STN]],SE_3[STN],SE_3[IdeaEligibility],"w/o disability",0)</f>
        <v>w/o disability</v>
      </c>
      <c r="F751" t="str">
        <f>_xlfn.XLOOKUP(PE_3[[#This Row],[STN]],SE_3[STN],SE_3[Ethnicity],"",0)</f>
        <v/>
      </c>
    </row>
    <row r="752" spans="1:6" ht="13.9">
      <c r="A752" s="3">
        <v>12620004</v>
      </c>
      <c r="B752" s="10">
        <v>39660</v>
      </c>
      <c r="C752" s="19">
        <v>14.334732615440775</v>
      </c>
      <c r="D752" s="3"/>
      <c r="E752" t="str">
        <f>_xlfn.XLOOKUP(PE_3[[#This Row],[STN]],SE_3[STN],SE_3[IdeaEligibility],"w/o disability",0)</f>
        <v>w/o disability</v>
      </c>
      <c r="F752" t="str">
        <f>_xlfn.XLOOKUP(PE_3[[#This Row],[STN]],SE_3[STN],SE_3[Ethnicity],"",0)</f>
        <v/>
      </c>
    </row>
    <row r="753" spans="1:6" ht="13.9">
      <c r="A753" s="3">
        <v>12120001</v>
      </c>
      <c r="B753" s="10">
        <v>38744</v>
      </c>
      <c r="C753" s="19">
        <v>16.843936221613784</v>
      </c>
      <c r="D753" s="3"/>
      <c r="E753" t="str">
        <f>_xlfn.XLOOKUP(PE_3[[#This Row],[STN]],SE_3[STN],SE_3[IdeaEligibility],"w/o disability",0)</f>
        <v>w/o disability</v>
      </c>
      <c r="F753" t="str">
        <f>_xlfn.XLOOKUP(PE_3[[#This Row],[STN]],SE_3[STN],SE_3[Ethnicity],"",0)</f>
        <v/>
      </c>
    </row>
    <row r="754" spans="1:6" ht="13.9">
      <c r="A754" s="3">
        <v>12120002</v>
      </c>
      <c r="B754" s="10">
        <v>39398</v>
      </c>
      <c r="C754" s="19">
        <v>15.052703627652292</v>
      </c>
      <c r="D754" s="3"/>
      <c r="E754" t="str">
        <f>_xlfn.XLOOKUP(PE_3[[#This Row],[STN]],SE_3[STN],SE_3[IdeaEligibility],"w/o disability",0)</f>
        <v>w/o disability</v>
      </c>
      <c r="F754" t="str">
        <f>_xlfn.XLOOKUP(PE_3[[#This Row],[STN]],SE_3[STN],SE_3[Ethnicity],"",0)</f>
        <v/>
      </c>
    </row>
    <row r="755" spans="1:6" ht="13.9">
      <c r="A755" s="3">
        <v>10520021</v>
      </c>
      <c r="B755" s="10">
        <v>38377</v>
      </c>
      <c r="C755" s="19">
        <v>17.849406753878917</v>
      </c>
      <c r="D755" s="3"/>
      <c r="E755" t="str">
        <f>_xlfn.XLOOKUP(PE_3[[#This Row],[STN]],SE_3[STN],SE_3[IdeaEligibility],"w/o disability",0)</f>
        <v>w/o disability</v>
      </c>
      <c r="F755" t="str">
        <f>_xlfn.XLOOKUP(PE_3[[#This Row],[STN]],SE_3[STN],SE_3[Ethnicity],"",0)</f>
        <v/>
      </c>
    </row>
    <row r="756" spans="1:6" ht="13.9">
      <c r="A756" s="3">
        <v>12620013</v>
      </c>
      <c r="B756" s="10">
        <v>39171</v>
      </c>
      <c r="C756" s="19">
        <v>15.674195756331279</v>
      </c>
      <c r="D756" s="3"/>
      <c r="E756" t="str">
        <f>_xlfn.XLOOKUP(PE_3[[#This Row],[STN]],SE_3[STN],SE_3[IdeaEligibility],"w/o disability",0)</f>
        <v>w/o disability</v>
      </c>
      <c r="F756" t="str">
        <f>_xlfn.XLOOKUP(PE_3[[#This Row],[STN]],SE_3[STN],SE_3[Ethnicity],"",0)</f>
        <v/>
      </c>
    </row>
    <row r="757" spans="1:6" ht="13.9">
      <c r="A757" s="3">
        <v>24020011</v>
      </c>
      <c r="B757" s="10">
        <v>39468</v>
      </c>
      <c r="C757" s="19">
        <v>14.860375981018434</v>
      </c>
      <c r="D757" s="3"/>
      <c r="E757" t="str">
        <f>_xlfn.XLOOKUP(PE_3[[#This Row],[STN]],SE_3[STN],SE_3[IdeaEligibility],"w/o disability",0)</f>
        <v>w/o disability</v>
      </c>
      <c r="F757" t="str">
        <f>_xlfn.XLOOKUP(PE_3[[#This Row],[STN]],SE_3[STN],SE_3[Ethnicity],"",0)</f>
        <v/>
      </c>
    </row>
    <row r="758" spans="1:6" ht="13.9">
      <c r="A758" s="3">
        <v>13320003</v>
      </c>
      <c r="B758" s="10">
        <v>39034</v>
      </c>
      <c r="C758" s="19">
        <v>16.04992752456112</v>
      </c>
      <c r="D758" s="3"/>
      <c r="E758" t="str">
        <f>_xlfn.XLOOKUP(PE_3[[#This Row],[STN]],SE_3[STN],SE_3[IdeaEligibility],"w/o disability",0)</f>
        <v>w/o disability</v>
      </c>
      <c r="F758" t="str">
        <f>_xlfn.XLOOKUP(PE_3[[#This Row],[STN]],SE_3[STN],SE_3[Ethnicity],"",0)</f>
        <v/>
      </c>
    </row>
    <row r="759" spans="1:6" ht="13.9">
      <c r="A759" s="3">
        <v>10523026</v>
      </c>
      <c r="B759" s="10">
        <v>39345</v>
      </c>
      <c r="C759" s="19">
        <v>15.197809719370294</v>
      </c>
      <c r="D759" s="3"/>
      <c r="E759" t="str">
        <f>_xlfn.XLOOKUP(PE_3[[#This Row],[STN]],SE_3[STN],SE_3[IdeaEligibility],"w/o disability",0)</f>
        <v>w/o disability</v>
      </c>
      <c r="F759" t="str">
        <f>_xlfn.XLOOKUP(PE_3[[#This Row],[STN]],SE_3[STN],SE_3[Ethnicity],"",0)</f>
        <v/>
      </c>
    </row>
    <row r="760" spans="1:6" ht="13.9">
      <c r="A760" s="3">
        <v>10520025</v>
      </c>
      <c r="B760" s="10">
        <v>38452</v>
      </c>
      <c r="C760" s="19">
        <v>17.644052327350167</v>
      </c>
      <c r="D760" s="3"/>
      <c r="E760" t="str">
        <f>_xlfn.XLOOKUP(PE_3[[#This Row],[STN]],SE_3[STN],SE_3[IdeaEligibility],"w/o disability",0)</f>
        <v>w/o disability</v>
      </c>
      <c r="F760" t="str">
        <f>_xlfn.XLOOKUP(PE_3[[#This Row],[STN]],SE_3[STN],SE_3[Ethnicity],"",0)</f>
        <v/>
      </c>
    </row>
    <row r="761" spans="1:6" ht="13.9">
      <c r="A761" s="3">
        <v>6718071</v>
      </c>
      <c r="B761" s="10">
        <v>39378</v>
      </c>
      <c r="C761" s="19">
        <v>15.107460643394935</v>
      </c>
      <c r="D761" s="3"/>
      <c r="E761" t="str">
        <f>_xlfn.XLOOKUP(PE_3[[#This Row],[STN]],SE_3[STN],SE_3[IdeaEligibility],"w/o disability",0)</f>
        <v>w/o disability</v>
      </c>
      <c r="F761" t="str">
        <f>_xlfn.XLOOKUP(PE_3[[#This Row],[STN]],SE_3[STN],SE_3[Ethnicity],"",0)</f>
        <v/>
      </c>
    </row>
    <row r="762" spans="1:6" ht="13.9">
      <c r="A762" s="5">
        <v>231520322</v>
      </c>
      <c r="B762" s="10">
        <v>39589</v>
      </c>
      <c r="C762" s="19">
        <v>14.529111151670014</v>
      </c>
      <c r="D762" s="3"/>
      <c r="E762" t="str">
        <f>_xlfn.XLOOKUP(PE_3[[#This Row],[STN]],SE_3[STN],SE_3[IdeaEligibility],"w/o disability",0)</f>
        <v>w/o disability</v>
      </c>
      <c r="F762" t="str">
        <f>_xlfn.XLOOKUP(PE_3[[#This Row],[STN]],SE_3[STN],SE_3[Ethnicity],"",0)</f>
        <v/>
      </c>
    </row>
    <row r="763" spans="1:6" ht="13.9">
      <c r="A763" s="3">
        <v>29720013</v>
      </c>
      <c r="B763" s="10">
        <v>38382</v>
      </c>
      <c r="C763" s="19">
        <v>17.835716458777</v>
      </c>
      <c r="D763" s="3"/>
      <c r="E763" t="str">
        <f>_xlfn.XLOOKUP(PE_3[[#This Row],[STN]],SE_3[STN],SE_3[IdeaEligibility],"w/o disability",0)</f>
        <v>w/o disability</v>
      </c>
      <c r="F763" t="str">
        <f>_xlfn.XLOOKUP(PE_3[[#This Row],[STN]],SE_3[STN],SE_3[Ethnicity],"",0)</f>
        <v/>
      </c>
    </row>
    <row r="764" spans="1:6" ht="13.9">
      <c r="A764" s="3">
        <v>24020003</v>
      </c>
      <c r="B764" s="10">
        <v>38757</v>
      </c>
      <c r="C764" s="19">
        <v>16.808342728297632</v>
      </c>
      <c r="D764" s="3"/>
      <c r="E764" t="str">
        <f>_xlfn.XLOOKUP(PE_3[[#This Row],[STN]],SE_3[STN],SE_3[IdeaEligibility],"w/o disability",0)</f>
        <v>w/o disability</v>
      </c>
      <c r="F764" t="str">
        <f>_xlfn.XLOOKUP(PE_3[[#This Row],[STN]],SE_3[STN],SE_3[Ethnicity],"",0)</f>
        <v/>
      </c>
    </row>
    <row r="765" spans="1:6" ht="13.9">
      <c r="A765" s="3">
        <v>12920020</v>
      </c>
      <c r="B765" s="10">
        <v>39496</v>
      </c>
      <c r="C765" s="19">
        <v>14.783719656871693</v>
      </c>
      <c r="D765" s="3"/>
      <c r="E765" t="str">
        <f>_xlfn.XLOOKUP(PE_3[[#This Row],[STN]],SE_3[STN],SE_3[IdeaEligibility],"w/o disability",0)</f>
        <v>w/o disability</v>
      </c>
      <c r="F765" t="str">
        <f>_xlfn.XLOOKUP(PE_3[[#This Row],[STN]],SE_3[STN],SE_3[Ethnicity],"",0)</f>
        <v/>
      </c>
    </row>
    <row r="766" spans="1:6" ht="13.9">
      <c r="A766" s="3" t="s">
        <v>648</v>
      </c>
      <c r="B766" s="10">
        <v>40377</v>
      </c>
      <c r="C766" s="19">
        <v>12.372999157540017</v>
      </c>
      <c r="D766" s="3"/>
      <c r="E766" t="str">
        <f>_xlfn.XLOOKUP(PE_3[[#This Row],[STN]],SE_3[STN],SE_3[IdeaEligibility],"w/o disability",0)</f>
        <v>w/o disability</v>
      </c>
      <c r="F766" t="str">
        <f>_xlfn.XLOOKUP(PE_3[[#This Row],[STN]],SE_3[STN],SE_3[Ethnicity],"",0)</f>
        <v/>
      </c>
    </row>
    <row r="767" spans="1:6" ht="13.9">
      <c r="A767" s="3">
        <v>22915389</v>
      </c>
      <c r="B767" s="10">
        <v>40459</v>
      </c>
      <c r="C767" s="19">
        <v>12.148483572030329</v>
      </c>
      <c r="D767" s="3"/>
      <c r="E767" t="str">
        <f>_xlfn.XLOOKUP(PE_3[[#This Row],[STN]],SE_3[STN],SE_3[IdeaEligibility],"w/o disability",0)</f>
        <v>w/o disability</v>
      </c>
      <c r="F767" t="str">
        <f>_xlfn.XLOOKUP(PE_3[[#This Row],[STN]],SE_3[STN],SE_3[Ethnicity],"",0)</f>
        <v/>
      </c>
    </row>
    <row r="768" spans="1:6" ht="13.9">
      <c r="A768" s="3" t="s">
        <v>649</v>
      </c>
      <c r="B768" s="10">
        <v>40348</v>
      </c>
      <c r="C768" s="19">
        <v>12.452401010951981</v>
      </c>
      <c r="D768" s="3"/>
      <c r="E768" t="str">
        <f>_xlfn.XLOOKUP(PE_3[[#This Row],[STN]],SE_3[STN],SE_3[IdeaEligibility],"w/o disability",0)</f>
        <v>w/o disability</v>
      </c>
      <c r="F768" t="str">
        <f>_xlfn.XLOOKUP(PE_3[[#This Row],[STN]],SE_3[STN],SE_3[Ethnicity],"",0)</f>
        <v/>
      </c>
    </row>
    <row r="769" spans="1:6" ht="13.9">
      <c r="A769" s="3">
        <v>4109928</v>
      </c>
      <c r="B769" s="10">
        <v>40212</v>
      </c>
      <c r="C769" s="19">
        <v>12.824768323504633</v>
      </c>
      <c r="D769" s="3"/>
      <c r="E769" t="str">
        <f>_xlfn.XLOOKUP(PE_3[[#This Row],[STN]],SE_3[STN],SE_3[IdeaEligibility],"w/o disability",0)</f>
        <v>w/o disability</v>
      </c>
      <c r="F769" t="str">
        <f>_xlfn.XLOOKUP(PE_3[[#This Row],[STN]],SE_3[STN],SE_3[Ethnicity],"",0)</f>
        <v/>
      </c>
    </row>
    <row r="770" spans="1:6" ht="13.9">
      <c r="A770" s="3">
        <v>14115082</v>
      </c>
      <c r="B770" s="10">
        <v>40234</v>
      </c>
      <c r="C770" s="19">
        <v>12.764532434709352</v>
      </c>
      <c r="D770" s="3"/>
      <c r="E770" t="str">
        <f>_xlfn.XLOOKUP(PE_3[[#This Row],[STN]],SE_3[STN],SE_3[IdeaEligibility],"w/o disability",0)</f>
        <v>w/o disability</v>
      </c>
      <c r="F770" t="str">
        <f>_xlfn.XLOOKUP(PE_3[[#This Row],[STN]],SE_3[STN],SE_3[Ethnicity],"",0)</f>
        <v/>
      </c>
    </row>
    <row r="771" spans="1:6" ht="13.9">
      <c r="A771" s="3">
        <v>27017057</v>
      </c>
      <c r="B771" s="10">
        <v>40466</v>
      </c>
      <c r="C771" s="19">
        <v>12.129317607413649</v>
      </c>
      <c r="D771" s="3"/>
      <c r="E771" t="str">
        <f>_xlfn.XLOOKUP(PE_3[[#This Row],[STN]],SE_3[STN],SE_3[IdeaEligibility],"w/o disability",0)</f>
        <v>w/o disability</v>
      </c>
      <c r="F771" t="str">
        <f>_xlfn.XLOOKUP(PE_3[[#This Row],[STN]],SE_3[STN],SE_3[Ethnicity],"",0)</f>
        <v/>
      </c>
    </row>
    <row r="772" spans="1:6" ht="13.9">
      <c r="A772" s="3">
        <v>14917032</v>
      </c>
      <c r="B772" s="10">
        <v>40449</v>
      </c>
      <c r="C772" s="19">
        <v>12.17586352148273</v>
      </c>
      <c r="D772" s="3"/>
      <c r="E772" t="str">
        <f>_xlfn.XLOOKUP(PE_3[[#This Row],[STN]],SE_3[STN],SE_3[IdeaEligibility],"w/o disability",0)</f>
        <v>w/o disability</v>
      </c>
      <c r="F772" t="str">
        <f>_xlfn.XLOOKUP(PE_3[[#This Row],[STN]],SE_3[STN],SE_3[Ethnicity],"",0)</f>
        <v/>
      </c>
    </row>
    <row r="773" spans="1:6" ht="13.9">
      <c r="A773" s="3" t="s">
        <v>650</v>
      </c>
      <c r="B773" s="10">
        <v>40324</v>
      </c>
      <c r="C773" s="19">
        <v>12.518112889637742</v>
      </c>
      <c r="D773" s="3"/>
      <c r="E773" t="str">
        <f>_xlfn.XLOOKUP(PE_3[[#This Row],[STN]],SE_3[STN],SE_3[IdeaEligibility],"w/o disability",0)</f>
        <v>w/o disability</v>
      </c>
      <c r="F773" t="str">
        <f>_xlfn.XLOOKUP(PE_3[[#This Row],[STN]],SE_3[STN],SE_3[Ethnicity],"",0)</f>
        <v/>
      </c>
    </row>
    <row r="774" spans="1:6" ht="13.9">
      <c r="A774" s="3">
        <v>21717056</v>
      </c>
      <c r="B774" s="10">
        <v>40601</v>
      </c>
      <c r="C774" s="19">
        <v>11.759069130732374</v>
      </c>
      <c r="D774" s="3"/>
      <c r="E774" t="str">
        <f>_xlfn.XLOOKUP(PE_3[[#This Row],[STN]],SE_3[STN],SE_3[IdeaEligibility],"w/o disability",0)</f>
        <v>w/o disability</v>
      </c>
      <c r="F774" t="str">
        <f>_xlfn.XLOOKUP(PE_3[[#This Row],[STN]],SE_3[STN],SE_3[Ethnicity],"",0)</f>
        <v/>
      </c>
    </row>
    <row r="775" spans="1:6" ht="13.9">
      <c r="A775" s="3">
        <v>15717072</v>
      </c>
      <c r="B775" s="10">
        <v>40585</v>
      </c>
      <c r="C775" s="19">
        <v>11.802874743326489</v>
      </c>
      <c r="D775" s="3"/>
      <c r="E775" t="str">
        <f>_xlfn.XLOOKUP(PE_3[[#This Row],[STN]],SE_3[STN],SE_3[IdeaEligibility],"w/o disability",0)</f>
        <v>w/o disability</v>
      </c>
      <c r="F775" t="str">
        <f>_xlfn.XLOOKUP(PE_3[[#This Row],[STN]],SE_3[STN],SE_3[Ethnicity],"",0)</f>
        <v/>
      </c>
    </row>
    <row r="776" spans="1:6" ht="13.9">
      <c r="A776" s="5">
        <v>560715481</v>
      </c>
      <c r="B776" s="10">
        <v>40077</v>
      </c>
      <c r="C776" s="19">
        <v>13.194993154703695</v>
      </c>
      <c r="D776" s="3"/>
      <c r="E776" t="str">
        <f>_xlfn.XLOOKUP(PE_3[[#This Row],[STN]],SE_3[STN],SE_3[IdeaEligibility],"w/o disability",0)</f>
        <v>w/o disability</v>
      </c>
      <c r="F776" t="str">
        <f>_xlfn.XLOOKUP(PE_3[[#This Row],[STN]],SE_3[STN],SE_3[Ethnicity],"",0)</f>
        <v/>
      </c>
    </row>
    <row r="777" spans="1:6" ht="13.9">
      <c r="A777" s="3">
        <v>16115092</v>
      </c>
      <c r="B777" s="10">
        <v>39803</v>
      </c>
      <c r="C777" s="19">
        <v>13.943237817119913</v>
      </c>
      <c r="D777" s="3"/>
      <c r="E777" t="str">
        <f>_xlfn.XLOOKUP(PE_3[[#This Row],[STN]],SE_3[STN],SE_3[IdeaEligibility],"w/o disability",0)</f>
        <v>w/o disability</v>
      </c>
      <c r="F777" t="str">
        <f>_xlfn.XLOOKUP(PE_3[[#This Row],[STN]],SE_3[STN],SE_3[Ethnicity],"",0)</f>
        <v/>
      </c>
    </row>
    <row r="778" spans="1:6" ht="13.9">
      <c r="A778" s="5">
        <v>173517042</v>
      </c>
      <c r="B778" s="10">
        <v>40713</v>
      </c>
      <c r="C778" s="19">
        <v>11.452429842573579</v>
      </c>
      <c r="D778" s="3"/>
      <c r="E778" t="str">
        <f>_xlfn.XLOOKUP(PE_3[[#This Row],[STN]],SE_3[STN],SE_3[IdeaEligibility],"w/o disability",0)</f>
        <v>w/o disability</v>
      </c>
      <c r="F778" t="str">
        <f>_xlfn.XLOOKUP(PE_3[[#This Row],[STN]],SE_3[STN],SE_3[Ethnicity],"",0)</f>
        <v/>
      </c>
    </row>
    <row r="779" spans="1:6" ht="13.9">
      <c r="A779" s="3">
        <v>15417013</v>
      </c>
      <c r="B779" s="10">
        <v>40436</v>
      </c>
      <c r="C779" s="19">
        <v>12.211457455770852</v>
      </c>
      <c r="D779" s="3"/>
      <c r="E779" t="str">
        <f>_xlfn.XLOOKUP(PE_3[[#This Row],[STN]],SE_3[STN],SE_3[IdeaEligibility],"w/o disability",0)</f>
        <v>w/o disability</v>
      </c>
      <c r="F779" t="str">
        <f>_xlfn.XLOOKUP(PE_3[[#This Row],[STN]],SE_3[STN],SE_3[Ethnicity],"",0)</f>
        <v/>
      </c>
    </row>
    <row r="780" spans="1:6" ht="13.9">
      <c r="A780" s="3">
        <v>15417028</v>
      </c>
      <c r="B780" s="10">
        <v>40454</v>
      </c>
      <c r="C780" s="19">
        <v>12.162173546756529</v>
      </c>
      <c r="D780" s="3"/>
      <c r="E780" t="str">
        <f>_xlfn.XLOOKUP(PE_3[[#This Row],[STN]],SE_3[STN],SE_3[IdeaEligibility],"w/o disability",0)</f>
        <v>w/o disability</v>
      </c>
      <c r="F780" t="str">
        <f>_xlfn.XLOOKUP(PE_3[[#This Row],[STN]],SE_3[STN],SE_3[Ethnicity],"",0)</f>
        <v/>
      </c>
    </row>
    <row r="781" spans="1:6" ht="13.9">
      <c r="A781" s="3">
        <v>15417007</v>
      </c>
      <c r="B781" s="10">
        <v>40456</v>
      </c>
      <c r="C781" s="19">
        <v>12.15669755686605</v>
      </c>
      <c r="D781" s="3"/>
      <c r="E781" t="str">
        <f>_xlfn.XLOOKUP(PE_3[[#This Row],[STN]],SE_3[STN],SE_3[IdeaEligibility],"w/o disability",0)</f>
        <v>w/o disability</v>
      </c>
      <c r="F781" t="str">
        <f>_xlfn.XLOOKUP(PE_3[[#This Row],[STN]],SE_3[STN],SE_3[Ethnicity],"",0)</f>
        <v/>
      </c>
    </row>
    <row r="782" spans="1:6" ht="13.9">
      <c r="A782" s="3">
        <v>15417069</v>
      </c>
      <c r="B782" s="10">
        <v>40540</v>
      </c>
      <c r="C782" s="19">
        <v>11.926705981465881</v>
      </c>
      <c r="D782" s="3"/>
      <c r="E782" t="str">
        <f>_xlfn.XLOOKUP(PE_3[[#This Row],[STN]],SE_3[STN],SE_3[IdeaEligibility],"w/o disability",0)</f>
        <v>w/o disability</v>
      </c>
      <c r="F782" t="str">
        <f>_xlfn.XLOOKUP(PE_3[[#This Row],[STN]],SE_3[STN],SE_3[Ethnicity],"",0)</f>
        <v/>
      </c>
    </row>
    <row r="783" spans="1:6" ht="13.9">
      <c r="A783" s="3">
        <v>15417076</v>
      </c>
      <c r="B783" s="10">
        <v>40746</v>
      </c>
      <c r="C783" s="19">
        <v>11.36208076659822</v>
      </c>
      <c r="D783" s="3"/>
      <c r="E783" t="str">
        <f>_xlfn.XLOOKUP(PE_3[[#This Row],[STN]],SE_3[STN],SE_3[IdeaEligibility],"w/o disability",0)</f>
        <v>w/o disability</v>
      </c>
      <c r="F783" t="str">
        <f>_xlfn.XLOOKUP(PE_3[[#This Row],[STN]],SE_3[STN],SE_3[Ethnicity],"",0)</f>
        <v/>
      </c>
    </row>
    <row r="784" spans="1:6" ht="13.9">
      <c r="A784" s="3">
        <v>15417020</v>
      </c>
      <c r="B784" s="10">
        <v>40409</v>
      </c>
      <c r="C784" s="19">
        <v>12.285383319292334</v>
      </c>
      <c r="D784" s="3"/>
      <c r="E784" t="str">
        <f>_xlfn.XLOOKUP(PE_3[[#This Row],[STN]],SE_3[STN],SE_3[IdeaEligibility],"w/o disability",0)</f>
        <v>w/o disability</v>
      </c>
      <c r="F784" t="str">
        <f>_xlfn.XLOOKUP(PE_3[[#This Row],[STN]],SE_3[STN],SE_3[Ethnicity],"",0)</f>
        <v/>
      </c>
    </row>
    <row r="785" spans="1:6" ht="13.9">
      <c r="A785" s="3">
        <v>15417008</v>
      </c>
      <c r="B785" s="10">
        <v>40441</v>
      </c>
      <c r="C785" s="19">
        <v>12.19776748104465</v>
      </c>
      <c r="D785" s="3"/>
      <c r="E785" t="str">
        <f>_xlfn.XLOOKUP(PE_3[[#This Row],[STN]],SE_3[STN],SE_3[IdeaEligibility],"w/o disability",0)</f>
        <v>w/o disability</v>
      </c>
      <c r="F785" t="str">
        <f>_xlfn.XLOOKUP(PE_3[[#This Row],[STN]],SE_3[STN],SE_3[Ethnicity],"",0)</f>
        <v/>
      </c>
    </row>
    <row r="786" spans="1:6" ht="13.9">
      <c r="A786" s="3">
        <v>15417048</v>
      </c>
      <c r="B786" s="10">
        <v>40661</v>
      </c>
      <c r="C786" s="19">
        <v>11.594798083504449</v>
      </c>
      <c r="D786" s="3"/>
      <c r="E786" t="str">
        <f>_xlfn.XLOOKUP(PE_3[[#This Row],[STN]],SE_3[STN],SE_3[IdeaEligibility],"w/o disability",0)</f>
        <v>w/o disability</v>
      </c>
      <c r="F786" t="str">
        <f>_xlfn.XLOOKUP(PE_3[[#This Row],[STN]],SE_3[STN],SE_3[Ethnicity],"",0)</f>
        <v/>
      </c>
    </row>
    <row r="787" spans="1:6" ht="13.9">
      <c r="A787" s="3">
        <v>15417044</v>
      </c>
      <c r="B787" s="10">
        <v>40505</v>
      </c>
      <c r="C787" s="19">
        <v>12.022535804549284</v>
      </c>
      <c r="D787" s="3"/>
      <c r="E787" t="str">
        <f>_xlfn.XLOOKUP(PE_3[[#This Row],[STN]],SE_3[STN],SE_3[IdeaEligibility],"w/o disability",0)</f>
        <v>w/o disability</v>
      </c>
      <c r="F787" t="str">
        <f>_xlfn.XLOOKUP(PE_3[[#This Row],[STN]],SE_3[STN],SE_3[Ethnicity],"",0)</f>
        <v/>
      </c>
    </row>
    <row r="788" spans="1:6" ht="13.9">
      <c r="A788" s="3">
        <v>15417033</v>
      </c>
      <c r="B788" s="10">
        <v>40711</v>
      </c>
      <c r="C788" s="19">
        <v>11.457905544147843</v>
      </c>
      <c r="D788" s="3"/>
      <c r="E788" t="str">
        <f>_xlfn.XLOOKUP(PE_3[[#This Row],[STN]],SE_3[STN],SE_3[IdeaEligibility],"w/o disability",0)</f>
        <v>w/o disability</v>
      </c>
      <c r="F788" t="str">
        <f>_xlfn.XLOOKUP(PE_3[[#This Row],[STN]],SE_3[STN],SE_3[Ethnicity],"",0)</f>
        <v/>
      </c>
    </row>
    <row r="789" spans="1:6" ht="13.9">
      <c r="A789" s="3">
        <v>15417009</v>
      </c>
      <c r="B789" s="10">
        <v>40471</v>
      </c>
      <c r="C789" s="19">
        <v>12.115627632687447</v>
      </c>
      <c r="D789" s="3"/>
      <c r="E789" t="str">
        <f>_xlfn.XLOOKUP(PE_3[[#This Row],[STN]],SE_3[STN],SE_3[IdeaEligibility],"w/o disability",0)</f>
        <v>w/o disability</v>
      </c>
      <c r="F789" t="str">
        <f>_xlfn.XLOOKUP(PE_3[[#This Row],[STN]],SE_3[STN],SE_3[Ethnicity],"",0)</f>
        <v/>
      </c>
    </row>
    <row r="790" spans="1:6" ht="13.9">
      <c r="A790" s="3">
        <v>15417012</v>
      </c>
      <c r="B790" s="10">
        <v>40686</v>
      </c>
      <c r="C790" s="19">
        <v>11.526351813826146</v>
      </c>
      <c r="D790" s="3"/>
      <c r="E790" t="str">
        <f>_xlfn.XLOOKUP(PE_3[[#This Row],[STN]],SE_3[STN],SE_3[IdeaEligibility],"w/o disability",0)</f>
        <v>w/o disability</v>
      </c>
      <c r="F790" t="str">
        <f>_xlfn.XLOOKUP(PE_3[[#This Row],[STN]],SE_3[STN],SE_3[Ethnicity],"",0)</f>
        <v/>
      </c>
    </row>
    <row r="791" spans="1:6" ht="13.9">
      <c r="A791" s="3">
        <v>28117036</v>
      </c>
      <c r="B791" s="10">
        <v>40515</v>
      </c>
      <c r="C791" s="19">
        <v>11.995155855096883</v>
      </c>
      <c r="D791" s="3"/>
      <c r="E791" t="str">
        <f>_xlfn.XLOOKUP(PE_3[[#This Row],[STN]],SE_3[STN],SE_3[IdeaEligibility],"w/o disability",0)</f>
        <v>w/o disability</v>
      </c>
      <c r="F791" t="str">
        <f>_xlfn.XLOOKUP(PE_3[[#This Row],[STN]],SE_3[STN],SE_3[Ethnicity],"",0)</f>
        <v/>
      </c>
    </row>
    <row r="792" spans="1:6" ht="13.9">
      <c r="A792" s="3">
        <v>15417088</v>
      </c>
      <c r="B792" s="10">
        <v>40213</v>
      </c>
      <c r="C792" s="19">
        <v>12.822030328559393</v>
      </c>
      <c r="D792" s="3"/>
      <c r="E792" t="str">
        <f>_xlfn.XLOOKUP(PE_3[[#This Row],[STN]],SE_3[STN],SE_3[IdeaEligibility],"w/o disability",0)</f>
        <v>w/o disability</v>
      </c>
      <c r="F792" t="str">
        <f>_xlfn.XLOOKUP(PE_3[[#This Row],[STN]],SE_3[STN],SE_3[Ethnicity],"",0)</f>
        <v/>
      </c>
    </row>
    <row r="793" spans="1:6" ht="13.9">
      <c r="A793" s="3" t="s">
        <v>651</v>
      </c>
      <c r="B793" s="10">
        <v>40084</v>
      </c>
      <c r="C793" s="19">
        <v>13.175826325053784</v>
      </c>
      <c r="D793" s="3"/>
      <c r="E793" t="str">
        <f>_xlfn.XLOOKUP(PE_3[[#This Row],[STN]],SE_3[STN],SE_3[IdeaEligibility],"w/o disability",0)</f>
        <v>w/o disability</v>
      </c>
      <c r="F793" t="str">
        <f>_xlfn.XLOOKUP(PE_3[[#This Row],[STN]],SE_3[STN],SE_3[Ethnicity],"",0)</f>
        <v/>
      </c>
    </row>
    <row r="794" spans="1:6" ht="13.9">
      <c r="A794" s="3" t="s">
        <v>652</v>
      </c>
      <c r="B794" s="10">
        <v>40114</v>
      </c>
      <c r="C794" s="19">
        <v>13.093682769411304</v>
      </c>
      <c r="D794" s="3"/>
      <c r="E794" t="str">
        <f>_xlfn.XLOOKUP(PE_3[[#This Row],[STN]],SE_3[STN],SE_3[IdeaEligibility],"w/o disability",0)</f>
        <v>w/o disability</v>
      </c>
      <c r="F794" t="str">
        <f>_xlfn.XLOOKUP(PE_3[[#This Row],[STN]],SE_3[STN],SE_3[Ethnicity],"",0)</f>
        <v/>
      </c>
    </row>
    <row r="795" spans="1:6" ht="13.9">
      <c r="A795" s="3">
        <v>16217036</v>
      </c>
      <c r="B795" s="10">
        <v>40573</v>
      </c>
      <c r="C795" s="19">
        <v>11.835728952772074</v>
      </c>
      <c r="D795" s="3"/>
      <c r="E795" t="str">
        <f>_xlfn.XLOOKUP(PE_3[[#This Row],[STN]],SE_3[STN],SE_3[IdeaEligibility],"w/o disability",0)</f>
        <v>w/o disability</v>
      </c>
      <c r="F795" t="str">
        <f>_xlfn.XLOOKUP(PE_3[[#This Row],[STN]],SE_3[STN],SE_3[Ethnicity],"",0)</f>
        <v/>
      </c>
    </row>
    <row r="796" spans="1:6" ht="13.9">
      <c r="A796" s="3">
        <v>16217035</v>
      </c>
      <c r="B796" s="10">
        <v>40732</v>
      </c>
      <c r="C796" s="19">
        <v>11.400410677618069</v>
      </c>
      <c r="D796" s="3"/>
      <c r="E796" t="str">
        <f>_xlfn.XLOOKUP(PE_3[[#This Row],[STN]],SE_3[STN],SE_3[IdeaEligibility],"w/o disability",0)</f>
        <v>w/o disability</v>
      </c>
      <c r="F796" t="str">
        <f>_xlfn.XLOOKUP(PE_3[[#This Row],[STN]],SE_3[STN],SE_3[Ethnicity],"",0)</f>
        <v/>
      </c>
    </row>
    <row r="797" spans="1:6" ht="13.9">
      <c r="A797" s="3">
        <v>15417060</v>
      </c>
      <c r="B797" s="10">
        <v>40437</v>
      </c>
      <c r="C797" s="19">
        <v>12.208719460825611</v>
      </c>
      <c r="D797" s="3"/>
      <c r="E797" t="str">
        <f>_xlfn.XLOOKUP(PE_3[[#This Row],[STN]],SE_3[STN],SE_3[IdeaEligibility],"w/o disability",0)</f>
        <v>w/o disability</v>
      </c>
      <c r="F797" t="str">
        <f>_xlfn.XLOOKUP(PE_3[[#This Row],[STN]],SE_3[STN],SE_3[Ethnicity],"",0)</f>
        <v/>
      </c>
    </row>
    <row r="798" spans="1:6" ht="13.9">
      <c r="A798" s="3">
        <v>15417047</v>
      </c>
      <c r="B798" s="10">
        <v>40431</v>
      </c>
      <c r="C798" s="19">
        <v>12.225147430497051</v>
      </c>
      <c r="D798" s="3"/>
      <c r="E798" t="str">
        <f>_xlfn.XLOOKUP(PE_3[[#This Row],[STN]],SE_3[STN],SE_3[IdeaEligibility],"w/o disability",0)</f>
        <v>w/o disability</v>
      </c>
      <c r="F798" t="str">
        <f>_xlfn.XLOOKUP(PE_3[[#This Row],[STN]],SE_3[STN],SE_3[Ethnicity],"",0)</f>
        <v/>
      </c>
    </row>
    <row r="799" spans="1:6" ht="13.9">
      <c r="A799" s="3">
        <v>15417041</v>
      </c>
      <c r="B799" s="10">
        <v>40613</v>
      </c>
      <c r="C799" s="19">
        <v>11.72621492128679</v>
      </c>
      <c r="D799" s="3"/>
      <c r="E799" t="str">
        <f>_xlfn.XLOOKUP(PE_3[[#This Row],[STN]],SE_3[STN],SE_3[IdeaEligibility],"w/o disability",0)</f>
        <v>w/o disability</v>
      </c>
      <c r="F799" t="str">
        <f>_xlfn.XLOOKUP(PE_3[[#This Row],[STN]],SE_3[STN],SE_3[Ethnicity],"",0)</f>
        <v/>
      </c>
    </row>
    <row r="800" spans="1:6" ht="13.9">
      <c r="A800" s="3">
        <v>16117017</v>
      </c>
      <c r="B800" s="10">
        <v>40704</v>
      </c>
      <c r="C800" s="19">
        <v>11.477070499657769</v>
      </c>
      <c r="D800" s="3"/>
      <c r="E800" t="str">
        <f>_xlfn.XLOOKUP(PE_3[[#This Row],[STN]],SE_3[STN],SE_3[IdeaEligibility],"w/o disability",0)</f>
        <v>w/o disability</v>
      </c>
      <c r="F800" t="str">
        <f>_xlfn.XLOOKUP(PE_3[[#This Row],[STN]],SE_3[STN],SE_3[Ethnicity],"",0)</f>
        <v/>
      </c>
    </row>
    <row r="801" spans="1:6" ht="13.9">
      <c r="A801" s="3">
        <v>15417018</v>
      </c>
      <c r="B801" s="10">
        <v>40438</v>
      </c>
      <c r="C801" s="19">
        <v>12.20598146588037</v>
      </c>
      <c r="D801" s="3"/>
      <c r="E801" t="str">
        <f>_xlfn.XLOOKUP(PE_3[[#This Row],[STN]],SE_3[STN],SE_3[IdeaEligibility],"w/o disability",0)</f>
        <v>w/o disability</v>
      </c>
      <c r="F801" t="str">
        <f>_xlfn.XLOOKUP(PE_3[[#This Row],[STN]],SE_3[STN],SE_3[Ethnicity],"",0)</f>
        <v/>
      </c>
    </row>
    <row r="802" spans="1:6" ht="13.9">
      <c r="A802" s="3">
        <v>15417070</v>
      </c>
      <c r="B802" s="10">
        <v>40448</v>
      </c>
      <c r="C802" s="19">
        <v>12.178601516427969</v>
      </c>
      <c r="D802" s="3"/>
      <c r="E802" t="str">
        <f>_xlfn.XLOOKUP(PE_3[[#This Row],[STN]],SE_3[STN],SE_3[IdeaEligibility],"w/o disability",0)</f>
        <v>w/o disability</v>
      </c>
      <c r="F802" t="str">
        <f>_xlfn.XLOOKUP(PE_3[[#This Row],[STN]],SE_3[STN],SE_3[Ethnicity],"",0)</f>
        <v/>
      </c>
    </row>
    <row r="803" spans="1:6" ht="13.9">
      <c r="A803" s="3">
        <v>15417043</v>
      </c>
      <c r="B803" s="10">
        <v>40788</v>
      </c>
      <c r="C803" s="19">
        <v>11.247091033538672</v>
      </c>
      <c r="D803" s="3"/>
      <c r="E803" t="str">
        <f>_xlfn.XLOOKUP(PE_3[[#This Row],[STN]],SE_3[STN],SE_3[IdeaEligibility],"w/o disability",0)</f>
        <v>w/o disability</v>
      </c>
      <c r="F803" t="str">
        <f>_xlfn.XLOOKUP(PE_3[[#This Row],[STN]],SE_3[STN],SE_3[Ethnicity],"",0)</f>
        <v/>
      </c>
    </row>
    <row r="804" spans="1:6" ht="13.9">
      <c r="A804" s="3">
        <v>15417022</v>
      </c>
      <c r="B804" s="10">
        <v>40269</v>
      </c>
      <c r="C804" s="19">
        <v>12.668702611625948</v>
      </c>
      <c r="D804" s="3"/>
      <c r="E804" t="str">
        <f>_xlfn.XLOOKUP(PE_3[[#This Row],[STN]],SE_3[STN],SE_3[IdeaEligibility],"w/o disability",0)</f>
        <v>w/o disability</v>
      </c>
      <c r="F804" t="str">
        <f>_xlfn.XLOOKUP(PE_3[[#This Row],[STN]],SE_3[STN],SE_3[Ethnicity],"",0)</f>
        <v/>
      </c>
    </row>
    <row r="805" spans="1:6" ht="13.9">
      <c r="A805" s="3">
        <v>15417024</v>
      </c>
      <c r="B805" s="10">
        <v>40669</v>
      </c>
      <c r="C805" s="19">
        <v>11.572895277207392</v>
      </c>
      <c r="D805" s="3"/>
      <c r="E805" t="str">
        <f>_xlfn.XLOOKUP(PE_3[[#This Row],[STN]],SE_3[STN],SE_3[IdeaEligibility],"w/o disability",0)</f>
        <v>w/o disability</v>
      </c>
      <c r="F805" t="str">
        <f>_xlfn.XLOOKUP(PE_3[[#This Row],[STN]],SE_3[STN],SE_3[Ethnicity],"",0)</f>
        <v/>
      </c>
    </row>
    <row r="806" spans="1:6" ht="13.9">
      <c r="A806" s="3">
        <v>15417056</v>
      </c>
      <c r="B806" s="10">
        <v>40665</v>
      </c>
      <c r="C806" s="19">
        <v>11.58384668035592</v>
      </c>
      <c r="D806" s="3"/>
      <c r="E806" t="str">
        <f>_xlfn.XLOOKUP(PE_3[[#This Row],[STN]],SE_3[STN],SE_3[IdeaEligibility],"w/o disability",0)</f>
        <v>w/o disability</v>
      </c>
      <c r="F806" t="str">
        <f>_xlfn.XLOOKUP(PE_3[[#This Row],[STN]],SE_3[STN],SE_3[Ethnicity],"",0)</f>
        <v/>
      </c>
    </row>
    <row r="807" spans="1:6" ht="13.9">
      <c r="A807" s="3">
        <v>15417052</v>
      </c>
      <c r="B807" s="10">
        <v>40673</v>
      </c>
      <c r="C807" s="19">
        <v>11.561943874058864</v>
      </c>
      <c r="D807" s="3"/>
      <c r="E807" t="str">
        <f>_xlfn.XLOOKUP(PE_3[[#This Row],[STN]],SE_3[STN],SE_3[IdeaEligibility],"w/o disability",0)</f>
        <v>w/o disability</v>
      </c>
      <c r="F807" t="str">
        <f>_xlfn.XLOOKUP(PE_3[[#This Row],[STN]],SE_3[STN],SE_3[Ethnicity],"",0)</f>
        <v/>
      </c>
    </row>
    <row r="808" spans="1:6" ht="13.9">
      <c r="A808" s="3">
        <v>15417066</v>
      </c>
      <c r="B808" s="10">
        <v>40676</v>
      </c>
      <c r="C808" s="19">
        <v>11.553730321697467</v>
      </c>
      <c r="D808" s="3"/>
      <c r="E808" t="str">
        <f>_xlfn.XLOOKUP(PE_3[[#This Row],[STN]],SE_3[STN],SE_3[IdeaEligibility],"w/o disability",0)</f>
        <v>w/o disability</v>
      </c>
      <c r="F808" t="str">
        <f>_xlfn.XLOOKUP(PE_3[[#This Row],[STN]],SE_3[STN],SE_3[Ethnicity],"",0)</f>
        <v/>
      </c>
    </row>
    <row r="809" spans="1:6" ht="13.9">
      <c r="A809" s="3">
        <v>16417012</v>
      </c>
      <c r="B809" s="10">
        <v>40645</v>
      </c>
      <c r="C809" s="19">
        <v>11.638603696098563</v>
      </c>
      <c r="D809" s="3"/>
      <c r="E809" t="str">
        <f>_xlfn.XLOOKUP(PE_3[[#This Row],[STN]],SE_3[STN],SE_3[IdeaEligibility],"w/o disability",0)</f>
        <v>w/o disability</v>
      </c>
      <c r="F809" t="str">
        <f>_xlfn.XLOOKUP(PE_3[[#This Row],[STN]],SE_3[STN],SE_3[Ethnicity],"",0)</f>
        <v/>
      </c>
    </row>
    <row r="810" spans="1:6" ht="13.9">
      <c r="A810" s="3">
        <v>27517049</v>
      </c>
      <c r="B810" s="10">
        <v>40687</v>
      </c>
      <c r="C810" s="19">
        <v>11.523613963039015</v>
      </c>
      <c r="D810" s="3"/>
      <c r="E810" t="str">
        <f>_xlfn.XLOOKUP(PE_3[[#This Row],[STN]],SE_3[STN],SE_3[IdeaEligibility],"w/o disability",0)</f>
        <v>w/o disability</v>
      </c>
      <c r="F810" t="str">
        <f>_xlfn.XLOOKUP(PE_3[[#This Row],[STN]],SE_3[STN],SE_3[Ethnicity],"",0)</f>
        <v/>
      </c>
    </row>
    <row r="811" spans="1:6" ht="13.9">
      <c r="A811" s="3">
        <v>15417045</v>
      </c>
      <c r="B811" s="10">
        <v>40639</v>
      </c>
      <c r="C811" s="19">
        <v>11.655030800821356</v>
      </c>
      <c r="D811" s="3"/>
      <c r="E811" t="str">
        <f>_xlfn.XLOOKUP(PE_3[[#This Row],[STN]],SE_3[STN],SE_3[IdeaEligibility],"w/o disability",0)</f>
        <v>w/o disability</v>
      </c>
      <c r="F811" t="str">
        <f>_xlfn.XLOOKUP(PE_3[[#This Row],[STN]],SE_3[STN],SE_3[Ethnicity],"",0)</f>
        <v/>
      </c>
    </row>
    <row r="812" spans="1:6" ht="13.9">
      <c r="A812" s="3">
        <v>15417027</v>
      </c>
      <c r="B812" s="10">
        <v>40539</v>
      </c>
      <c r="C812" s="19">
        <v>11.92944397641112</v>
      </c>
      <c r="D812" s="3"/>
      <c r="E812" t="str">
        <f>_xlfn.XLOOKUP(PE_3[[#This Row],[STN]],SE_3[STN],SE_3[IdeaEligibility],"w/o disability",0)</f>
        <v>w/o disability</v>
      </c>
      <c r="F812" t="str">
        <f>_xlfn.XLOOKUP(PE_3[[#This Row],[STN]],SE_3[STN],SE_3[Ethnicity],"",0)</f>
        <v/>
      </c>
    </row>
    <row r="813" spans="1:6" ht="13.9">
      <c r="A813" s="3">
        <v>15417078</v>
      </c>
      <c r="B813" s="10">
        <v>40542</v>
      </c>
      <c r="C813" s="19">
        <v>11.9212299915754</v>
      </c>
      <c r="D813" s="3"/>
      <c r="E813" t="str">
        <f>_xlfn.XLOOKUP(PE_3[[#This Row],[STN]],SE_3[STN],SE_3[IdeaEligibility],"w/o disability",0)</f>
        <v>w/o disability</v>
      </c>
      <c r="F813" t="str">
        <f>_xlfn.XLOOKUP(PE_3[[#This Row],[STN]],SE_3[STN],SE_3[Ethnicity],"",0)</f>
        <v/>
      </c>
    </row>
    <row r="814" spans="1:6" ht="13.9">
      <c r="A814" s="3">
        <v>15417072</v>
      </c>
      <c r="B814" s="10">
        <v>40339</v>
      </c>
      <c r="C814" s="19">
        <v>12.477042965459141</v>
      </c>
      <c r="D814" s="3"/>
      <c r="E814" t="str">
        <f>_xlfn.XLOOKUP(PE_3[[#This Row],[STN]],SE_3[STN],SE_3[IdeaEligibility],"w/o disability",0)</f>
        <v>w/o disability</v>
      </c>
      <c r="F814" t="str">
        <f>_xlfn.XLOOKUP(PE_3[[#This Row],[STN]],SE_3[STN],SE_3[Ethnicity],"",0)</f>
        <v/>
      </c>
    </row>
    <row r="815" spans="1:6" ht="13.9">
      <c r="A815" s="3">
        <v>15717082</v>
      </c>
      <c r="B815" s="10">
        <v>40485</v>
      </c>
      <c r="C815" s="19">
        <v>12.077295703454086</v>
      </c>
      <c r="D815" s="3"/>
      <c r="E815" t="str">
        <f>_xlfn.XLOOKUP(PE_3[[#This Row],[STN]],SE_3[STN],SE_3[IdeaEligibility],"w/o disability",0)</f>
        <v>w/o disability</v>
      </c>
      <c r="F815" t="str">
        <f>_xlfn.XLOOKUP(PE_3[[#This Row],[STN]],SE_3[STN],SE_3[Ethnicity],"",0)</f>
        <v/>
      </c>
    </row>
    <row r="816" spans="1:6" ht="13.9">
      <c r="A816" s="3">
        <v>16217047</v>
      </c>
      <c r="B816" s="10">
        <v>40661</v>
      </c>
      <c r="C816" s="19">
        <v>11.594798083504449</v>
      </c>
      <c r="D816" s="3"/>
      <c r="E816" t="str">
        <f>_xlfn.XLOOKUP(PE_3[[#This Row],[STN]],SE_3[STN],SE_3[IdeaEligibility],"w/o disability",0)</f>
        <v>w/o disability</v>
      </c>
      <c r="F816" t="str">
        <f>_xlfn.XLOOKUP(PE_3[[#This Row],[STN]],SE_3[STN],SE_3[Ethnicity],"",0)</f>
        <v/>
      </c>
    </row>
    <row r="817" spans="1:6" ht="13.9">
      <c r="A817" s="3">
        <v>16417017</v>
      </c>
      <c r="B817" s="10">
        <v>40540</v>
      </c>
      <c r="C817" s="19">
        <v>11.926705981465881</v>
      </c>
      <c r="D817" s="3"/>
      <c r="E817" t="str">
        <f>_xlfn.XLOOKUP(PE_3[[#This Row],[STN]],SE_3[STN],SE_3[IdeaEligibility],"w/o disability",0)</f>
        <v>w/o disability</v>
      </c>
      <c r="F817" t="str">
        <f>_xlfn.XLOOKUP(PE_3[[#This Row],[STN]],SE_3[STN],SE_3[Ethnicity],"",0)</f>
        <v/>
      </c>
    </row>
    <row r="818" spans="1:6" ht="13.9">
      <c r="A818" s="3">
        <v>15417036</v>
      </c>
      <c r="B818" s="10">
        <v>40448</v>
      </c>
      <c r="C818" s="19">
        <v>12.178601516427969</v>
      </c>
      <c r="D818" s="3"/>
      <c r="E818" t="str">
        <f>_xlfn.XLOOKUP(PE_3[[#This Row],[STN]],SE_3[STN],SE_3[IdeaEligibility],"w/o disability",0)</f>
        <v>w/o disability</v>
      </c>
      <c r="F818" t="str">
        <f>_xlfn.XLOOKUP(PE_3[[#This Row],[STN]],SE_3[STN],SE_3[Ethnicity],"",0)</f>
        <v/>
      </c>
    </row>
    <row r="819" spans="1:6" ht="13.9">
      <c r="A819" s="3">
        <v>15417034</v>
      </c>
      <c r="B819" s="10">
        <v>40425</v>
      </c>
      <c r="C819" s="19">
        <v>12.241575400168491</v>
      </c>
      <c r="D819" s="3"/>
      <c r="E819" t="str">
        <f>_xlfn.XLOOKUP(PE_3[[#This Row],[STN]],SE_3[STN],SE_3[IdeaEligibility],"w/o disability",0)</f>
        <v>w/o disability</v>
      </c>
      <c r="F819" t="str">
        <f>_xlfn.XLOOKUP(PE_3[[#This Row],[STN]],SE_3[STN],SE_3[Ethnicity],"",0)</f>
        <v/>
      </c>
    </row>
    <row r="820" spans="1:6" ht="13.9">
      <c r="A820" s="3">
        <v>15417038</v>
      </c>
      <c r="B820" s="10">
        <v>40238</v>
      </c>
      <c r="C820" s="19">
        <v>12.753580454928391</v>
      </c>
      <c r="D820" s="3"/>
      <c r="E820" t="str">
        <f>_xlfn.XLOOKUP(PE_3[[#This Row],[STN]],SE_3[STN],SE_3[IdeaEligibility],"w/o disability",0)</f>
        <v>w/o disability</v>
      </c>
      <c r="F820" t="str">
        <f>_xlfn.XLOOKUP(PE_3[[#This Row],[STN]],SE_3[STN],SE_3[Ethnicity],"",0)</f>
        <v/>
      </c>
    </row>
    <row r="821" spans="1:6" ht="13.9">
      <c r="A821" s="3">
        <v>15417046</v>
      </c>
      <c r="B821" s="10">
        <v>40612</v>
      </c>
      <c r="C821" s="19">
        <v>11.728952772073923</v>
      </c>
      <c r="D821" s="3"/>
      <c r="E821" t="str">
        <f>_xlfn.XLOOKUP(PE_3[[#This Row],[STN]],SE_3[STN],SE_3[IdeaEligibility],"w/o disability",0)</f>
        <v>w/o disability</v>
      </c>
      <c r="F821" t="str">
        <f>_xlfn.XLOOKUP(PE_3[[#This Row],[STN]],SE_3[STN],SE_3[Ethnicity],"",0)</f>
        <v/>
      </c>
    </row>
    <row r="822" spans="1:6" ht="13.9">
      <c r="A822" s="3">
        <v>15417035</v>
      </c>
      <c r="B822" s="10">
        <v>40416</v>
      </c>
      <c r="C822" s="19">
        <v>12.266217354675653</v>
      </c>
      <c r="D822" s="3"/>
      <c r="E822" t="str">
        <f>_xlfn.XLOOKUP(PE_3[[#This Row],[STN]],SE_3[STN],SE_3[IdeaEligibility],"w/o disability",0)</f>
        <v>w/o disability</v>
      </c>
      <c r="F822" t="str">
        <f>_xlfn.XLOOKUP(PE_3[[#This Row],[STN]],SE_3[STN],SE_3[Ethnicity],"",0)</f>
        <v/>
      </c>
    </row>
    <row r="823" spans="1:6" ht="13.9">
      <c r="A823" s="3">
        <v>15417005</v>
      </c>
      <c r="B823" s="10">
        <v>40441</v>
      </c>
      <c r="C823" s="19">
        <v>12.19776748104465</v>
      </c>
      <c r="D823" s="3"/>
      <c r="E823" t="str">
        <f>_xlfn.XLOOKUP(PE_3[[#This Row],[STN]],SE_3[STN],SE_3[IdeaEligibility],"w/o disability",0)</f>
        <v>w/o disability</v>
      </c>
      <c r="F823" t="str">
        <f>_xlfn.XLOOKUP(PE_3[[#This Row],[STN]],SE_3[STN],SE_3[Ethnicity],"",0)</f>
        <v/>
      </c>
    </row>
    <row r="824" spans="1:6" ht="13.9">
      <c r="A824" s="3">
        <v>15417004</v>
      </c>
      <c r="B824" s="10">
        <v>40563</v>
      </c>
      <c r="C824" s="19">
        <v>11.863107460643395</v>
      </c>
      <c r="D824" s="3"/>
      <c r="E824" t="str">
        <f>_xlfn.XLOOKUP(PE_3[[#This Row],[STN]],SE_3[STN],SE_3[IdeaEligibility],"w/o disability",0)</f>
        <v>w/o disability</v>
      </c>
      <c r="F824" t="str">
        <f>_xlfn.XLOOKUP(PE_3[[#This Row],[STN]],SE_3[STN],SE_3[Ethnicity],"",0)</f>
        <v/>
      </c>
    </row>
    <row r="825" spans="1:6" ht="13.9">
      <c r="A825" s="3">
        <v>15417015</v>
      </c>
      <c r="B825" s="10">
        <v>40706</v>
      </c>
      <c r="C825" s="19">
        <v>11.471594798083505</v>
      </c>
      <c r="D825" s="3"/>
      <c r="E825" t="str">
        <f>_xlfn.XLOOKUP(PE_3[[#This Row],[STN]],SE_3[STN],SE_3[IdeaEligibility],"w/o disability",0)</f>
        <v>w/o disability</v>
      </c>
      <c r="F825" t="str">
        <f>_xlfn.XLOOKUP(PE_3[[#This Row],[STN]],SE_3[STN],SE_3[Ethnicity],"",0)</f>
        <v/>
      </c>
    </row>
    <row r="826" spans="1:6" ht="13.9">
      <c r="A826" s="3">
        <v>15417049</v>
      </c>
      <c r="B826" s="10">
        <v>40611</v>
      </c>
      <c r="C826" s="19">
        <v>11.731690622861054</v>
      </c>
      <c r="D826" s="3"/>
      <c r="E826" t="str">
        <f>_xlfn.XLOOKUP(PE_3[[#This Row],[STN]],SE_3[STN],SE_3[IdeaEligibility],"w/o disability",0)</f>
        <v>w/o disability</v>
      </c>
      <c r="F826" t="str">
        <f>_xlfn.XLOOKUP(PE_3[[#This Row],[STN]],SE_3[STN],SE_3[Ethnicity],"",0)</f>
        <v/>
      </c>
    </row>
    <row r="827" spans="1:6" ht="13.9">
      <c r="A827" s="3">
        <v>15417003</v>
      </c>
      <c r="B827" s="10">
        <v>40733</v>
      </c>
      <c r="C827" s="19">
        <v>11.397672826830938</v>
      </c>
      <c r="D827" s="3"/>
      <c r="E827" t="str">
        <f>_xlfn.XLOOKUP(PE_3[[#This Row],[STN]],SE_3[STN],SE_3[IdeaEligibility],"w/o disability",0)</f>
        <v>w/o disability</v>
      </c>
      <c r="F827" t="str">
        <f>_xlfn.XLOOKUP(PE_3[[#This Row],[STN]],SE_3[STN],SE_3[Ethnicity],"",0)</f>
        <v/>
      </c>
    </row>
    <row r="828" spans="1:6" ht="13.9">
      <c r="A828" s="3">
        <v>15417002</v>
      </c>
      <c r="B828" s="10">
        <v>40680</v>
      </c>
      <c r="C828" s="19">
        <v>11.542778918548938</v>
      </c>
      <c r="D828" s="3"/>
      <c r="E828" t="str">
        <f>_xlfn.XLOOKUP(PE_3[[#This Row],[STN]],SE_3[STN],SE_3[IdeaEligibility],"w/o disability",0)</f>
        <v>w/o disability</v>
      </c>
      <c r="F828" t="str">
        <f>_xlfn.XLOOKUP(PE_3[[#This Row],[STN]],SE_3[STN],SE_3[Ethnicity],"",0)</f>
        <v/>
      </c>
    </row>
    <row r="829" spans="1:6" ht="13.9">
      <c r="A829" s="3">
        <v>15417016</v>
      </c>
      <c r="B829" s="10">
        <v>40590</v>
      </c>
      <c r="C829" s="19">
        <v>11.789185489390828</v>
      </c>
      <c r="D829" s="3"/>
      <c r="E829" t="str">
        <f>_xlfn.XLOOKUP(PE_3[[#This Row],[STN]],SE_3[STN],SE_3[IdeaEligibility],"w/o disability",0)</f>
        <v>w/o disability</v>
      </c>
      <c r="F829" t="str">
        <f>_xlfn.XLOOKUP(PE_3[[#This Row],[STN]],SE_3[STN],SE_3[Ethnicity],"",0)</f>
        <v/>
      </c>
    </row>
    <row r="830" spans="1:6" ht="13.9">
      <c r="A830" s="3">
        <v>15417011</v>
      </c>
      <c r="B830" s="10">
        <v>40390</v>
      </c>
      <c r="C830" s="19">
        <v>12.337405223251896</v>
      </c>
      <c r="D830" s="3"/>
      <c r="E830" t="str">
        <f>_xlfn.XLOOKUP(PE_3[[#This Row],[STN]],SE_3[STN],SE_3[IdeaEligibility],"w/o disability",0)</f>
        <v>w/o disability</v>
      </c>
      <c r="F830" t="str">
        <f>_xlfn.XLOOKUP(PE_3[[#This Row],[STN]],SE_3[STN],SE_3[Ethnicity],"",0)</f>
        <v/>
      </c>
    </row>
    <row r="831" spans="1:6" ht="13.9">
      <c r="A831" s="3">
        <v>15417061</v>
      </c>
      <c r="B831" s="10">
        <v>40431</v>
      </c>
      <c r="C831" s="19">
        <v>12.225147430497051</v>
      </c>
      <c r="D831" s="3"/>
      <c r="E831" t="str">
        <f>_xlfn.XLOOKUP(PE_3[[#This Row],[STN]],SE_3[STN],SE_3[IdeaEligibility],"w/o disability",0)</f>
        <v>w/o disability</v>
      </c>
      <c r="F831" t="str">
        <f>_xlfn.XLOOKUP(PE_3[[#This Row],[STN]],SE_3[STN],SE_3[Ethnicity],"",0)</f>
        <v/>
      </c>
    </row>
    <row r="832" spans="1:6" ht="13.9">
      <c r="A832" s="3">
        <v>15417042</v>
      </c>
      <c r="B832" s="10">
        <v>40506</v>
      </c>
      <c r="C832" s="19">
        <v>12.019797809604045</v>
      </c>
      <c r="D832" s="3"/>
      <c r="E832" t="str">
        <f>_xlfn.XLOOKUP(PE_3[[#This Row],[STN]],SE_3[STN],SE_3[IdeaEligibility],"w/o disability",0)</f>
        <v>w/o disability</v>
      </c>
      <c r="F832" t="str">
        <f>_xlfn.XLOOKUP(PE_3[[#This Row],[STN]],SE_3[STN],SE_3[Ethnicity],"",0)</f>
        <v/>
      </c>
    </row>
    <row r="833" spans="1:6" ht="13.9">
      <c r="A833" s="3">
        <v>15417075</v>
      </c>
      <c r="B833" s="10">
        <v>40624</v>
      </c>
      <c r="C833" s="19">
        <v>11.696098562628336</v>
      </c>
      <c r="D833" s="3"/>
      <c r="E833" t="str">
        <f>_xlfn.XLOOKUP(PE_3[[#This Row],[STN]],SE_3[STN],SE_3[IdeaEligibility],"w/o disability",0)</f>
        <v>w/o disability</v>
      </c>
      <c r="F833" t="str">
        <f>_xlfn.XLOOKUP(PE_3[[#This Row],[STN]],SE_3[STN],SE_3[Ethnicity],"",0)</f>
        <v/>
      </c>
    </row>
    <row r="834" spans="1:6" ht="13.9">
      <c r="A834" s="3">
        <v>15417071</v>
      </c>
      <c r="B834" s="10">
        <v>40522</v>
      </c>
      <c r="C834" s="19">
        <v>11.975989890480202</v>
      </c>
      <c r="D834" s="3"/>
      <c r="E834" t="str">
        <f>_xlfn.XLOOKUP(PE_3[[#This Row],[STN]],SE_3[STN],SE_3[IdeaEligibility],"w/o disability",0)</f>
        <v>w/o disability</v>
      </c>
      <c r="F834" t="str">
        <f>_xlfn.XLOOKUP(PE_3[[#This Row],[STN]],SE_3[STN],SE_3[Ethnicity],"",0)</f>
        <v/>
      </c>
    </row>
    <row r="835" spans="1:6" ht="13.9">
      <c r="A835" s="3">
        <v>15417006</v>
      </c>
      <c r="B835" s="10">
        <v>40423</v>
      </c>
      <c r="C835" s="19">
        <v>12.247051390058973</v>
      </c>
      <c r="D835" s="3"/>
      <c r="E835" t="str">
        <f>_xlfn.XLOOKUP(PE_3[[#This Row],[STN]],SE_3[STN],SE_3[IdeaEligibility],"w/o disability",0)</f>
        <v>w/o disability</v>
      </c>
      <c r="F835" t="str">
        <f>_xlfn.XLOOKUP(PE_3[[#This Row],[STN]],SE_3[STN],SE_3[Ethnicity],"",0)</f>
        <v/>
      </c>
    </row>
    <row r="836" spans="1:6" ht="13.9">
      <c r="A836" s="3">
        <v>15417062</v>
      </c>
      <c r="B836" s="10">
        <v>40619</v>
      </c>
      <c r="C836" s="19">
        <v>11.709787816563997</v>
      </c>
      <c r="D836" s="3"/>
      <c r="E836" t="str">
        <f>_xlfn.XLOOKUP(PE_3[[#This Row],[STN]],SE_3[STN],SE_3[IdeaEligibility],"w/o disability",0)</f>
        <v>w/o disability</v>
      </c>
      <c r="F836" t="str">
        <f>_xlfn.XLOOKUP(PE_3[[#This Row],[STN]],SE_3[STN],SE_3[Ethnicity],"",0)</f>
        <v/>
      </c>
    </row>
    <row r="837" spans="1:6" ht="13.9">
      <c r="A837" s="3">
        <v>16217004</v>
      </c>
      <c r="B837" s="10">
        <v>40521</v>
      </c>
      <c r="C837" s="19">
        <v>11.978727885425442</v>
      </c>
      <c r="D837" s="3"/>
      <c r="E837" t="str">
        <f>_xlfn.XLOOKUP(PE_3[[#This Row],[STN]],SE_3[STN],SE_3[IdeaEligibility],"w/o disability",0)</f>
        <v>w/o disability</v>
      </c>
      <c r="F837" t="str">
        <f>_xlfn.XLOOKUP(PE_3[[#This Row],[STN]],SE_3[STN],SE_3[Ethnicity],"",0)</f>
        <v/>
      </c>
    </row>
    <row r="838" spans="1:6" ht="13.9">
      <c r="A838" s="3">
        <v>16417015</v>
      </c>
      <c r="B838" s="10">
        <v>40559</v>
      </c>
      <c r="C838" s="19">
        <v>11.874058863791923</v>
      </c>
      <c r="D838" s="3"/>
      <c r="E838" t="str">
        <f>_xlfn.XLOOKUP(PE_3[[#This Row],[STN]],SE_3[STN],SE_3[IdeaEligibility],"w/o disability",0)</f>
        <v>w/o disability</v>
      </c>
      <c r="F838" t="str">
        <f>_xlfn.XLOOKUP(PE_3[[#This Row],[STN]],SE_3[STN],SE_3[Ethnicity],"",0)</f>
        <v/>
      </c>
    </row>
    <row r="839" spans="1:6" ht="13.9">
      <c r="A839" s="3">
        <v>15417014</v>
      </c>
      <c r="B839" s="10">
        <v>40693</v>
      </c>
      <c r="C839" s="19">
        <v>11.507186858316222</v>
      </c>
      <c r="D839" s="3"/>
      <c r="E839" t="str">
        <f>_xlfn.XLOOKUP(PE_3[[#This Row],[STN]],SE_3[STN],SE_3[IdeaEligibility],"w/o disability",0)</f>
        <v>w/o disability</v>
      </c>
      <c r="F839" t="str">
        <f>_xlfn.XLOOKUP(PE_3[[#This Row],[STN]],SE_3[STN],SE_3[Ethnicity],"",0)</f>
        <v/>
      </c>
    </row>
    <row r="840" spans="1:6" ht="13.9">
      <c r="A840" s="3">
        <v>15417079</v>
      </c>
      <c r="B840" s="10">
        <v>40406</v>
      </c>
      <c r="C840" s="19">
        <v>12.293597304128054</v>
      </c>
      <c r="D840" s="3"/>
      <c r="E840" t="str">
        <f>_xlfn.XLOOKUP(PE_3[[#This Row],[STN]],SE_3[STN],SE_3[IdeaEligibility],"w/o disability",0)</f>
        <v>w/o disability</v>
      </c>
      <c r="F840" t="str">
        <f>_xlfn.XLOOKUP(PE_3[[#This Row],[STN]],SE_3[STN],SE_3[Ethnicity],"",0)</f>
        <v/>
      </c>
    </row>
    <row r="841" spans="1:6" ht="13.9">
      <c r="A841" s="3">
        <v>15417023</v>
      </c>
      <c r="B841" s="10">
        <v>40695</v>
      </c>
      <c r="C841" s="19">
        <v>11.501711156741958</v>
      </c>
      <c r="D841" s="3"/>
      <c r="E841" t="str">
        <f>_xlfn.XLOOKUP(PE_3[[#This Row],[STN]],SE_3[STN],SE_3[IdeaEligibility],"w/o disability",0)</f>
        <v>w/o disability</v>
      </c>
      <c r="F841" t="str">
        <f>_xlfn.XLOOKUP(PE_3[[#This Row],[STN]],SE_3[STN],SE_3[Ethnicity],"",0)</f>
        <v/>
      </c>
    </row>
    <row r="842" spans="1:6" ht="13.9">
      <c r="A842" s="3">
        <v>15417063</v>
      </c>
      <c r="B842" s="10">
        <v>40443</v>
      </c>
      <c r="C842" s="19">
        <v>12.192291491154171</v>
      </c>
      <c r="D842" s="3"/>
      <c r="E842" t="str">
        <f>_xlfn.XLOOKUP(PE_3[[#This Row],[STN]],SE_3[STN],SE_3[IdeaEligibility],"w/o disability",0)</f>
        <v>w/o disability</v>
      </c>
      <c r="F842" t="str">
        <f>_xlfn.XLOOKUP(PE_3[[#This Row],[STN]],SE_3[STN],SE_3[Ethnicity],"",0)</f>
        <v/>
      </c>
    </row>
    <row r="843" spans="1:6" ht="13.9">
      <c r="A843" s="3">
        <v>15417064</v>
      </c>
      <c r="B843" s="10">
        <v>40443</v>
      </c>
      <c r="C843" s="19">
        <v>12.192291491154171</v>
      </c>
      <c r="D843" s="3"/>
      <c r="E843" t="str">
        <f>_xlfn.XLOOKUP(PE_3[[#This Row],[STN]],SE_3[STN],SE_3[IdeaEligibility],"w/o disability",0)</f>
        <v>w/o disability</v>
      </c>
      <c r="F843" t="str">
        <f>_xlfn.XLOOKUP(PE_3[[#This Row],[STN]],SE_3[STN],SE_3[Ethnicity],"",0)</f>
        <v/>
      </c>
    </row>
    <row r="844" spans="1:6" ht="13.9">
      <c r="A844" s="3">
        <v>15417001</v>
      </c>
      <c r="B844" s="10">
        <v>40478</v>
      </c>
      <c r="C844" s="19">
        <v>12.096461668070766</v>
      </c>
      <c r="D844" s="3"/>
      <c r="E844" t="str">
        <f>_xlfn.XLOOKUP(PE_3[[#This Row],[STN]],SE_3[STN],SE_3[IdeaEligibility],"w/o disability",0)</f>
        <v>w/o disability</v>
      </c>
      <c r="F844" t="str">
        <f>_xlfn.XLOOKUP(PE_3[[#This Row],[STN]],SE_3[STN],SE_3[Ethnicity],"",0)</f>
        <v/>
      </c>
    </row>
    <row r="845" spans="1:6" ht="13.9">
      <c r="A845" s="3">
        <v>15417068</v>
      </c>
      <c r="B845" s="10">
        <v>40604</v>
      </c>
      <c r="C845" s="19">
        <v>11.750855578370979</v>
      </c>
      <c r="D845" s="3"/>
      <c r="E845" t="str">
        <f>_xlfn.XLOOKUP(PE_3[[#This Row],[STN]],SE_3[STN],SE_3[IdeaEligibility],"w/o disability",0)</f>
        <v>w/o disability</v>
      </c>
      <c r="F845" t="str">
        <f>_xlfn.XLOOKUP(PE_3[[#This Row],[STN]],SE_3[STN],SE_3[Ethnicity],"",0)</f>
        <v/>
      </c>
    </row>
    <row r="846" spans="1:6" ht="13.9">
      <c r="A846" s="3">
        <v>15717013</v>
      </c>
      <c r="B846" s="10">
        <v>40680</v>
      </c>
      <c r="C846" s="19">
        <v>11.542778918548938</v>
      </c>
      <c r="D846" s="3"/>
      <c r="E846" t="str">
        <f>_xlfn.XLOOKUP(PE_3[[#This Row],[STN]],SE_3[STN],SE_3[IdeaEligibility],"w/o disability",0)</f>
        <v>w/o disability</v>
      </c>
      <c r="F846" t="str">
        <f>_xlfn.XLOOKUP(PE_3[[#This Row],[STN]],SE_3[STN],SE_3[Ethnicity],"",0)</f>
        <v/>
      </c>
    </row>
    <row r="847" spans="1:6" ht="13.9">
      <c r="A847" s="3">
        <v>16417006</v>
      </c>
      <c r="B847" s="10">
        <v>40548</v>
      </c>
      <c r="C847" s="19">
        <v>11.904175222450377</v>
      </c>
      <c r="D847" s="3"/>
      <c r="E847" t="str">
        <f>_xlfn.XLOOKUP(PE_3[[#This Row],[STN]],SE_3[STN],SE_3[IdeaEligibility],"w/o disability",0)</f>
        <v>w/o disability</v>
      </c>
      <c r="F847" t="str">
        <f>_xlfn.XLOOKUP(PE_3[[#This Row],[STN]],SE_3[STN],SE_3[Ethnicity],"",0)</f>
        <v/>
      </c>
    </row>
    <row r="848" spans="1:6" ht="13.9">
      <c r="A848" s="3">
        <v>16417021</v>
      </c>
      <c r="B848" s="10">
        <v>40407</v>
      </c>
      <c r="C848" s="19">
        <v>12.290859309182814</v>
      </c>
      <c r="D848" s="3"/>
      <c r="E848" t="str">
        <f>_xlfn.XLOOKUP(PE_3[[#This Row],[STN]],SE_3[STN],SE_3[IdeaEligibility],"w/o disability",0)</f>
        <v>w/o disability</v>
      </c>
      <c r="F848" t="str">
        <f>_xlfn.XLOOKUP(PE_3[[#This Row],[STN]],SE_3[STN],SE_3[Ethnicity],"",0)</f>
        <v/>
      </c>
    </row>
    <row r="849" spans="1:6" ht="13.9">
      <c r="A849" s="3">
        <v>8916547</v>
      </c>
      <c r="B849" s="10">
        <v>40490</v>
      </c>
      <c r="C849" s="19">
        <v>12.063605728727886</v>
      </c>
      <c r="D849" s="3"/>
      <c r="E849" t="str">
        <f>_xlfn.XLOOKUP(PE_3[[#This Row],[STN]],SE_3[STN],SE_3[IdeaEligibility],"w/o disability",0)</f>
        <v>w/o disability</v>
      </c>
      <c r="F849" t="str">
        <f>_xlfn.XLOOKUP(PE_3[[#This Row],[STN]],SE_3[STN],SE_3[Ethnicity],"",0)</f>
        <v/>
      </c>
    </row>
    <row r="850" spans="1:6" ht="13.9">
      <c r="A850" s="3">
        <v>15417080</v>
      </c>
      <c r="B850" s="10">
        <v>40408</v>
      </c>
      <c r="C850" s="19">
        <v>12.288121314237573</v>
      </c>
      <c r="D850" s="3"/>
      <c r="E850" t="str">
        <f>_xlfn.XLOOKUP(PE_3[[#This Row],[STN]],SE_3[STN],SE_3[IdeaEligibility],"w/o disability",0)</f>
        <v>w/o disability</v>
      </c>
      <c r="F850" t="str">
        <f>_xlfn.XLOOKUP(PE_3[[#This Row],[STN]],SE_3[STN],SE_3[Ethnicity],"",0)</f>
        <v/>
      </c>
    </row>
    <row r="851" spans="1:6" ht="13.9">
      <c r="A851" s="3">
        <v>16217025</v>
      </c>
      <c r="B851" s="10">
        <v>40539</v>
      </c>
      <c r="C851" s="19">
        <v>11.92944397641112</v>
      </c>
      <c r="D851" s="3"/>
      <c r="E851" t="str">
        <f>_xlfn.XLOOKUP(PE_3[[#This Row],[STN]],SE_3[STN],SE_3[IdeaEligibility],"w/o disability",0)</f>
        <v>w/o disability</v>
      </c>
      <c r="F851" t="str">
        <f>_xlfn.XLOOKUP(PE_3[[#This Row],[STN]],SE_3[STN],SE_3[Ethnicity],"",0)</f>
        <v/>
      </c>
    </row>
    <row r="852" spans="1:6" ht="13.9">
      <c r="A852" s="3">
        <v>16417007</v>
      </c>
      <c r="B852" s="10">
        <v>40544</v>
      </c>
      <c r="C852" s="19">
        <v>11.915126625598905</v>
      </c>
      <c r="D852" s="3"/>
      <c r="E852" t="str">
        <f>_xlfn.XLOOKUP(PE_3[[#This Row],[STN]],SE_3[STN],SE_3[IdeaEligibility],"w/o disability",0)</f>
        <v>w/o disability</v>
      </c>
      <c r="F852" t="str">
        <f>_xlfn.XLOOKUP(PE_3[[#This Row],[STN]],SE_3[STN],SE_3[Ethnicity],"",0)</f>
        <v/>
      </c>
    </row>
    <row r="853" spans="1:6" ht="13.9">
      <c r="A853" s="3">
        <v>23917056</v>
      </c>
      <c r="B853" s="10">
        <v>40606</v>
      </c>
      <c r="C853" s="19">
        <v>11.745379876796715</v>
      </c>
      <c r="D853" s="3"/>
      <c r="E853" t="str">
        <f>_xlfn.XLOOKUP(PE_3[[#This Row],[STN]],SE_3[STN],SE_3[IdeaEligibility],"w/o disability",0)</f>
        <v>w/o disability</v>
      </c>
      <c r="F853" t="str">
        <f>_xlfn.XLOOKUP(PE_3[[#This Row],[STN]],SE_3[STN],SE_3[Ethnicity],"",0)</f>
        <v/>
      </c>
    </row>
    <row r="854" spans="1:6" ht="13.9">
      <c r="A854" s="3">
        <v>19317038</v>
      </c>
      <c r="B854" s="10">
        <v>40624</v>
      </c>
      <c r="C854" s="19">
        <v>11.696098562628336</v>
      </c>
      <c r="D854" s="3"/>
      <c r="E854" t="str">
        <f>_xlfn.XLOOKUP(PE_3[[#This Row],[STN]],SE_3[STN],SE_3[IdeaEligibility],"w/o disability",0)</f>
        <v>w/o disability</v>
      </c>
      <c r="F854" t="str">
        <f>_xlfn.XLOOKUP(PE_3[[#This Row],[STN]],SE_3[STN],SE_3[Ethnicity],"",0)</f>
        <v/>
      </c>
    </row>
    <row r="855" spans="1:6" ht="13.9">
      <c r="A855" s="3">
        <v>18617042</v>
      </c>
      <c r="B855" s="10">
        <v>40382</v>
      </c>
      <c r="C855" s="19">
        <v>12.359309182813817</v>
      </c>
      <c r="D855" s="3"/>
      <c r="E855" t="str">
        <f>_xlfn.XLOOKUP(PE_3[[#This Row],[STN]],SE_3[STN],SE_3[IdeaEligibility],"w/o disability",0)</f>
        <v>w/o disability</v>
      </c>
      <c r="F855" t="str">
        <f>_xlfn.XLOOKUP(PE_3[[#This Row],[STN]],SE_3[STN],SE_3[Ethnicity],"",0)</f>
        <v/>
      </c>
    </row>
    <row r="856" spans="1:6" ht="13.9">
      <c r="A856" s="3">
        <v>15417081</v>
      </c>
      <c r="B856" s="10">
        <v>40592</v>
      </c>
      <c r="C856" s="19">
        <v>11.783709787816564</v>
      </c>
      <c r="D856" s="3"/>
      <c r="E856" t="str">
        <f>_xlfn.XLOOKUP(PE_3[[#This Row],[STN]],SE_3[STN],SE_3[IdeaEligibility],"w/o disability",0)</f>
        <v>w/o disability</v>
      </c>
      <c r="F856" t="str">
        <f>_xlfn.XLOOKUP(PE_3[[#This Row],[STN]],SE_3[STN],SE_3[Ethnicity],"",0)</f>
        <v/>
      </c>
    </row>
    <row r="857" spans="1:6" ht="13.9">
      <c r="A857" s="3">
        <v>16217077</v>
      </c>
      <c r="B857" s="10">
        <v>40746</v>
      </c>
      <c r="C857" s="19">
        <v>11.36208076659822</v>
      </c>
      <c r="D857" s="3"/>
      <c r="E857" t="str">
        <f>_xlfn.XLOOKUP(PE_3[[#This Row],[STN]],SE_3[STN],SE_3[IdeaEligibility],"w/o disability",0)</f>
        <v>w/o disability</v>
      </c>
      <c r="F857" t="str">
        <f>_xlfn.XLOOKUP(PE_3[[#This Row],[STN]],SE_3[STN],SE_3[Ethnicity],"",0)</f>
        <v/>
      </c>
    </row>
    <row r="858" spans="1:6" ht="13.9">
      <c r="A858" s="3">
        <v>16417026</v>
      </c>
      <c r="B858" s="10">
        <v>40538</v>
      </c>
      <c r="C858" s="19">
        <v>11.932181971356361</v>
      </c>
      <c r="D858" s="3"/>
      <c r="E858" t="str">
        <f>_xlfn.XLOOKUP(PE_3[[#This Row],[STN]],SE_3[STN],SE_3[IdeaEligibility],"w/o disability",0)</f>
        <v>w/o disability</v>
      </c>
      <c r="F858" t="str">
        <f>_xlfn.XLOOKUP(PE_3[[#This Row],[STN]],SE_3[STN],SE_3[Ethnicity],"",0)</f>
        <v/>
      </c>
    </row>
    <row r="859" spans="1:6" ht="13.9">
      <c r="A859" s="3">
        <v>16217010</v>
      </c>
      <c r="B859" s="10">
        <v>40547</v>
      </c>
      <c r="C859" s="19">
        <v>11.906913073237508</v>
      </c>
      <c r="D859" s="3"/>
      <c r="E859" t="str">
        <f>_xlfn.XLOOKUP(PE_3[[#This Row],[STN]],SE_3[STN],SE_3[IdeaEligibility],"w/o disability",0)</f>
        <v>w/o disability</v>
      </c>
      <c r="F859" t="str">
        <f>_xlfn.XLOOKUP(PE_3[[#This Row],[STN]],SE_3[STN],SE_3[Ethnicity],"",0)</f>
        <v/>
      </c>
    </row>
    <row r="860" spans="1:6" ht="13.9">
      <c r="A860" s="3">
        <v>16417023</v>
      </c>
      <c r="B860" s="10">
        <v>40519</v>
      </c>
      <c r="C860" s="19">
        <v>11.984203875315922</v>
      </c>
      <c r="D860" s="3"/>
      <c r="E860" t="str">
        <f>_xlfn.XLOOKUP(PE_3[[#This Row],[STN]],SE_3[STN],SE_3[IdeaEligibility],"w/o disability",0)</f>
        <v>w/o disability</v>
      </c>
      <c r="F860" t="str">
        <f>_xlfn.XLOOKUP(PE_3[[#This Row],[STN]],SE_3[STN],SE_3[Ethnicity],"",0)</f>
        <v/>
      </c>
    </row>
    <row r="861" spans="1:6" ht="13.9">
      <c r="A861" s="3">
        <v>16417001</v>
      </c>
      <c r="B861" s="10">
        <v>40598</v>
      </c>
      <c r="C861" s="19">
        <v>11.767282683093772</v>
      </c>
      <c r="D861" s="3"/>
      <c r="E861" t="str">
        <f>_xlfn.XLOOKUP(PE_3[[#This Row],[STN]],SE_3[STN],SE_3[IdeaEligibility],"w/o disability",0)</f>
        <v>w/o disability</v>
      </c>
      <c r="F861" t="str">
        <f>_xlfn.XLOOKUP(PE_3[[#This Row],[STN]],SE_3[STN],SE_3[Ethnicity],"",0)</f>
        <v/>
      </c>
    </row>
    <row r="862" spans="1:6" ht="13.9">
      <c r="A862" s="3">
        <v>16417002</v>
      </c>
      <c r="B862" s="10">
        <v>40618</v>
      </c>
      <c r="C862" s="19">
        <v>11.71252566735113</v>
      </c>
      <c r="D862" s="3"/>
      <c r="E862" t="str">
        <f>_xlfn.XLOOKUP(PE_3[[#This Row],[STN]],SE_3[STN],SE_3[IdeaEligibility],"w/o disability",0)</f>
        <v>w/o disability</v>
      </c>
      <c r="F862" t="str">
        <f>_xlfn.XLOOKUP(PE_3[[#This Row],[STN]],SE_3[STN],SE_3[Ethnicity],"",0)</f>
        <v/>
      </c>
    </row>
    <row r="863" spans="1:6" ht="13.9">
      <c r="A863" s="3">
        <v>16417010</v>
      </c>
      <c r="B863" s="10">
        <v>40602</v>
      </c>
      <c r="C863" s="19">
        <v>11.756331279945243</v>
      </c>
      <c r="D863" s="3"/>
      <c r="E863" t="str">
        <f>_xlfn.XLOOKUP(PE_3[[#This Row],[STN]],SE_3[STN],SE_3[IdeaEligibility],"w/o disability",0)</f>
        <v>w/o disability</v>
      </c>
      <c r="F863" t="str">
        <f>_xlfn.XLOOKUP(PE_3[[#This Row],[STN]],SE_3[STN],SE_3[Ethnicity],"",0)</f>
        <v/>
      </c>
    </row>
    <row r="864" spans="1:6" ht="13.9">
      <c r="A864" s="3">
        <v>16417011</v>
      </c>
      <c r="B864" s="10">
        <v>40497</v>
      </c>
      <c r="C864" s="19">
        <v>12.044439764111205</v>
      </c>
      <c r="D864" s="3"/>
      <c r="E864" t="str">
        <f>_xlfn.XLOOKUP(PE_3[[#This Row],[STN]],SE_3[STN],SE_3[IdeaEligibility],"w/o disability",0)</f>
        <v>w/o disability</v>
      </c>
      <c r="F864" t="str">
        <f>_xlfn.XLOOKUP(PE_3[[#This Row],[STN]],SE_3[STN],SE_3[Ethnicity],"",0)</f>
        <v/>
      </c>
    </row>
    <row r="865" spans="1:6" ht="13.9">
      <c r="A865" s="3">
        <v>16417025</v>
      </c>
      <c r="B865" s="10">
        <v>40697</v>
      </c>
      <c r="C865" s="19">
        <v>11.496235455167694</v>
      </c>
      <c r="D865" s="3"/>
      <c r="E865" t="str">
        <f>_xlfn.XLOOKUP(PE_3[[#This Row],[STN]],SE_3[STN],SE_3[IdeaEligibility],"w/o disability",0)</f>
        <v>w/o disability</v>
      </c>
      <c r="F865" t="str">
        <f>_xlfn.XLOOKUP(PE_3[[#This Row],[STN]],SE_3[STN],SE_3[Ethnicity],"",0)</f>
        <v/>
      </c>
    </row>
    <row r="866" spans="1:6" ht="13.9">
      <c r="A866" s="3" t="s">
        <v>653</v>
      </c>
      <c r="B866" s="10">
        <v>40262</v>
      </c>
      <c r="C866" s="19">
        <v>12.687868576242629</v>
      </c>
      <c r="D866" s="3"/>
      <c r="E866" t="str">
        <f>_xlfn.XLOOKUP(PE_3[[#This Row],[STN]],SE_3[STN],SE_3[IdeaEligibility],"w/o disability",0)</f>
        <v>w/o disability</v>
      </c>
      <c r="F866" t="str">
        <f>_xlfn.XLOOKUP(PE_3[[#This Row],[STN]],SE_3[STN],SE_3[Ethnicity],"",0)</f>
        <v/>
      </c>
    </row>
    <row r="867" spans="1:6" ht="13.9">
      <c r="A867" s="3">
        <v>16417014</v>
      </c>
      <c r="B867" s="10">
        <v>40417</v>
      </c>
      <c r="C867" s="19">
        <v>12.263479359730413</v>
      </c>
      <c r="D867" s="3"/>
      <c r="E867" t="str">
        <f>_xlfn.XLOOKUP(PE_3[[#This Row],[STN]],SE_3[STN],SE_3[IdeaEligibility],"w/o disability",0)</f>
        <v>w/o disability</v>
      </c>
      <c r="F867" t="str">
        <f>_xlfn.XLOOKUP(PE_3[[#This Row],[STN]],SE_3[STN],SE_3[Ethnicity],"",0)</f>
        <v/>
      </c>
    </row>
    <row r="868" spans="1:6" ht="13.9">
      <c r="A868" s="3">
        <v>29117151</v>
      </c>
      <c r="B868" s="10">
        <v>40375</v>
      </c>
      <c r="C868" s="19">
        <v>12.378475147430498</v>
      </c>
      <c r="D868" s="3"/>
      <c r="E868" t="str">
        <f>_xlfn.XLOOKUP(PE_3[[#This Row],[STN]],SE_3[STN],SE_3[IdeaEligibility],"w/o disability",0)</f>
        <v>w/o disability</v>
      </c>
      <c r="F868" t="str">
        <f>_xlfn.XLOOKUP(PE_3[[#This Row],[STN]],SE_3[STN],SE_3[Ethnicity],"",0)</f>
        <v/>
      </c>
    </row>
    <row r="869" spans="1:6" ht="13.9">
      <c r="A869" s="3">
        <v>16217022</v>
      </c>
      <c r="B869" s="10">
        <v>40730</v>
      </c>
      <c r="C869" s="19">
        <v>11.405886379192333</v>
      </c>
      <c r="D869" s="3"/>
      <c r="E869" t="str">
        <f>_xlfn.XLOOKUP(PE_3[[#This Row],[STN]],SE_3[STN],SE_3[IdeaEligibility],"w/o disability",0)</f>
        <v>w/o disability</v>
      </c>
      <c r="F869" t="str">
        <f>_xlfn.XLOOKUP(PE_3[[#This Row],[STN]],SE_3[STN],SE_3[Ethnicity],"",0)</f>
        <v/>
      </c>
    </row>
    <row r="870" spans="1:6" ht="13.9">
      <c r="A870" s="3">
        <v>16417020</v>
      </c>
      <c r="B870" s="10">
        <v>40584</v>
      </c>
      <c r="C870" s="19">
        <v>11.805612594113621</v>
      </c>
      <c r="D870" s="3"/>
      <c r="E870" t="str">
        <f>_xlfn.XLOOKUP(PE_3[[#This Row],[STN]],SE_3[STN],SE_3[IdeaEligibility],"w/o disability",0)</f>
        <v>w/o disability</v>
      </c>
      <c r="F870" t="str">
        <f>_xlfn.XLOOKUP(PE_3[[#This Row],[STN]],SE_3[STN],SE_3[Ethnicity],"",0)</f>
        <v/>
      </c>
    </row>
    <row r="871" spans="1:6" ht="13.9">
      <c r="A871" s="3">
        <v>16417029</v>
      </c>
      <c r="B871" s="10">
        <v>40476</v>
      </c>
      <c r="C871" s="19">
        <v>12.101937657961248</v>
      </c>
      <c r="D871" s="3"/>
      <c r="E871" t="str">
        <f>_xlfn.XLOOKUP(PE_3[[#This Row],[STN]],SE_3[STN],SE_3[IdeaEligibility],"w/o disability",0)</f>
        <v>w/o disability</v>
      </c>
      <c r="F871" t="str">
        <f>_xlfn.XLOOKUP(PE_3[[#This Row],[STN]],SE_3[STN],SE_3[Ethnicity],"",0)</f>
        <v/>
      </c>
    </row>
    <row r="872" spans="1:6" ht="13.9">
      <c r="A872" s="3">
        <v>23917002</v>
      </c>
      <c r="B872" s="10">
        <v>40706</v>
      </c>
      <c r="C872" s="19">
        <v>11.471594798083505</v>
      </c>
      <c r="D872" s="3"/>
      <c r="E872" t="str">
        <f>_xlfn.XLOOKUP(PE_3[[#This Row],[STN]],SE_3[STN],SE_3[IdeaEligibility],"w/o disability",0)</f>
        <v>w/o disability</v>
      </c>
      <c r="F872" t="str">
        <f>_xlfn.XLOOKUP(PE_3[[#This Row],[STN]],SE_3[STN],SE_3[Ethnicity],"",0)</f>
        <v/>
      </c>
    </row>
    <row r="873" spans="1:6" ht="13.9">
      <c r="A873" s="3">
        <v>31016018</v>
      </c>
      <c r="B873" s="10">
        <v>40113</v>
      </c>
      <c r="C873" s="19">
        <v>13.09642088793272</v>
      </c>
      <c r="D873" s="3"/>
      <c r="E873" t="str">
        <f>_xlfn.XLOOKUP(PE_3[[#This Row],[STN]],SE_3[STN],SE_3[IdeaEligibility],"w/o disability",0)</f>
        <v>w/o disability</v>
      </c>
      <c r="F873" t="str">
        <f>_xlfn.XLOOKUP(PE_3[[#This Row],[STN]],SE_3[STN],SE_3[Ethnicity],"",0)</f>
        <v/>
      </c>
    </row>
    <row r="874" spans="1:6" ht="13.9">
      <c r="A874" s="3">
        <v>24116020</v>
      </c>
      <c r="B874" s="10">
        <v>40646</v>
      </c>
      <c r="C874" s="19">
        <v>11.635865845311431</v>
      </c>
      <c r="D874" s="3"/>
      <c r="E874" t="str">
        <f>_xlfn.XLOOKUP(PE_3[[#This Row],[STN]],SE_3[STN],SE_3[IdeaEligibility],"w/o disability",0)</f>
        <v>w/o disability</v>
      </c>
      <c r="F874" t="str">
        <f>_xlfn.XLOOKUP(PE_3[[#This Row],[STN]],SE_3[STN],SE_3[Ethnicity],"",0)</f>
        <v/>
      </c>
    </row>
    <row r="875" spans="1:6" ht="13.9">
      <c r="A875" s="5">
        <v>240916002</v>
      </c>
      <c r="B875" s="10">
        <v>40154</v>
      </c>
      <c r="C875" s="19">
        <v>12.984158028554665</v>
      </c>
      <c r="D875" s="3"/>
      <c r="E875" t="str">
        <f>_xlfn.XLOOKUP(PE_3[[#This Row],[STN]],SE_3[STN],SE_3[IdeaEligibility],"w/o disability",0)</f>
        <v>w/o disability</v>
      </c>
      <c r="F875" t="str">
        <f>_xlfn.XLOOKUP(PE_3[[#This Row],[STN]],SE_3[STN],SE_3[Ethnicity],"",0)</f>
        <v/>
      </c>
    </row>
    <row r="876" spans="1:6" ht="13.9">
      <c r="A876" s="3">
        <v>13716021</v>
      </c>
      <c r="B876" s="10">
        <v>40731</v>
      </c>
      <c r="C876" s="19">
        <v>11.403148528405202</v>
      </c>
      <c r="D876" s="3"/>
      <c r="E876" t="str">
        <f>_xlfn.XLOOKUP(PE_3[[#This Row],[STN]],SE_3[STN],SE_3[IdeaEligibility],"w/o disability",0)</f>
        <v>w/o disability</v>
      </c>
      <c r="F876" t="str">
        <f>_xlfn.XLOOKUP(PE_3[[#This Row],[STN]],SE_3[STN],SE_3[Ethnicity],"",0)</f>
        <v/>
      </c>
    </row>
    <row r="877" spans="1:6" ht="13.9">
      <c r="A877" s="3">
        <v>21716013</v>
      </c>
      <c r="B877" s="10">
        <v>40567</v>
      </c>
      <c r="C877" s="19">
        <v>11.852156057494867</v>
      </c>
      <c r="D877" s="3"/>
      <c r="E877" t="str">
        <f>_xlfn.XLOOKUP(PE_3[[#This Row],[STN]],SE_3[STN],SE_3[IdeaEligibility],"w/o disability",0)</f>
        <v>w/o disability</v>
      </c>
      <c r="F877" t="str">
        <f>_xlfn.XLOOKUP(PE_3[[#This Row],[STN]],SE_3[STN],SE_3[Ethnicity],"",0)</f>
        <v/>
      </c>
    </row>
    <row r="878" spans="1:6" ht="13.9">
      <c r="A878" s="3">
        <v>31016016</v>
      </c>
      <c r="B878" s="10">
        <v>40142</v>
      </c>
      <c r="C878" s="19">
        <v>13.017015450811657</v>
      </c>
      <c r="D878" s="3"/>
      <c r="E878" t="str">
        <f>_xlfn.XLOOKUP(PE_3[[#This Row],[STN]],SE_3[STN],SE_3[IdeaEligibility],"w/o disability",0)</f>
        <v>w/o disability</v>
      </c>
      <c r="F878" t="str">
        <f>_xlfn.XLOOKUP(PE_3[[#This Row],[STN]],SE_3[STN],SE_3[Ethnicity],"",0)</f>
        <v/>
      </c>
    </row>
    <row r="879" spans="1:6" ht="13.9">
      <c r="A879" s="3">
        <v>31016030</v>
      </c>
      <c r="B879" s="10">
        <v>40145</v>
      </c>
      <c r="C879" s="19">
        <v>13.008801095247408</v>
      </c>
      <c r="D879" s="3"/>
      <c r="E879" t="str">
        <f>_xlfn.XLOOKUP(PE_3[[#This Row],[STN]],SE_3[STN],SE_3[IdeaEligibility],"w/o disability",0)</f>
        <v>w/o disability</v>
      </c>
      <c r="F879" t="str">
        <f>_xlfn.XLOOKUP(PE_3[[#This Row],[STN]],SE_3[STN],SE_3[Ethnicity],"",0)</f>
        <v/>
      </c>
    </row>
    <row r="880" spans="1:6" ht="13.9">
      <c r="A880" s="3">
        <v>14117013</v>
      </c>
      <c r="B880" s="10">
        <v>40613</v>
      </c>
      <c r="C880" s="19">
        <v>11.72621492128679</v>
      </c>
      <c r="D880" s="3"/>
      <c r="E880" t="str">
        <f>_xlfn.XLOOKUP(PE_3[[#This Row],[STN]],SE_3[STN],SE_3[IdeaEligibility],"w/o disability",0)</f>
        <v>w/o disability</v>
      </c>
      <c r="F880" t="str">
        <f>_xlfn.XLOOKUP(PE_3[[#This Row],[STN]],SE_3[STN],SE_3[Ethnicity],"",0)</f>
        <v/>
      </c>
    </row>
    <row r="881" spans="1:6" ht="13.9">
      <c r="A881" s="3">
        <v>21316005</v>
      </c>
      <c r="B881" s="10">
        <v>39871</v>
      </c>
      <c r="C881" s="19">
        <v>13.759045570115392</v>
      </c>
      <c r="D881" s="3"/>
      <c r="E881" t="str">
        <f>_xlfn.XLOOKUP(PE_3[[#This Row],[STN]],SE_3[STN],SE_3[IdeaEligibility],"w/o disability",0)</f>
        <v>w/o disability</v>
      </c>
      <c r="F881" t="str">
        <f>_xlfn.XLOOKUP(PE_3[[#This Row],[STN]],SE_3[STN],SE_3[Ethnicity],"",0)</f>
        <v/>
      </c>
    </row>
    <row r="882" spans="1:6" ht="13.9">
      <c r="A882" s="3">
        <v>23316004</v>
      </c>
      <c r="B882" s="10">
        <v>40090</v>
      </c>
      <c r="C882" s="19">
        <v>13.159397613925288</v>
      </c>
      <c r="D882" s="3"/>
      <c r="E882" t="str">
        <f>_xlfn.XLOOKUP(PE_3[[#This Row],[STN]],SE_3[STN],SE_3[IdeaEligibility],"w/o disability",0)</f>
        <v>w/o disability</v>
      </c>
      <c r="F882" t="str">
        <f>_xlfn.XLOOKUP(PE_3[[#This Row],[STN]],SE_3[STN],SE_3[Ethnicity],"",0)</f>
        <v/>
      </c>
    </row>
    <row r="883" spans="1:6" ht="13.9">
      <c r="A883" s="3">
        <v>23916005</v>
      </c>
      <c r="B883" s="10">
        <v>40150</v>
      </c>
      <c r="C883" s="19">
        <v>12.995110502640328</v>
      </c>
      <c r="D883" s="3"/>
      <c r="E883" t="str">
        <f>_xlfn.XLOOKUP(PE_3[[#This Row],[STN]],SE_3[STN],SE_3[IdeaEligibility],"w/o disability",0)</f>
        <v>w/o disability</v>
      </c>
      <c r="F883" t="str">
        <f>_xlfn.XLOOKUP(PE_3[[#This Row],[STN]],SE_3[STN],SE_3[Ethnicity],"",0)</f>
        <v/>
      </c>
    </row>
    <row r="884" spans="1:6" ht="13.9">
      <c r="A884" s="3">
        <v>10721003</v>
      </c>
      <c r="B884" s="10">
        <v>39837</v>
      </c>
      <c r="C884" s="19">
        <v>13.852141599843536</v>
      </c>
      <c r="D884" s="3"/>
      <c r="E884" t="str">
        <f>_xlfn.XLOOKUP(PE_3[[#This Row],[STN]],SE_3[STN],SE_3[IdeaEligibility],"w/o disability",0)</f>
        <v>w/o disability</v>
      </c>
      <c r="F884" t="str">
        <f>_xlfn.XLOOKUP(PE_3[[#This Row],[STN]],SE_3[STN],SE_3[Ethnicity],"",0)</f>
        <v/>
      </c>
    </row>
    <row r="885" spans="1:6" ht="13.9">
      <c r="A885" s="3">
        <v>16417031</v>
      </c>
      <c r="B885" s="10">
        <v>40738</v>
      </c>
      <c r="C885" s="19">
        <v>11.383983572895277</v>
      </c>
      <c r="D885" s="3"/>
      <c r="E885" t="str">
        <f>_xlfn.XLOOKUP(PE_3[[#This Row],[STN]],SE_3[STN],SE_3[IdeaEligibility],"w/o disability",0)</f>
        <v>w/o disability</v>
      </c>
      <c r="F885" t="str">
        <f>_xlfn.XLOOKUP(PE_3[[#This Row],[STN]],SE_3[STN],SE_3[Ethnicity],"",0)</f>
        <v/>
      </c>
    </row>
    <row r="886" spans="1:6" ht="13.9">
      <c r="A886" s="3">
        <v>8317004</v>
      </c>
      <c r="B886" s="10">
        <v>40690</v>
      </c>
      <c r="C886" s="19">
        <v>11.515400410677618</v>
      </c>
      <c r="D886" s="3"/>
      <c r="E886" t="str">
        <f>_xlfn.XLOOKUP(PE_3[[#This Row],[STN]],SE_3[STN],SE_3[IdeaEligibility],"w/o disability",0)</f>
        <v>w/o disability</v>
      </c>
      <c r="F886" t="str">
        <f>_xlfn.XLOOKUP(PE_3[[#This Row],[STN]],SE_3[STN],SE_3[Ethnicity],"",0)</f>
        <v/>
      </c>
    </row>
    <row r="887" spans="1:6" ht="13.9">
      <c r="A887" s="3">
        <v>16417022</v>
      </c>
      <c r="B887" s="10">
        <v>40648</v>
      </c>
      <c r="C887" s="19">
        <v>11.630390143737166</v>
      </c>
      <c r="D887" s="3"/>
      <c r="E887" t="str">
        <f>_xlfn.XLOOKUP(PE_3[[#This Row],[STN]],SE_3[STN],SE_3[IdeaEligibility],"w/o disability",0)</f>
        <v>w/o disability</v>
      </c>
      <c r="F887" t="str">
        <f>_xlfn.XLOOKUP(PE_3[[#This Row],[STN]],SE_3[STN],SE_3[Ethnicity],"",0)</f>
        <v/>
      </c>
    </row>
    <row r="888" spans="1:6" ht="13.9">
      <c r="A888" s="3">
        <v>21717015</v>
      </c>
      <c r="B888" s="10">
        <v>40607</v>
      </c>
      <c r="C888" s="19">
        <v>11.742642026009582</v>
      </c>
      <c r="D888" s="3"/>
      <c r="E888" t="str">
        <f>_xlfn.XLOOKUP(PE_3[[#This Row],[STN]],SE_3[STN],SE_3[IdeaEligibility],"w/o disability",0)</f>
        <v>w/o disability</v>
      </c>
      <c r="F888" t="str">
        <f>_xlfn.XLOOKUP(PE_3[[#This Row],[STN]],SE_3[STN],SE_3[Ethnicity],"",0)</f>
        <v/>
      </c>
    </row>
    <row r="889" spans="1:6" ht="13.9">
      <c r="A889" s="3">
        <v>23917013</v>
      </c>
      <c r="B889" s="10">
        <v>40641</v>
      </c>
      <c r="C889" s="19">
        <v>11.649555099247092</v>
      </c>
      <c r="D889" s="3"/>
      <c r="E889" t="str">
        <f>_xlfn.XLOOKUP(PE_3[[#This Row],[STN]],SE_3[STN],SE_3[IdeaEligibility],"w/o disability",0)</f>
        <v>w/o disability</v>
      </c>
      <c r="F889" t="str">
        <f>_xlfn.XLOOKUP(PE_3[[#This Row],[STN]],SE_3[STN],SE_3[Ethnicity],"",0)</f>
        <v/>
      </c>
    </row>
    <row r="890" spans="1:6" ht="13.9">
      <c r="A890" s="3">
        <v>23917019</v>
      </c>
      <c r="B890" s="10">
        <v>40629</v>
      </c>
      <c r="C890" s="19">
        <v>11.682409308692677</v>
      </c>
      <c r="D890" s="3"/>
      <c r="E890" t="str">
        <f>_xlfn.XLOOKUP(PE_3[[#This Row],[STN]],SE_3[STN],SE_3[IdeaEligibility],"w/o disability",0)</f>
        <v>w/o disability</v>
      </c>
      <c r="F890" t="str">
        <f>_xlfn.XLOOKUP(PE_3[[#This Row],[STN]],SE_3[STN],SE_3[Ethnicity],"",0)</f>
        <v/>
      </c>
    </row>
    <row r="891" spans="1:6" ht="13.9">
      <c r="A891" s="3">
        <v>15417085</v>
      </c>
      <c r="B891" s="10">
        <v>40376</v>
      </c>
      <c r="C891" s="19">
        <v>12.375737152485257</v>
      </c>
      <c r="D891" s="3"/>
      <c r="E891" t="str">
        <f>_xlfn.XLOOKUP(PE_3[[#This Row],[STN]],SE_3[STN],SE_3[IdeaEligibility],"w/o disability",0)</f>
        <v>w/o disability</v>
      </c>
      <c r="F891" t="str">
        <f>_xlfn.XLOOKUP(PE_3[[#This Row],[STN]],SE_3[STN],SE_3[Ethnicity],"",0)</f>
        <v/>
      </c>
    </row>
    <row r="892" spans="1:6" ht="13.9">
      <c r="A892" s="5">
        <v>529014712</v>
      </c>
      <c r="B892" s="10">
        <v>40200</v>
      </c>
      <c r="C892" s="19">
        <v>12.857624262847516</v>
      </c>
      <c r="D892" s="3"/>
      <c r="E892" t="str">
        <f>_xlfn.XLOOKUP(PE_3[[#This Row],[STN]],SE_3[STN],SE_3[IdeaEligibility],"w/o disability",0)</f>
        <v>w/o disability</v>
      </c>
      <c r="F892" t="str">
        <f>_xlfn.XLOOKUP(PE_3[[#This Row],[STN]],SE_3[STN],SE_3[Ethnicity],"",0)</f>
        <v/>
      </c>
    </row>
    <row r="893" spans="1:6" ht="13.9">
      <c r="A893" s="3">
        <v>16217043</v>
      </c>
      <c r="B893" s="10">
        <v>40052</v>
      </c>
      <c r="C893" s="19">
        <v>13.263446117739097</v>
      </c>
      <c r="D893" s="3"/>
      <c r="E893" t="str">
        <f>_xlfn.XLOOKUP(PE_3[[#This Row],[STN]],SE_3[STN],SE_3[IdeaEligibility],"w/o disability",0)</f>
        <v>w/o disability</v>
      </c>
      <c r="F893" t="str">
        <f>_xlfn.XLOOKUP(PE_3[[#This Row],[STN]],SE_3[STN],SE_3[Ethnicity],"",0)</f>
        <v/>
      </c>
    </row>
    <row r="894" spans="1:6" ht="13.9">
      <c r="A894" s="3">
        <v>14917021</v>
      </c>
      <c r="B894" s="10">
        <v>40459</v>
      </c>
      <c r="C894" s="19">
        <v>12.148483572030329</v>
      </c>
      <c r="D894" s="3"/>
      <c r="E894" t="str">
        <f>_xlfn.XLOOKUP(PE_3[[#This Row],[STN]],SE_3[STN],SE_3[IdeaEligibility],"w/o disability",0)</f>
        <v>w/o disability</v>
      </c>
      <c r="F894" t="str">
        <f>_xlfn.XLOOKUP(PE_3[[#This Row],[STN]],SE_3[STN],SE_3[Ethnicity],"",0)</f>
        <v/>
      </c>
    </row>
    <row r="895" spans="1:6" ht="13.9">
      <c r="A895" s="3">
        <v>26917026</v>
      </c>
      <c r="B895" s="10">
        <v>40705</v>
      </c>
      <c r="C895" s="19">
        <v>11.474332648870636</v>
      </c>
      <c r="D895" s="3"/>
      <c r="E895" t="str">
        <f>_xlfn.XLOOKUP(PE_3[[#This Row],[STN]],SE_3[STN],SE_3[IdeaEligibility],"w/o disability",0)</f>
        <v>w/o disability</v>
      </c>
      <c r="F895" t="str">
        <f>_xlfn.XLOOKUP(PE_3[[#This Row],[STN]],SE_3[STN],SE_3[Ethnicity],"",0)</f>
        <v/>
      </c>
    </row>
    <row r="896" spans="1:6" ht="13.9">
      <c r="A896" s="3">
        <v>26917030</v>
      </c>
      <c r="B896" s="10">
        <v>40605</v>
      </c>
      <c r="C896" s="19">
        <v>11.748117727583846</v>
      </c>
      <c r="D896" s="3"/>
      <c r="E896" t="str">
        <f>_xlfn.XLOOKUP(PE_3[[#This Row],[STN]],SE_3[STN],SE_3[IdeaEligibility],"w/o disability",0)</f>
        <v>w/o disability</v>
      </c>
      <c r="F896" t="str">
        <f>_xlfn.XLOOKUP(PE_3[[#This Row],[STN]],SE_3[STN],SE_3[Ethnicity],"",0)</f>
        <v/>
      </c>
    </row>
    <row r="897" spans="1:6" ht="13.9">
      <c r="A897" s="3">
        <v>14917022</v>
      </c>
      <c r="B897" s="10">
        <v>40459</v>
      </c>
      <c r="C897" s="19">
        <v>12.148483572030329</v>
      </c>
      <c r="D897" s="3"/>
      <c r="E897" t="str">
        <f>_xlfn.XLOOKUP(PE_3[[#This Row],[STN]],SE_3[STN],SE_3[IdeaEligibility],"w/o disability",0)</f>
        <v>w/o disability</v>
      </c>
      <c r="F897" t="str">
        <f>_xlfn.XLOOKUP(PE_3[[#This Row],[STN]],SE_3[STN],SE_3[Ethnicity],"",0)</f>
        <v/>
      </c>
    </row>
    <row r="898" spans="1:6" ht="13.9">
      <c r="A898" s="3" t="s">
        <v>654</v>
      </c>
      <c r="B898" s="10">
        <v>40415</v>
      </c>
      <c r="C898" s="19">
        <v>12.268955349620892</v>
      </c>
      <c r="D898" s="3"/>
      <c r="E898" t="str">
        <f>_xlfn.XLOOKUP(PE_3[[#This Row],[STN]],SE_3[STN],SE_3[IdeaEligibility],"w/o disability",0)</f>
        <v>w/o disability</v>
      </c>
      <c r="F898" t="str">
        <f>_xlfn.XLOOKUP(PE_3[[#This Row],[STN]],SE_3[STN],SE_3[Ethnicity],"",0)</f>
        <v/>
      </c>
    </row>
    <row r="899" spans="1:6" ht="13.9">
      <c r="A899" s="3">
        <v>15417082</v>
      </c>
      <c r="B899" s="10">
        <v>40499</v>
      </c>
      <c r="C899" s="19">
        <v>12.038963774220724</v>
      </c>
      <c r="D899" s="3"/>
      <c r="E899" t="str">
        <f>_xlfn.XLOOKUP(PE_3[[#This Row],[STN]],SE_3[STN],SE_3[IdeaEligibility],"w/o disability",0)</f>
        <v>w/o disability</v>
      </c>
      <c r="F899" t="str">
        <f>_xlfn.XLOOKUP(PE_3[[#This Row],[STN]],SE_3[STN],SE_3[Ethnicity],"",0)</f>
        <v/>
      </c>
    </row>
    <row r="900" spans="1:6" ht="13.9">
      <c r="A900" s="3">
        <v>27517002</v>
      </c>
      <c r="B900" s="10">
        <v>40639</v>
      </c>
      <c r="C900" s="19">
        <v>11.655030800821356</v>
      </c>
      <c r="D900" s="3"/>
      <c r="E900" t="str">
        <f>_xlfn.XLOOKUP(PE_3[[#This Row],[STN]],SE_3[STN],SE_3[IdeaEligibility],"w/o disability",0)</f>
        <v>w/o disability</v>
      </c>
      <c r="F900" t="str">
        <f>_xlfn.XLOOKUP(PE_3[[#This Row],[STN]],SE_3[STN],SE_3[Ethnicity],"",0)</f>
        <v/>
      </c>
    </row>
    <row r="901" spans="1:6" ht="13.9">
      <c r="A901" s="3">
        <v>14917004</v>
      </c>
      <c r="B901" s="10">
        <v>40429</v>
      </c>
      <c r="C901" s="19">
        <v>12.230623420387532</v>
      </c>
      <c r="D901" s="3"/>
      <c r="E901" t="str">
        <f>_xlfn.XLOOKUP(PE_3[[#This Row],[STN]],SE_3[STN],SE_3[IdeaEligibility],"w/o disability",0)</f>
        <v>w/o disability</v>
      </c>
      <c r="F901" t="str">
        <f>_xlfn.XLOOKUP(PE_3[[#This Row],[STN]],SE_3[STN],SE_3[Ethnicity],"",0)</f>
        <v/>
      </c>
    </row>
    <row r="902" spans="1:6" ht="13.9">
      <c r="A902" s="3">
        <v>28116007</v>
      </c>
      <c r="B902" s="10">
        <v>40284</v>
      </c>
      <c r="C902" s="19">
        <v>12.627632687447347</v>
      </c>
      <c r="D902" s="3"/>
      <c r="E902" t="str">
        <f>_xlfn.XLOOKUP(PE_3[[#This Row],[STN]],SE_3[STN],SE_3[IdeaEligibility],"w/o disability",0)</f>
        <v>w/o disability</v>
      </c>
      <c r="F902" t="str">
        <f>_xlfn.XLOOKUP(PE_3[[#This Row],[STN]],SE_3[STN],SE_3[Ethnicity],"",0)</f>
        <v/>
      </c>
    </row>
    <row r="903" spans="1:6" ht="13.9">
      <c r="A903" s="3">
        <v>31016034</v>
      </c>
      <c r="B903" s="10">
        <v>40362</v>
      </c>
      <c r="C903" s="19">
        <v>12.414069081718619</v>
      </c>
      <c r="D903" s="3"/>
      <c r="E903" t="str">
        <f>_xlfn.XLOOKUP(PE_3[[#This Row],[STN]],SE_3[STN],SE_3[IdeaEligibility],"w/o disability",0)</f>
        <v>w/o disability</v>
      </c>
      <c r="F903" t="str">
        <f>_xlfn.XLOOKUP(PE_3[[#This Row],[STN]],SE_3[STN],SE_3[Ethnicity],"",0)</f>
        <v/>
      </c>
    </row>
    <row r="904" spans="1:6" ht="13.9">
      <c r="A904" s="3">
        <v>16217058</v>
      </c>
      <c r="B904" s="10">
        <v>40553</v>
      </c>
      <c r="C904" s="19">
        <v>11.890485968514716</v>
      </c>
      <c r="D904" s="3"/>
      <c r="E904" t="str">
        <f>_xlfn.XLOOKUP(PE_3[[#This Row],[STN]],SE_3[STN],SE_3[IdeaEligibility],"w/o disability",0)</f>
        <v>w/o disability</v>
      </c>
      <c r="F904" t="str">
        <f>_xlfn.XLOOKUP(PE_3[[#This Row],[STN]],SE_3[STN],SE_3[Ethnicity],"",0)</f>
        <v/>
      </c>
    </row>
    <row r="905" spans="1:6" ht="13.9">
      <c r="A905" s="3">
        <v>16416017</v>
      </c>
      <c r="B905" s="10">
        <v>40235</v>
      </c>
      <c r="C905" s="19">
        <v>12.761794439764111</v>
      </c>
      <c r="D905" s="3"/>
      <c r="E905" t="str">
        <f>_xlfn.XLOOKUP(PE_3[[#This Row],[STN]],SE_3[STN],SE_3[IdeaEligibility],"w/o disability",0)</f>
        <v>w/o disability</v>
      </c>
      <c r="F905" t="str">
        <f>_xlfn.XLOOKUP(PE_3[[#This Row],[STN]],SE_3[STN],SE_3[Ethnicity],"",0)</f>
        <v/>
      </c>
    </row>
    <row r="906" spans="1:6" ht="13.9">
      <c r="A906" s="3">
        <v>16416031</v>
      </c>
      <c r="B906" s="10">
        <v>40267</v>
      </c>
      <c r="C906" s="19">
        <v>12.674178601516427</v>
      </c>
      <c r="D906" s="3"/>
      <c r="E906" t="str">
        <f>_xlfn.XLOOKUP(PE_3[[#This Row],[STN]],SE_3[STN],SE_3[IdeaEligibility],"w/o disability",0)</f>
        <v>w/o disability</v>
      </c>
      <c r="F906" t="str">
        <f>_xlfn.XLOOKUP(PE_3[[#This Row],[STN]],SE_3[STN],SE_3[Ethnicity],"",0)</f>
        <v/>
      </c>
    </row>
    <row r="907" spans="1:6" ht="13.9">
      <c r="A907" s="3">
        <v>16416028</v>
      </c>
      <c r="B907" s="10">
        <v>40053</v>
      </c>
      <c r="C907" s="19">
        <v>13.260707999217679</v>
      </c>
      <c r="D907" s="3"/>
      <c r="E907" t="str">
        <f>_xlfn.XLOOKUP(PE_3[[#This Row],[STN]],SE_3[STN],SE_3[IdeaEligibility],"w/o disability",0)</f>
        <v>w/o disability</v>
      </c>
      <c r="F907" t="str">
        <f>_xlfn.XLOOKUP(PE_3[[#This Row],[STN]],SE_3[STN],SE_3[Ethnicity],"",0)</f>
        <v/>
      </c>
    </row>
    <row r="908" spans="1:6" ht="13.9">
      <c r="A908" s="3">
        <v>16416009</v>
      </c>
      <c r="B908" s="10">
        <v>39941</v>
      </c>
      <c r="C908" s="19">
        <v>13.567377273616271</v>
      </c>
      <c r="D908" s="3"/>
      <c r="E908" t="str">
        <f>_xlfn.XLOOKUP(PE_3[[#This Row],[STN]],SE_3[STN],SE_3[IdeaEligibility],"w/o disability",0)</f>
        <v>w/o disability</v>
      </c>
      <c r="F908" t="str">
        <f>_xlfn.XLOOKUP(PE_3[[#This Row],[STN]],SE_3[STN],SE_3[Ethnicity],"",0)</f>
        <v/>
      </c>
    </row>
    <row r="909" spans="1:6" ht="13.9">
      <c r="A909" s="3">
        <v>16416035</v>
      </c>
      <c r="B909" s="10">
        <v>40252</v>
      </c>
      <c r="C909" s="19">
        <v>12.71524852569503</v>
      </c>
      <c r="D909" s="3"/>
      <c r="E909" t="str">
        <f>_xlfn.XLOOKUP(PE_3[[#This Row],[STN]],SE_3[STN],SE_3[IdeaEligibility],"w/o disability",0)</f>
        <v>w/o disability</v>
      </c>
      <c r="F909" t="str">
        <f>_xlfn.XLOOKUP(PE_3[[#This Row],[STN]],SE_3[STN],SE_3[Ethnicity],"",0)</f>
        <v/>
      </c>
    </row>
    <row r="910" spans="1:6" ht="13.9">
      <c r="A910" s="3">
        <v>4321031</v>
      </c>
      <c r="B910" s="10">
        <v>40328</v>
      </c>
      <c r="C910" s="19">
        <v>12.507160909856783</v>
      </c>
      <c r="D910" s="3"/>
      <c r="E910" t="str">
        <f>_xlfn.XLOOKUP(PE_3[[#This Row],[STN]],SE_3[STN],SE_3[IdeaEligibility],"w/o disability",0)</f>
        <v>w/o disability</v>
      </c>
      <c r="F910" t="str">
        <f>_xlfn.XLOOKUP(PE_3[[#This Row],[STN]],SE_3[STN],SE_3[Ethnicity],"",0)</f>
        <v/>
      </c>
    </row>
    <row r="911" spans="1:6" ht="13.9">
      <c r="A911" s="3">
        <v>15416071</v>
      </c>
      <c r="B911" s="10">
        <v>40239</v>
      </c>
      <c r="C911" s="19">
        <v>12.750842459983151</v>
      </c>
      <c r="D911" s="3"/>
      <c r="E911" t="str">
        <f>_xlfn.XLOOKUP(PE_3[[#This Row],[STN]],SE_3[STN],SE_3[IdeaEligibility],"w/o disability",0)</f>
        <v>w/o disability</v>
      </c>
      <c r="F911" t="str">
        <f>_xlfn.XLOOKUP(PE_3[[#This Row],[STN]],SE_3[STN],SE_3[Ethnicity],"",0)</f>
        <v/>
      </c>
    </row>
    <row r="912" spans="1:6" ht="13.9">
      <c r="A912" s="3">
        <v>15416051</v>
      </c>
      <c r="B912" s="10">
        <v>40060</v>
      </c>
      <c r="C912" s="19">
        <v>13.241541169567768</v>
      </c>
      <c r="D912" s="3"/>
      <c r="E912" t="str">
        <f>_xlfn.XLOOKUP(PE_3[[#This Row],[STN]],SE_3[STN],SE_3[IdeaEligibility],"w/o disability",0)</f>
        <v>w/o disability</v>
      </c>
      <c r="F912" t="str">
        <f>_xlfn.XLOOKUP(PE_3[[#This Row],[STN]],SE_3[STN],SE_3[Ethnicity],"",0)</f>
        <v/>
      </c>
    </row>
    <row r="913" spans="1:6" ht="13.9">
      <c r="A913" s="3">
        <v>15416002</v>
      </c>
      <c r="B913" s="10">
        <v>40344</v>
      </c>
      <c r="C913" s="19">
        <v>12.46335299073294</v>
      </c>
      <c r="D913" s="3"/>
      <c r="E913" t="str">
        <f>_xlfn.XLOOKUP(PE_3[[#This Row],[STN]],SE_3[STN],SE_3[IdeaEligibility],"w/o disability",0)</f>
        <v>w/o disability</v>
      </c>
      <c r="F913" t="str">
        <f>_xlfn.XLOOKUP(PE_3[[#This Row],[STN]],SE_3[STN],SE_3[Ethnicity],"",0)</f>
        <v/>
      </c>
    </row>
    <row r="914" spans="1:6" ht="13.9">
      <c r="A914" s="3">
        <v>15416050</v>
      </c>
      <c r="B914" s="10">
        <v>40169</v>
      </c>
      <c r="C914" s="19">
        <v>12.943086250733424</v>
      </c>
      <c r="D914" s="3"/>
      <c r="E914" t="str">
        <f>_xlfn.XLOOKUP(PE_3[[#This Row],[STN]],SE_3[STN],SE_3[IdeaEligibility],"w/o disability",0)</f>
        <v>w/o disability</v>
      </c>
      <c r="F914" t="str">
        <f>_xlfn.XLOOKUP(PE_3[[#This Row],[STN]],SE_3[STN],SE_3[Ethnicity],"",0)</f>
        <v/>
      </c>
    </row>
    <row r="915" spans="1:6" ht="13.9">
      <c r="A915" s="3">
        <v>16216026</v>
      </c>
      <c r="B915" s="10">
        <v>39975</v>
      </c>
      <c r="C915" s="19">
        <v>13.474281243888129</v>
      </c>
      <c r="D915" s="3"/>
      <c r="E915" t="str">
        <f>_xlfn.XLOOKUP(PE_3[[#This Row],[STN]],SE_3[STN],SE_3[IdeaEligibility],"w/o disability",0)</f>
        <v>w/o disability</v>
      </c>
      <c r="F915" t="str">
        <f>_xlfn.XLOOKUP(PE_3[[#This Row],[STN]],SE_3[STN],SE_3[Ethnicity],"",0)</f>
        <v/>
      </c>
    </row>
    <row r="916" spans="1:6" ht="13.9">
      <c r="A916" s="3">
        <v>16216039</v>
      </c>
      <c r="B916" s="10">
        <v>40057</v>
      </c>
      <c r="C916" s="19">
        <v>13.249755525132016</v>
      </c>
      <c r="D916" s="3"/>
      <c r="E916" t="str">
        <f>_xlfn.XLOOKUP(PE_3[[#This Row],[STN]],SE_3[STN],SE_3[IdeaEligibility],"w/o disability",0)</f>
        <v>w/o disability</v>
      </c>
      <c r="F916" t="str">
        <f>_xlfn.XLOOKUP(PE_3[[#This Row],[STN]],SE_3[STN],SE_3[Ethnicity],"",0)</f>
        <v/>
      </c>
    </row>
    <row r="917" spans="1:6" ht="13.9">
      <c r="A917" s="3">
        <v>16216006</v>
      </c>
      <c r="B917" s="10">
        <v>40353</v>
      </c>
      <c r="C917" s="19">
        <v>12.438711036225779</v>
      </c>
      <c r="D917" s="3"/>
      <c r="E917" t="str">
        <f>_xlfn.XLOOKUP(PE_3[[#This Row],[STN]],SE_3[STN],SE_3[IdeaEligibility],"w/o disability",0)</f>
        <v>w/o disability</v>
      </c>
      <c r="F917" t="str">
        <f>_xlfn.XLOOKUP(PE_3[[#This Row],[STN]],SE_3[STN],SE_3[Ethnicity],"",0)</f>
        <v/>
      </c>
    </row>
    <row r="918" spans="1:6" ht="13.9">
      <c r="A918" s="3">
        <v>16416016</v>
      </c>
      <c r="B918" s="10">
        <v>40331</v>
      </c>
      <c r="C918" s="19">
        <v>12.498946925021063</v>
      </c>
      <c r="D918" s="3"/>
      <c r="E918" t="str">
        <f>_xlfn.XLOOKUP(PE_3[[#This Row],[STN]],SE_3[STN],SE_3[IdeaEligibility],"w/o disability",0)</f>
        <v>w/o disability</v>
      </c>
      <c r="F918" t="str">
        <f>_xlfn.XLOOKUP(PE_3[[#This Row],[STN]],SE_3[STN],SE_3[Ethnicity],"",0)</f>
        <v/>
      </c>
    </row>
    <row r="919" spans="1:6" ht="13.9">
      <c r="A919" s="3">
        <v>16416012</v>
      </c>
      <c r="B919" s="10">
        <v>40122</v>
      </c>
      <c r="C919" s="19">
        <v>13.071777821239976</v>
      </c>
      <c r="D919" s="3"/>
      <c r="E919" t="str">
        <f>_xlfn.XLOOKUP(PE_3[[#This Row],[STN]],SE_3[STN],SE_3[IdeaEligibility],"w/o disability",0)</f>
        <v>w/o disability</v>
      </c>
      <c r="F919" t="str">
        <f>_xlfn.XLOOKUP(PE_3[[#This Row],[STN]],SE_3[STN],SE_3[Ethnicity],"",0)</f>
        <v/>
      </c>
    </row>
    <row r="920" spans="1:6" ht="13.9">
      <c r="A920" s="3">
        <v>16416004</v>
      </c>
      <c r="B920" s="10">
        <v>40323</v>
      </c>
      <c r="C920" s="19">
        <v>12.520850884582982</v>
      </c>
      <c r="D920" s="3"/>
      <c r="E920" t="str">
        <f>_xlfn.XLOOKUP(PE_3[[#This Row],[STN]],SE_3[STN],SE_3[IdeaEligibility],"w/o disability",0)</f>
        <v>w/o disability</v>
      </c>
      <c r="F920" t="str">
        <f>_xlfn.XLOOKUP(PE_3[[#This Row],[STN]],SE_3[STN],SE_3[Ethnicity],"",0)</f>
        <v/>
      </c>
    </row>
    <row r="921" spans="1:6" ht="13.9">
      <c r="A921" s="3">
        <v>15416033</v>
      </c>
      <c r="B921" s="10">
        <v>40089</v>
      </c>
      <c r="C921" s="19">
        <v>13.162135732446703</v>
      </c>
      <c r="D921" s="3"/>
      <c r="E921" t="str">
        <f>_xlfn.XLOOKUP(PE_3[[#This Row],[STN]],SE_3[STN],SE_3[IdeaEligibility],"w/o disability",0)</f>
        <v>w/o disability</v>
      </c>
      <c r="F921" t="str">
        <f>_xlfn.XLOOKUP(PE_3[[#This Row],[STN]],SE_3[STN],SE_3[Ethnicity],"",0)</f>
        <v/>
      </c>
    </row>
    <row r="922" spans="1:6" ht="13.9">
      <c r="A922" s="3">
        <v>15416034</v>
      </c>
      <c r="B922" s="10">
        <v>39910</v>
      </c>
      <c r="C922" s="19">
        <v>13.652258947780167</v>
      </c>
      <c r="D922" s="3"/>
      <c r="E922" t="str">
        <f>_xlfn.XLOOKUP(PE_3[[#This Row],[STN]],SE_3[STN],SE_3[IdeaEligibility],"w/o disability",0)</f>
        <v>w/o disability</v>
      </c>
      <c r="F922" t="str">
        <f>_xlfn.XLOOKUP(PE_3[[#This Row],[STN]],SE_3[STN],SE_3[Ethnicity],"",0)</f>
        <v/>
      </c>
    </row>
    <row r="923" spans="1:6" ht="13.9">
      <c r="A923" s="3">
        <v>15416083</v>
      </c>
      <c r="B923" s="10">
        <v>39991</v>
      </c>
      <c r="C923" s="19">
        <v>13.430471347545472</v>
      </c>
      <c r="D923" s="3"/>
      <c r="E923" t="str">
        <f>_xlfn.XLOOKUP(PE_3[[#This Row],[STN]],SE_3[STN],SE_3[IdeaEligibility],"w/o disability",0)</f>
        <v>w/o disability</v>
      </c>
      <c r="F923" t="str">
        <f>_xlfn.XLOOKUP(PE_3[[#This Row],[STN]],SE_3[STN],SE_3[Ethnicity],"",0)</f>
        <v/>
      </c>
    </row>
    <row r="924" spans="1:6" ht="13.9">
      <c r="A924" s="3">
        <v>15416012</v>
      </c>
      <c r="B924" s="10">
        <v>40380</v>
      </c>
      <c r="C924" s="19">
        <v>12.364785172704297</v>
      </c>
      <c r="D924" s="3"/>
      <c r="E924" t="str">
        <f>_xlfn.XLOOKUP(PE_3[[#This Row],[STN]],SE_3[STN],SE_3[IdeaEligibility],"w/o disability",0)</f>
        <v>w/o disability</v>
      </c>
      <c r="F924" t="str">
        <f>_xlfn.XLOOKUP(PE_3[[#This Row],[STN]],SE_3[STN],SE_3[Ethnicity],"",0)</f>
        <v/>
      </c>
    </row>
    <row r="925" spans="1:6" ht="13.9">
      <c r="A925" s="3">
        <v>27516018</v>
      </c>
      <c r="B925" s="10">
        <v>40147</v>
      </c>
      <c r="C925" s="19">
        <v>13.003324858204577</v>
      </c>
      <c r="D925" s="3"/>
      <c r="E925" t="str">
        <f>_xlfn.XLOOKUP(PE_3[[#This Row],[STN]],SE_3[STN],SE_3[IdeaEligibility],"w/o disability",0)</f>
        <v>w/o disability</v>
      </c>
      <c r="F925" t="str">
        <f>_xlfn.XLOOKUP(PE_3[[#This Row],[STN]],SE_3[STN],SE_3[Ethnicity],"",0)</f>
        <v/>
      </c>
    </row>
    <row r="926" spans="1:6" ht="13.9">
      <c r="A926" s="3">
        <v>16216023</v>
      </c>
      <c r="B926" s="10">
        <v>40187</v>
      </c>
      <c r="C926" s="19">
        <v>12.893218197135637</v>
      </c>
      <c r="D926" s="3"/>
      <c r="E926" t="str">
        <f>_xlfn.XLOOKUP(PE_3[[#This Row],[STN]],SE_3[STN],SE_3[IdeaEligibility],"w/o disability",0)</f>
        <v>w/o disability</v>
      </c>
      <c r="F926" t="str">
        <f>_xlfn.XLOOKUP(PE_3[[#This Row],[STN]],SE_3[STN],SE_3[Ethnicity],"",0)</f>
        <v/>
      </c>
    </row>
    <row r="927" spans="1:6" ht="13.9">
      <c r="A927" s="3">
        <v>16216022</v>
      </c>
      <c r="B927" s="10">
        <v>40148</v>
      </c>
      <c r="C927" s="19">
        <v>13.000586739683161</v>
      </c>
      <c r="D927" s="3"/>
      <c r="E927" t="str">
        <f>_xlfn.XLOOKUP(PE_3[[#This Row],[STN]],SE_3[STN],SE_3[IdeaEligibility],"w/o disability",0)</f>
        <v>w/o disability</v>
      </c>
      <c r="F927" t="str">
        <f>_xlfn.XLOOKUP(PE_3[[#This Row],[STN]],SE_3[STN],SE_3[Ethnicity],"",0)</f>
        <v/>
      </c>
    </row>
    <row r="928" spans="1:6" ht="13.9">
      <c r="A928" s="3">
        <v>16216021</v>
      </c>
      <c r="B928" s="10">
        <v>40302</v>
      </c>
      <c r="C928" s="19">
        <v>12.578348778433025</v>
      </c>
      <c r="D928" s="3"/>
      <c r="E928" t="str">
        <f>_xlfn.XLOOKUP(PE_3[[#This Row],[STN]],SE_3[STN],SE_3[IdeaEligibility],"w/o disability",0)</f>
        <v>w/o disability</v>
      </c>
      <c r="F928" t="str">
        <f>_xlfn.XLOOKUP(PE_3[[#This Row],[STN]],SE_3[STN],SE_3[Ethnicity],"",0)</f>
        <v/>
      </c>
    </row>
    <row r="929" spans="1:6" ht="13.9">
      <c r="A929" s="3">
        <v>26917065</v>
      </c>
      <c r="B929" s="10">
        <v>40535</v>
      </c>
      <c r="C929" s="19">
        <v>11.940395956192081</v>
      </c>
      <c r="D929" s="3"/>
      <c r="E929" t="str">
        <f>_xlfn.XLOOKUP(PE_3[[#This Row],[STN]],SE_3[STN],SE_3[IdeaEligibility],"w/o disability",0)</f>
        <v>w/o disability</v>
      </c>
      <c r="F929" t="str">
        <f>_xlfn.XLOOKUP(PE_3[[#This Row],[STN]],SE_3[STN],SE_3[Ethnicity],"",0)</f>
        <v/>
      </c>
    </row>
    <row r="930" spans="1:6" ht="13.9">
      <c r="A930" s="3">
        <v>15416036</v>
      </c>
      <c r="B930" s="10">
        <v>40074</v>
      </c>
      <c r="C930" s="19">
        <v>13.203207510267944</v>
      </c>
      <c r="D930" s="3"/>
      <c r="E930" t="str">
        <f>_xlfn.XLOOKUP(PE_3[[#This Row],[STN]],SE_3[STN],SE_3[IdeaEligibility],"w/o disability",0)</f>
        <v>w/o disability</v>
      </c>
      <c r="F930" t="str">
        <f>_xlfn.XLOOKUP(PE_3[[#This Row],[STN]],SE_3[STN],SE_3[Ethnicity],"",0)</f>
        <v/>
      </c>
    </row>
    <row r="931" spans="1:6" ht="13.9">
      <c r="A931" s="3">
        <v>15416027</v>
      </c>
      <c r="B931" s="10">
        <v>40376</v>
      </c>
      <c r="C931" s="19">
        <v>12.375737152485257</v>
      </c>
      <c r="D931" s="3"/>
      <c r="E931" t="str">
        <f>_xlfn.XLOOKUP(PE_3[[#This Row],[STN]],SE_3[STN],SE_3[IdeaEligibility],"w/o disability",0)</f>
        <v>w/o disability</v>
      </c>
      <c r="F931" t="str">
        <f>_xlfn.XLOOKUP(PE_3[[#This Row],[STN]],SE_3[STN],SE_3[Ethnicity],"",0)</f>
        <v/>
      </c>
    </row>
    <row r="932" spans="1:6" ht="13.9">
      <c r="A932" s="3">
        <v>16416023</v>
      </c>
      <c r="B932" s="10">
        <v>40351</v>
      </c>
      <c r="C932" s="19">
        <v>12.444187026116259</v>
      </c>
      <c r="D932" s="3"/>
      <c r="E932" t="str">
        <f>_xlfn.XLOOKUP(PE_3[[#This Row],[STN]],SE_3[STN],SE_3[IdeaEligibility],"w/o disability",0)</f>
        <v>w/o disability</v>
      </c>
      <c r="F932" t="str">
        <f>_xlfn.XLOOKUP(PE_3[[#This Row],[STN]],SE_3[STN],SE_3[Ethnicity],"",0)</f>
        <v/>
      </c>
    </row>
    <row r="933" spans="1:6" ht="13.9">
      <c r="A933" s="3">
        <v>16416034</v>
      </c>
      <c r="B933" s="10">
        <v>40051</v>
      </c>
      <c r="C933" s="19">
        <v>13.266184236260512</v>
      </c>
      <c r="D933" s="3"/>
      <c r="E933" t="str">
        <f>_xlfn.XLOOKUP(PE_3[[#This Row],[STN]],SE_3[STN],SE_3[IdeaEligibility],"w/o disability",0)</f>
        <v>w/o disability</v>
      </c>
      <c r="F933" t="str">
        <f>_xlfn.XLOOKUP(PE_3[[#This Row],[STN]],SE_3[STN],SE_3[Ethnicity],"",0)</f>
        <v/>
      </c>
    </row>
    <row r="934" spans="1:6" ht="13.9">
      <c r="A934" s="3">
        <v>16416007</v>
      </c>
      <c r="B934" s="10">
        <v>40190</v>
      </c>
      <c r="C934" s="19">
        <v>12.885004212299917</v>
      </c>
      <c r="D934" s="3"/>
      <c r="E934" t="str">
        <f>_xlfn.XLOOKUP(PE_3[[#This Row],[STN]],SE_3[STN],SE_3[IdeaEligibility],"w/o disability",0)</f>
        <v>w/o disability</v>
      </c>
      <c r="F934" t="str">
        <f>_xlfn.XLOOKUP(PE_3[[#This Row],[STN]],SE_3[STN],SE_3[Ethnicity],"",0)</f>
        <v/>
      </c>
    </row>
    <row r="935" spans="1:6" ht="13.9">
      <c r="A935" s="3">
        <v>16416019</v>
      </c>
      <c r="B935" s="10">
        <v>40207</v>
      </c>
      <c r="C935" s="19">
        <v>12.838458298230835</v>
      </c>
      <c r="D935" s="3"/>
      <c r="E935" t="str">
        <f>_xlfn.XLOOKUP(PE_3[[#This Row],[STN]],SE_3[STN],SE_3[IdeaEligibility],"w/o disability",0)</f>
        <v>w/o disability</v>
      </c>
      <c r="F935" t="str">
        <f>_xlfn.XLOOKUP(PE_3[[#This Row],[STN]],SE_3[STN],SE_3[Ethnicity],"",0)</f>
        <v/>
      </c>
    </row>
    <row r="936" spans="1:6" ht="13.9">
      <c r="A936" s="3">
        <v>17816010</v>
      </c>
      <c r="B936" s="10">
        <v>40628</v>
      </c>
      <c r="C936" s="19">
        <v>11.685147159479808</v>
      </c>
      <c r="D936" s="3"/>
      <c r="E936" t="str">
        <f>_xlfn.XLOOKUP(PE_3[[#This Row],[STN]],SE_3[STN],SE_3[IdeaEligibility],"w/o disability",0)</f>
        <v>w/o disability</v>
      </c>
      <c r="F936" t="str">
        <f>_xlfn.XLOOKUP(PE_3[[#This Row],[STN]],SE_3[STN],SE_3[Ethnicity],"",0)</f>
        <v/>
      </c>
    </row>
    <row r="937" spans="1:6" ht="13.9">
      <c r="A937" s="3">
        <v>16216047</v>
      </c>
      <c r="B937" s="10">
        <v>40176</v>
      </c>
      <c r="C937" s="19">
        <v>12.923919421083513</v>
      </c>
      <c r="D937" s="3"/>
      <c r="E937" t="str">
        <f>_xlfn.XLOOKUP(PE_3[[#This Row],[STN]],SE_3[STN],SE_3[IdeaEligibility],"w/o disability",0)</f>
        <v>w/o disability</v>
      </c>
      <c r="F937" t="str">
        <f>_xlfn.XLOOKUP(PE_3[[#This Row],[STN]],SE_3[STN],SE_3[Ethnicity],"",0)</f>
        <v/>
      </c>
    </row>
    <row r="938" spans="1:6" ht="13.9">
      <c r="A938" s="3">
        <v>16416010</v>
      </c>
      <c r="B938" s="10">
        <v>40207</v>
      </c>
      <c r="C938" s="19">
        <v>12.838458298230835</v>
      </c>
      <c r="D938" s="3"/>
      <c r="E938" t="str">
        <f>_xlfn.XLOOKUP(PE_3[[#This Row],[STN]],SE_3[STN],SE_3[IdeaEligibility],"w/o disability",0)</f>
        <v>w/o disability</v>
      </c>
      <c r="F938" t="str">
        <f>_xlfn.XLOOKUP(PE_3[[#This Row],[STN]],SE_3[STN],SE_3[Ethnicity],"",0)</f>
        <v/>
      </c>
    </row>
    <row r="939" spans="1:6" ht="13.9">
      <c r="A939" s="3">
        <v>17816014</v>
      </c>
      <c r="B939" s="10">
        <v>40041</v>
      </c>
      <c r="C939" s="19">
        <v>13.293565421474671</v>
      </c>
      <c r="D939" s="3"/>
      <c r="E939" t="str">
        <f>_xlfn.XLOOKUP(PE_3[[#This Row],[STN]],SE_3[STN],SE_3[IdeaEligibility],"w/o disability",0)</f>
        <v>w/o disability</v>
      </c>
      <c r="F939" t="str">
        <f>_xlfn.XLOOKUP(PE_3[[#This Row],[STN]],SE_3[STN],SE_3[Ethnicity],"",0)</f>
        <v/>
      </c>
    </row>
    <row r="940" spans="1:6" ht="13.9">
      <c r="A940" s="3">
        <v>12621022</v>
      </c>
      <c r="B940" s="10">
        <v>39945</v>
      </c>
      <c r="C940" s="19">
        <v>13.556424799530609</v>
      </c>
      <c r="D940" s="3"/>
      <c r="E940" t="str">
        <f>_xlfn.XLOOKUP(PE_3[[#This Row],[STN]],SE_3[STN],SE_3[IdeaEligibility],"w/o disability",0)</f>
        <v>w/o disability</v>
      </c>
      <c r="F940" t="str">
        <f>_xlfn.XLOOKUP(PE_3[[#This Row],[STN]],SE_3[STN],SE_3[Ethnicity],"",0)</f>
        <v/>
      </c>
    </row>
    <row r="941" spans="1:6" ht="13.9">
      <c r="A941" s="3">
        <v>26917097</v>
      </c>
      <c r="B941" s="10">
        <v>40357</v>
      </c>
      <c r="C941" s="19">
        <v>12.427759056444819</v>
      </c>
      <c r="D941" s="3"/>
      <c r="E941" t="str">
        <f>_xlfn.XLOOKUP(PE_3[[#This Row],[STN]],SE_3[STN],SE_3[IdeaEligibility],"w/o disability",0)</f>
        <v>w/o disability</v>
      </c>
      <c r="F941" t="str">
        <f>_xlfn.XLOOKUP(PE_3[[#This Row],[STN]],SE_3[STN],SE_3[Ethnicity],"",0)</f>
        <v/>
      </c>
    </row>
    <row r="942" spans="1:6" ht="13.9">
      <c r="A942" s="3">
        <v>16417040</v>
      </c>
      <c r="B942" s="10">
        <v>40590</v>
      </c>
      <c r="C942" s="19">
        <v>11.789185489390828</v>
      </c>
      <c r="D942" s="3"/>
      <c r="E942" t="str">
        <f>_xlfn.XLOOKUP(PE_3[[#This Row],[STN]],SE_3[STN],SE_3[IdeaEligibility],"w/o disability",0)</f>
        <v>w/o disability</v>
      </c>
      <c r="F942" t="str">
        <f>_xlfn.XLOOKUP(PE_3[[#This Row],[STN]],SE_3[STN],SE_3[Ethnicity],"",0)</f>
        <v/>
      </c>
    </row>
    <row r="943" spans="1:6" ht="13.9">
      <c r="A943" s="3">
        <v>16117040</v>
      </c>
      <c r="B943" s="10">
        <v>40711</v>
      </c>
      <c r="C943" s="19">
        <v>11.457905544147843</v>
      </c>
      <c r="D943" s="3"/>
      <c r="E943" t="str">
        <f>_xlfn.XLOOKUP(PE_3[[#This Row],[STN]],SE_3[STN],SE_3[IdeaEligibility],"w/o disability",0)</f>
        <v>w/o disability</v>
      </c>
      <c r="F943" t="str">
        <f>_xlfn.XLOOKUP(PE_3[[#This Row],[STN]],SE_3[STN],SE_3[Ethnicity],"",0)</f>
        <v/>
      </c>
    </row>
    <row r="944" spans="1:6" ht="13.9">
      <c r="A944" s="3">
        <v>16417064</v>
      </c>
      <c r="B944" s="10">
        <v>40340</v>
      </c>
      <c r="C944" s="19">
        <v>12.4743049705139</v>
      </c>
      <c r="D944" s="3"/>
      <c r="E944" t="str">
        <f>_xlfn.XLOOKUP(PE_3[[#This Row],[STN]],SE_3[STN],SE_3[IdeaEligibility],"w/o disability",0)</f>
        <v>w/o disability</v>
      </c>
      <c r="F944" t="str">
        <f>_xlfn.XLOOKUP(PE_3[[#This Row],[STN]],SE_3[STN],SE_3[Ethnicity],"",0)</f>
        <v/>
      </c>
    </row>
    <row r="945" spans="1:6" ht="13.9">
      <c r="A945" s="3">
        <v>16417065</v>
      </c>
      <c r="B945" s="10">
        <v>40340</v>
      </c>
      <c r="C945" s="19">
        <v>12.4743049705139</v>
      </c>
      <c r="D945" s="3"/>
      <c r="E945" t="str">
        <f>_xlfn.XLOOKUP(PE_3[[#This Row],[STN]],SE_3[STN],SE_3[IdeaEligibility],"w/o disability",0)</f>
        <v>w/o disability</v>
      </c>
      <c r="F945" t="str">
        <f>_xlfn.XLOOKUP(PE_3[[#This Row],[STN]],SE_3[STN],SE_3[Ethnicity],"",0)</f>
        <v/>
      </c>
    </row>
    <row r="946" spans="1:6" ht="13.9">
      <c r="A946" s="3">
        <v>13717008</v>
      </c>
      <c r="B946" s="10">
        <v>40443</v>
      </c>
      <c r="C946" s="19">
        <v>12.192291491154171</v>
      </c>
      <c r="D946" s="3"/>
      <c r="E946" t="str">
        <f>_xlfn.XLOOKUP(PE_3[[#This Row],[STN]],SE_3[STN],SE_3[IdeaEligibility],"w/o disability",0)</f>
        <v>w/o disability</v>
      </c>
      <c r="F946" t="str">
        <f>_xlfn.XLOOKUP(PE_3[[#This Row],[STN]],SE_3[STN],SE_3[Ethnicity],"",0)</f>
        <v/>
      </c>
    </row>
    <row r="947" spans="1:6" ht="13.9">
      <c r="A947" s="3">
        <v>20517023</v>
      </c>
      <c r="B947" s="10">
        <v>40139</v>
      </c>
      <c r="C947" s="19">
        <v>13.025229806375904</v>
      </c>
      <c r="D947" s="3"/>
      <c r="E947" t="str">
        <f>_xlfn.XLOOKUP(PE_3[[#This Row],[STN]],SE_3[STN],SE_3[IdeaEligibility],"w/o disability",0)</f>
        <v>w/o disability</v>
      </c>
      <c r="F947" t="str">
        <f>_xlfn.XLOOKUP(PE_3[[#This Row],[STN]],SE_3[STN],SE_3[Ethnicity],"",0)</f>
        <v/>
      </c>
    </row>
    <row r="948" spans="1:6" ht="13.9">
      <c r="A948" s="3">
        <v>16217062</v>
      </c>
      <c r="B948" s="10">
        <v>40667</v>
      </c>
      <c r="C948" s="19">
        <v>11.578370978781656</v>
      </c>
      <c r="D948" s="3"/>
      <c r="E948" t="str">
        <f>_xlfn.XLOOKUP(PE_3[[#This Row],[STN]],SE_3[STN],SE_3[IdeaEligibility],"w/o disability",0)</f>
        <v>w/o disability</v>
      </c>
      <c r="F948" t="str">
        <f>_xlfn.XLOOKUP(PE_3[[#This Row],[STN]],SE_3[STN],SE_3[Ethnicity],"",0)</f>
        <v/>
      </c>
    </row>
    <row r="949" spans="1:6" ht="13.9">
      <c r="A949" s="3">
        <v>16217064</v>
      </c>
      <c r="B949" s="10">
        <v>40691</v>
      </c>
      <c r="C949" s="19">
        <v>11.512662559890487</v>
      </c>
      <c r="D949" s="3"/>
      <c r="E949" t="str">
        <f>_xlfn.XLOOKUP(PE_3[[#This Row],[STN]],SE_3[STN],SE_3[IdeaEligibility],"w/o disability",0)</f>
        <v>w/o disability</v>
      </c>
      <c r="F949" t="str">
        <f>_xlfn.XLOOKUP(PE_3[[#This Row],[STN]],SE_3[STN],SE_3[Ethnicity],"",0)</f>
        <v/>
      </c>
    </row>
    <row r="950" spans="1:6" ht="13.9">
      <c r="A950" s="3">
        <v>13617043</v>
      </c>
      <c r="B950" s="10">
        <v>40482</v>
      </c>
      <c r="C950" s="19">
        <v>12.085509688289806</v>
      </c>
      <c r="D950" s="3"/>
      <c r="E950" t="str">
        <f>_xlfn.XLOOKUP(PE_3[[#This Row],[STN]],SE_3[STN],SE_3[IdeaEligibility],"w/o disability",0)</f>
        <v>w/o disability</v>
      </c>
      <c r="F950" t="str">
        <f>_xlfn.XLOOKUP(PE_3[[#This Row],[STN]],SE_3[STN],SE_3[Ethnicity],"",0)</f>
        <v/>
      </c>
    </row>
    <row r="951" spans="1:6" ht="13.9">
      <c r="A951" s="3">
        <v>13717020</v>
      </c>
      <c r="B951" s="10">
        <v>40476</v>
      </c>
      <c r="C951" s="19">
        <v>12.101937657961248</v>
      </c>
      <c r="D951" s="3"/>
      <c r="E951" t="str">
        <f>_xlfn.XLOOKUP(PE_3[[#This Row],[STN]],SE_3[STN],SE_3[IdeaEligibility],"w/o disability",0)</f>
        <v>w/o disability</v>
      </c>
      <c r="F951" t="str">
        <f>_xlfn.XLOOKUP(PE_3[[#This Row],[STN]],SE_3[STN],SE_3[Ethnicity],"",0)</f>
        <v/>
      </c>
    </row>
    <row r="952" spans="1:6" ht="13.9">
      <c r="A952" s="3">
        <v>15316030</v>
      </c>
      <c r="B952" s="10">
        <v>40151</v>
      </c>
      <c r="C952" s="19">
        <v>12.992372384118912</v>
      </c>
      <c r="D952" s="3"/>
      <c r="E952" t="str">
        <f>_xlfn.XLOOKUP(PE_3[[#This Row],[STN]],SE_3[STN],SE_3[IdeaEligibility],"w/o disability",0)</f>
        <v>w/o disability</v>
      </c>
      <c r="F952" t="str">
        <f>_xlfn.XLOOKUP(PE_3[[#This Row],[STN]],SE_3[STN],SE_3[Ethnicity],"",0)</f>
        <v/>
      </c>
    </row>
    <row r="953" spans="1:6" ht="13.9">
      <c r="A953" s="3">
        <v>16217060</v>
      </c>
      <c r="B953" s="10">
        <v>40469</v>
      </c>
      <c r="C953" s="19">
        <v>12.121103622577929</v>
      </c>
      <c r="D953" s="3"/>
      <c r="E953" t="str">
        <f>_xlfn.XLOOKUP(PE_3[[#This Row],[STN]],SE_3[STN],SE_3[IdeaEligibility],"w/o disability",0)</f>
        <v>w/o disability</v>
      </c>
      <c r="F953" t="str">
        <f>_xlfn.XLOOKUP(PE_3[[#This Row],[STN]],SE_3[STN],SE_3[Ethnicity],"",0)</f>
        <v/>
      </c>
    </row>
    <row r="954" spans="1:6" ht="13.9">
      <c r="A954" s="3">
        <v>26917053</v>
      </c>
      <c r="B954" s="10">
        <v>40416</v>
      </c>
      <c r="C954" s="19">
        <v>12.266217354675653</v>
      </c>
      <c r="D954" s="3"/>
      <c r="E954" t="str">
        <f>_xlfn.XLOOKUP(PE_3[[#This Row],[STN]],SE_3[STN],SE_3[IdeaEligibility],"w/o disability",0)</f>
        <v>w/o disability</v>
      </c>
      <c r="F954" t="str">
        <f>_xlfn.XLOOKUP(PE_3[[#This Row],[STN]],SE_3[STN],SE_3[Ethnicity],"",0)</f>
        <v/>
      </c>
    </row>
    <row r="955" spans="1:6" ht="13.9">
      <c r="A955" s="3">
        <v>16217052</v>
      </c>
      <c r="B955" s="10">
        <v>40756</v>
      </c>
      <c r="C955" s="19">
        <v>11.3347022587269</v>
      </c>
      <c r="D955" s="3"/>
      <c r="E955" t="str">
        <f>_xlfn.XLOOKUP(PE_3[[#This Row],[STN]],SE_3[STN],SE_3[IdeaEligibility],"w/o disability",0)</f>
        <v>w/o disability</v>
      </c>
      <c r="F955" t="str">
        <f>_xlfn.XLOOKUP(PE_3[[#This Row],[STN]],SE_3[STN],SE_3[Ethnicity],"",0)</f>
        <v/>
      </c>
    </row>
    <row r="956" spans="1:6" ht="13.9">
      <c r="A956" s="3">
        <v>15317039</v>
      </c>
      <c r="B956" s="10">
        <v>40442</v>
      </c>
      <c r="C956" s="19">
        <v>12.195029486099411</v>
      </c>
      <c r="D956" s="3"/>
      <c r="E956" t="str">
        <f>_xlfn.XLOOKUP(PE_3[[#This Row],[STN]],SE_3[STN],SE_3[IdeaEligibility],"w/o disability",0)</f>
        <v>w/o disability</v>
      </c>
      <c r="F956" t="str">
        <f>_xlfn.XLOOKUP(PE_3[[#This Row],[STN]],SE_3[STN],SE_3[Ethnicity],"",0)</f>
        <v/>
      </c>
    </row>
    <row r="957" spans="1:6" ht="13.9">
      <c r="A957" s="3">
        <v>19716018</v>
      </c>
      <c r="B957" s="10">
        <v>40578</v>
      </c>
      <c r="C957" s="19">
        <v>11.822039698836413</v>
      </c>
      <c r="D957" s="3"/>
      <c r="E957" t="str">
        <f>_xlfn.XLOOKUP(PE_3[[#This Row],[STN]],SE_3[STN],SE_3[IdeaEligibility],"w/o disability",0)</f>
        <v>w/o disability</v>
      </c>
      <c r="F957" t="str">
        <f>_xlfn.XLOOKUP(PE_3[[#This Row],[STN]],SE_3[STN],SE_3[Ethnicity],"",0)</f>
        <v/>
      </c>
    </row>
    <row r="958" spans="1:6" ht="13.9">
      <c r="A958" s="3">
        <v>24116021</v>
      </c>
      <c r="B958" s="10">
        <v>40646</v>
      </c>
      <c r="C958" s="19">
        <v>11.635865845311431</v>
      </c>
      <c r="D958" s="3"/>
      <c r="E958" t="str">
        <f>_xlfn.XLOOKUP(PE_3[[#This Row],[STN]],SE_3[STN],SE_3[IdeaEligibility],"w/o disability",0)</f>
        <v>w/o disability</v>
      </c>
      <c r="F958" t="str">
        <f>_xlfn.XLOOKUP(PE_3[[#This Row],[STN]],SE_3[STN],SE_3[Ethnicity],"",0)</f>
        <v/>
      </c>
    </row>
    <row r="959" spans="1:6" ht="13.9">
      <c r="A959" s="3">
        <v>14916014</v>
      </c>
      <c r="B959" s="10">
        <v>40565</v>
      </c>
      <c r="C959" s="19">
        <v>11.857631759069131</v>
      </c>
      <c r="D959" s="3"/>
      <c r="E959" t="str">
        <f>_xlfn.XLOOKUP(PE_3[[#This Row],[STN]],SE_3[STN],SE_3[IdeaEligibility],"w/o disability",0)</f>
        <v>w/o disability</v>
      </c>
      <c r="F959" t="str">
        <f>_xlfn.XLOOKUP(PE_3[[#This Row],[STN]],SE_3[STN],SE_3[Ethnicity],"",0)</f>
        <v/>
      </c>
    </row>
    <row r="960" spans="1:6" ht="13.9">
      <c r="A960" s="3">
        <v>24916012</v>
      </c>
      <c r="B960" s="10">
        <v>40240</v>
      </c>
      <c r="C960" s="19">
        <v>12.74810446503791</v>
      </c>
      <c r="D960" s="3"/>
      <c r="E960" t="str">
        <f>_xlfn.XLOOKUP(PE_3[[#This Row],[STN]],SE_3[STN],SE_3[IdeaEligibility],"w/o disability",0)</f>
        <v>w/o disability</v>
      </c>
      <c r="F960" t="str">
        <f>_xlfn.XLOOKUP(PE_3[[#This Row],[STN]],SE_3[STN],SE_3[Ethnicity],"",0)</f>
        <v/>
      </c>
    </row>
    <row r="961" spans="1:6" ht="13.9">
      <c r="A961" s="3">
        <v>13616004</v>
      </c>
      <c r="B961" s="10">
        <v>40407</v>
      </c>
      <c r="C961" s="19">
        <v>12.290859309182814</v>
      </c>
      <c r="D961" s="3"/>
      <c r="E961" t="str">
        <f>_xlfn.XLOOKUP(PE_3[[#This Row],[STN]],SE_3[STN],SE_3[IdeaEligibility],"w/o disability",0)</f>
        <v>w/o disability</v>
      </c>
      <c r="F961" t="str">
        <f>_xlfn.XLOOKUP(PE_3[[#This Row],[STN]],SE_3[STN],SE_3[Ethnicity],"",0)</f>
        <v/>
      </c>
    </row>
    <row r="962" spans="1:6" ht="13.9">
      <c r="A962" s="3">
        <v>16217063</v>
      </c>
      <c r="B962" s="10">
        <v>40588</v>
      </c>
      <c r="C962" s="19">
        <v>11.794661190965092</v>
      </c>
      <c r="D962" s="3"/>
      <c r="E962" t="str">
        <f>_xlfn.XLOOKUP(PE_3[[#This Row],[STN]],SE_3[STN],SE_3[IdeaEligibility],"w/o disability",0)</f>
        <v>w/o disability</v>
      </c>
      <c r="F962" t="str">
        <f>_xlfn.XLOOKUP(PE_3[[#This Row],[STN]],SE_3[STN],SE_3[Ethnicity],"",0)</f>
        <v/>
      </c>
    </row>
    <row r="963" spans="1:6" ht="13.9">
      <c r="A963" s="3">
        <v>24116051</v>
      </c>
      <c r="B963" s="10">
        <v>40497</v>
      </c>
      <c r="C963" s="19">
        <v>12.044439764111205</v>
      </c>
      <c r="D963" s="3"/>
      <c r="E963" t="str">
        <f>_xlfn.XLOOKUP(PE_3[[#This Row],[STN]],SE_3[STN],SE_3[IdeaEligibility],"w/o disability",0)</f>
        <v>w/o disability</v>
      </c>
      <c r="F963" t="str">
        <f>_xlfn.XLOOKUP(PE_3[[#This Row],[STN]],SE_3[STN],SE_3[Ethnicity],"",0)</f>
        <v/>
      </c>
    </row>
    <row r="964" spans="1:6" ht="13.9">
      <c r="A964" s="3">
        <v>15316016</v>
      </c>
      <c r="B964" s="10">
        <v>40420</v>
      </c>
      <c r="C964" s="19">
        <v>12.255265374894693</v>
      </c>
      <c r="D964" s="3"/>
      <c r="E964" t="str">
        <f>_xlfn.XLOOKUP(PE_3[[#This Row],[STN]],SE_3[STN],SE_3[IdeaEligibility],"w/o disability",0)</f>
        <v>w/o disability</v>
      </c>
      <c r="F964" t="str">
        <f>_xlfn.XLOOKUP(PE_3[[#This Row],[STN]],SE_3[STN],SE_3[Ethnicity],"",0)</f>
        <v/>
      </c>
    </row>
    <row r="965" spans="1:6" ht="13.9">
      <c r="A965" s="3">
        <v>15416074</v>
      </c>
      <c r="B965" s="10">
        <v>40057</v>
      </c>
      <c r="C965" s="19">
        <v>13.249755525132016</v>
      </c>
      <c r="D965" s="3"/>
      <c r="E965" t="str">
        <f>_xlfn.XLOOKUP(PE_3[[#This Row],[STN]],SE_3[STN],SE_3[IdeaEligibility],"w/o disability",0)</f>
        <v>w/o disability</v>
      </c>
      <c r="F965" t="str">
        <f>_xlfn.XLOOKUP(PE_3[[#This Row],[STN]],SE_3[STN],SE_3[Ethnicity],"",0)</f>
        <v/>
      </c>
    </row>
    <row r="966" spans="1:6" ht="13.9">
      <c r="A966" s="3">
        <v>24116019</v>
      </c>
      <c r="B966" s="10">
        <v>40454</v>
      </c>
      <c r="C966" s="19">
        <v>12.162173546756529</v>
      </c>
      <c r="D966" s="3"/>
      <c r="E966" t="str">
        <f>_xlfn.XLOOKUP(PE_3[[#This Row],[STN]],SE_3[STN],SE_3[IdeaEligibility],"w/o disability",0)</f>
        <v>w/o disability</v>
      </c>
      <c r="F966" t="str">
        <f>_xlfn.XLOOKUP(PE_3[[#This Row],[STN]],SE_3[STN],SE_3[Ethnicity],"",0)</f>
        <v/>
      </c>
    </row>
    <row r="967" spans="1:6" ht="13.9">
      <c r="A967" s="3">
        <v>15416072</v>
      </c>
      <c r="B967" s="10">
        <v>39840</v>
      </c>
      <c r="C967" s="19">
        <v>13.843927244279287</v>
      </c>
      <c r="D967" s="3"/>
      <c r="E967" t="str">
        <f>_xlfn.XLOOKUP(PE_3[[#This Row],[STN]],SE_3[STN],SE_3[IdeaEligibility],"w/o disability",0)</f>
        <v>w/o disability</v>
      </c>
      <c r="F967" t="str">
        <f>_xlfn.XLOOKUP(PE_3[[#This Row],[STN]],SE_3[STN],SE_3[Ethnicity],"",0)</f>
        <v/>
      </c>
    </row>
    <row r="968" spans="1:6" ht="13.9">
      <c r="A968" s="3">
        <v>15416007</v>
      </c>
      <c r="B968" s="10">
        <v>39920</v>
      </c>
      <c r="C968" s="19">
        <v>13.624877762566008</v>
      </c>
      <c r="D968" s="3"/>
      <c r="E968" t="str">
        <f>_xlfn.XLOOKUP(PE_3[[#This Row],[STN]],SE_3[STN],SE_3[IdeaEligibility],"w/o disability",0)</f>
        <v>w/o disability</v>
      </c>
      <c r="F968" t="str">
        <f>_xlfn.XLOOKUP(PE_3[[#This Row],[STN]],SE_3[STN],SE_3[Ethnicity],"",0)</f>
        <v/>
      </c>
    </row>
    <row r="969" spans="1:6" ht="13.9">
      <c r="A969" s="3">
        <v>15416087</v>
      </c>
      <c r="B969" s="10">
        <v>40073</v>
      </c>
      <c r="C969" s="19">
        <v>13.20594562878936</v>
      </c>
      <c r="D969" s="3"/>
      <c r="E969" t="str">
        <f>_xlfn.XLOOKUP(PE_3[[#This Row],[STN]],SE_3[STN],SE_3[IdeaEligibility],"w/o disability",0)</f>
        <v>w/o disability</v>
      </c>
      <c r="F969" t="str">
        <f>_xlfn.XLOOKUP(PE_3[[#This Row],[STN]],SE_3[STN],SE_3[Ethnicity],"",0)</f>
        <v/>
      </c>
    </row>
    <row r="970" spans="1:6" ht="13.9">
      <c r="A970" s="3">
        <v>15416064</v>
      </c>
      <c r="B970" s="10">
        <v>40231</v>
      </c>
      <c r="C970" s="19">
        <v>12.772746419545072</v>
      </c>
      <c r="D970" s="3"/>
      <c r="E970" t="str">
        <f>_xlfn.XLOOKUP(PE_3[[#This Row],[STN]],SE_3[STN],SE_3[IdeaEligibility],"w/o disability",0)</f>
        <v>w/o disability</v>
      </c>
      <c r="F970" t="str">
        <f>_xlfn.XLOOKUP(PE_3[[#This Row],[STN]],SE_3[STN],SE_3[Ethnicity],"",0)</f>
        <v/>
      </c>
    </row>
    <row r="971" spans="1:6" ht="13.9">
      <c r="A971" s="3">
        <v>15416024</v>
      </c>
      <c r="B971" s="10">
        <v>40089</v>
      </c>
      <c r="C971" s="19">
        <v>13.162135732446703</v>
      </c>
      <c r="D971" s="3"/>
      <c r="E971" t="str">
        <f>_xlfn.XLOOKUP(PE_3[[#This Row],[STN]],SE_3[STN],SE_3[IdeaEligibility],"w/o disability",0)</f>
        <v>w/o disability</v>
      </c>
      <c r="F971" t="str">
        <f>_xlfn.XLOOKUP(PE_3[[#This Row],[STN]],SE_3[STN],SE_3[Ethnicity],"",0)</f>
        <v/>
      </c>
    </row>
    <row r="972" spans="1:6" ht="13.9">
      <c r="A972" s="3">
        <v>15416011</v>
      </c>
      <c r="B972" s="10">
        <v>40036</v>
      </c>
      <c r="C972" s="19">
        <v>13.307256014081752</v>
      </c>
      <c r="D972" s="3"/>
      <c r="E972" t="str">
        <f>_xlfn.XLOOKUP(PE_3[[#This Row],[STN]],SE_3[STN],SE_3[IdeaEligibility],"w/o disability",0)</f>
        <v>w/o disability</v>
      </c>
      <c r="F972" t="str">
        <f>_xlfn.XLOOKUP(PE_3[[#This Row],[STN]],SE_3[STN],SE_3[Ethnicity],"",0)</f>
        <v/>
      </c>
    </row>
    <row r="973" spans="1:6" ht="13.9">
      <c r="A973" s="3">
        <v>24116090</v>
      </c>
      <c r="B973" s="10">
        <v>40589</v>
      </c>
      <c r="C973" s="19">
        <v>11.791923340177961</v>
      </c>
      <c r="D973" s="3"/>
      <c r="E973" t="str">
        <f>_xlfn.XLOOKUP(PE_3[[#This Row],[STN]],SE_3[STN],SE_3[IdeaEligibility],"w/o disability",0)</f>
        <v>w/o disability</v>
      </c>
      <c r="F973" t="str">
        <f>_xlfn.XLOOKUP(PE_3[[#This Row],[STN]],SE_3[STN],SE_3[Ethnicity],"",0)</f>
        <v/>
      </c>
    </row>
    <row r="974" spans="1:6" ht="13.9">
      <c r="A974" s="3">
        <v>24116089</v>
      </c>
      <c r="B974" s="10">
        <v>40463</v>
      </c>
      <c r="C974" s="19">
        <v>12.137531592249369</v>
      </c>
      <c r="D974" s="3"/>
      <c r="E974" t="str">
        <f>_xlfn.XLOOKUP(PE_3[[#This Row],[STN]],SE_3[STN],SE_3[IdeaEligibility],"w/o disability",0)</f>
        <v>w/o disability</v>
      </c>
      <c r="F974" t="str">
        <f>_xlfn.XLOOKUP(PE_3[[#This Row],[STN]],SE_3[STN],SE_3[Ethnicity],"",0)</f>
        <v/>
      </c>
    </row>
    <row r="975" spans="1:6" ht="13.9">
      <c r="A975" s="3">
        <v>14116005</v>
      </c>
      <c r="B975" s="10">
        <v>40536</v>
      </c>
      <c r="C975" s="19">
        <v>11.93765796124684</v>
      </c>
      <c r="D975" s="3"/>
      <c r="E975" t="str">
        <f>_xlfn.XLOOKUP(PE_3[[#This Row],[STN]],SE_3[STN],SE_3[IdeaEligibility],"w/o disability",0)</f>
        <v>w/o disability</v>
      </c>
      <c r="F975" t="str">
        <f>_xlfn.XLOOKUP(PE_3[[#This Row],[STN]],SE_3[STN],SE_3[Ethnicity],"",0)</f>
        <v/>
      </c>
    </row>
    <row r="976" spans="1:6" ht="13.9">
      <c r="A976" s="3">
        <v>15416068</v>
      </c>
      <c r="B976" s="10">
        <v>40211</v>
      </c>
      <c r="C976" s="19">
        <v>12.827506318449874</v>
      </c>
      <c r="D976" s="3"/>
      <c r="E976" t="str">
        <f>_xlfn.XLOOKUP(PE_3[[#This Row],[STN]],SE_3[STN],SE_3[IdeaEligibility],"w/o disability",0)</f>
        <v>w/o disability</v>
      </c>
      <c r="F976" t="str">
        <f>_xlfn.XLOOKUP(PE_3[[#This Row],[STN]],SE_3[STN],SE_3[Ethnicity],"",0)</f>
        <v/>
      </c>
    </row>
    <row r="977" spans="1:6" ht="13.9">
      <c r="A977" s="3">
        <v>15416029</v>
      </c>
      <c r="B977" s="10">
        <v>40383</v>
      </c>
      <c r="C977" s="19">
        <v>12.356571187868576</v>
      </c>
      <c r="D977" s="3"/>
      <c r="E977" t="str">
        <f>_xlfn.XLOOKUP(PE_3[[#This Row],[STN]],SE_3[STN],SE_3[IdeaEligibility],"w/o disability",0)</f>
        <v>w/o disability</v>
      </c>
      <c r="F977" t="str">
        <f>_xlfn.XLOOKUP(PE_3[[#This Row],[STN]],SE_3[STN],SE_3[Ethnicity],"",0)</f>
        <v/>
      </c>
    </row>
    <row r="978" spans="1:6" ht="13.9">
      <c r="A978" s="3">
        <v>15416041</v>
      </c>
      <c r="B978" s="10">
        <v>40012</v>
      </c>
      <c r="C978" s="19">
        <v>13.372970858595735</v>
      </c>
      <c r="D978" s="3"/>
      <c r="E978" t="str">
        <f>_xlfn.XLOOKUP(PE_3[[#This Row],[STN]],SE_3[STN],SE_3[IdeaEligibility],"w/o disability",0)</f>
        <v>w/o disability</v>
      </c>
      <c r="F978" t="str">
        <f>_xlfn.XLOOKUP(PE_3[[#This Row],[STN]],SE_3[STN],SE_3[Ethnicity],"",0)</f>
        <v/>
      </c>
    </row>
    <row r="979" spans="1:6" ht="13.9">
      <c r="A979" s="3">
        <v>26516010</v>
      </c>
      <c r="B979" s="10">
        <v>40479</v>
      </c>
      <c r="C979" s="19">
        <v>12.093723673125528</v>
      </c>
      <c r="D979" s="3"/>
      <c r="E979" t="str">
        <f>_xlfn.XLOOKUP(PE_3[[#This Row],[STN]],SE_3[STN],SE_3[IdeaEligibility],"w/o disability",0)</f>
        <v>w/o disability</v>
      </c>
      <c r="F979" t="str">
        <f>_xlfn.XLOOKUP(PE_3[[#This Row],[STN]],SE_3[STN],SE_3[Ethnicity],"",0)</f>
        <v/>
      </c>
    </row>
    <row r="980" spans="1:6" ht="13.9">
      <c r="A980" s="3">
        <v>15416052</v>
      </c>
      <c r="B980" s="10">
        <v>40287</v>
      </c>
      <c r="C980" s="19">
        <v>12.619418702611625</v>
      </c>
      <c r="D980" s="3"/>
      <c r="E980" t="str">
        <f>_xlfn.XLOOKUP(PE_3[[#This Row],[STN]],SE_3[STN],SE_3[IdeaEligibility],"w/o disability",0)</f>
        <v>w/o disability</v>
      </c>
      <c r="F980" t="str">
        <f>_xlfn.XLOOKUP(PE_3[[#This Row],[STN]],SE_3[STN],SE_3[Ethnicity],"",0)</f>
        <v/>
      </c>
    </row>
    <row r="981" spans="1:6" ht="13.9">
      <c r="A981" s="3">
        <v>15416018</v>
      </c>
      <c r="B981" s="10">
        <v>40333</v>
      </c>
      <c r="C981" s="19">
        <v>12.493470935130581</v>
      </c>
      <c r="D981" s="3"/>
      <c r="E981" t="str">
        <f>_xlfn.XLOOKUP(PE_3[[#This Row],[STN]],SE_3[STN],SE_3[IdeaEligibility],"w/o disability",0)</f>
        <v>w/o disability</v>
      </c>
      <c r="F981" t="str">
        <f>_xlfn.XLOOKUP(PE_3[[#This Row],[STN]],SE_3[STN],SE_3[Ethnicity],"",0)</f>
        <v/>
      </c>
    </row>
    <row r="982" spans="1:6" ht="13.9">
      <c r="A982" s="3">
        <v>15416013</v>
      </c>
      <c r="B982" s="10">
        <v>40351</v>
      </c>
      <c r="C982" s="19">
        <v>12.444187026116259</v>
      </c>
      <c r="D982" s="3"/>
      <c r="E982" t="str">
        <f>_xlfn.XLOOKUP(PE_3[[#This Row],[STN]],SE_3[STN],SE_3[IdeaEligibility],"w/o disability",0)</f>
        <v>w/o disability</v>
      </c>
      <c r="F982" t="str">
        <f>_xlfn.XLOOKUP(PE_3[[#This Row],[STN]],SE_3[STN],SE_3[Ethnicity],"",0)</f>
        <v/>
      </c>
    </row>
    <row r="983" spans="1:6" ht="13.9">
      <c r="A983" s="3">
        <v>15416063</v>
      </c>
      <c r="B983" s="10">
        <v>40256</v>
      </c>
      <c r="C983" s="19">
        <v>12.704296545914069</v>
      </c>
      <c r="D983" s="3"/>
      <c r="E983" t="str">
        <f>_xlfn.XLOOKUP(PE_3[[#This Row],[STN]],SE_3[STN],SE_3[IdeaEligibility],"w/o disability",0)</f>
        <v>w/o disability</v>
      </c>
      <c r="F983" t="str">
        <f>_xlfn.XLOOKUP(PE_3[[#This Row],[STN]],SE_3[STN],SE_3[Ethnicity],"",0)</f>
        <v/>
      </c>
    </row>
    <row r="984" spans="1:6" ht="13.9">
      <c r="A984" s="3">
        <v>16417061</v>
      </c>
      <c r="B984" s="10">
        <v>40546</v>
      </c>
      <c r="C984" s="19">
        <v>11.909650924024641</v>
      </c>
      <c r="D984" s="3"/>
      <c r="E984" t="str">
        <f>_xlfn.XLOOKUP(PE_3[[#This Row],[STN]],SE_3[STN],SE_3[IdeaEligibility],"w/o disability",0)</f>
        <v>w/o disability</v>
      </c>
      <c r="F984" t="str">
        <f>_xlfn.XLOOKUP(PE_3[[#This Row],[STN]],SE_3[STN],SE_3[Ethnicity],"",0)</f>
        <v/>
      </c>
    </row>
    <row r="985" spans="1:6" ht="13.9">
      <c r="A985" s="3">
        <v>14116004</v>
      </c>
      <c r="B985" s="10">
        <v>40407</v>
      </c>
      <c r="C985" s="19">
        <v>12.290859309182814</v>
      </c>
      <c r="D985" s="3"/>
      <c r="E985" t="str">
        <f>_xlfn.XLOOKUP(PE_3[[#This Row],[STN]],SE_3[STN],SE_3[IdeaEligibility],"w/o disability",0)</f>
        <v>w/o disability</v>
      </c>
      <c r="F985" t="str">
        <f>_xlfn.XLOOKUP(PE_3[[#This Row],[STN]],SE_3[STN],SE_3[Ethnicity],"",0)</f>
        <v/>
      </c>
    </row>
    <row r="986" spans="1:6" ht="13.9">
      <c r="A986" s="3">
        <v>15416059</v>
      </c>
      <c r="B986" s="10">
        <v>40152</v>
      </c>
      <c r="C986" s="19">
        <v>12.989634265597497</v>
      </c>
      <c r="D986" s="3"/>
      <c r="E986" t="str">
        <f>_xlfn.XLOOKUP(PE_3[[#This Row],[STN]],SE_3[STN],SE_3[IdeaEligibility],"w/o disability",0)</f>
        <v>w/o disability</v>
      </c>
      <c r="F986" t="str">
        <f>_xlfn.XLOOKUP(PE_3[[#This Row],[STN]],SE_3[STN],SE_3[Ethnicity],"",0)</f>
        <v/>
      </c>
    </row>
    <row r="987" spans="1:6" ht="13.9">
      <c r="A987" s="3">
        <v>15416043</v>
      </c>
      <c r="B987" s="10">
        <v>40000</v>
      </c>
      <c r="C987" s="19">
        <v>13.405828280852727</v>
      </c>
      <c r="D987" s="3"/>
      <c r="E987" t="str">
        <f>_xlfn.XLOOKUP(PE_3[[#This Row],[STN]],SE_3[STN],SE_3[IdeaEligibility],"w/o disability",0)</f>
        <v>w/o disability</v>
      </c>
      <c r="F987" t="str">
        <f>_xlfn.XLOOKUP(PE_3[[#This Row],[STN]],SE_3[STN],SE_3[Ethnicity],"",0)</f>
        <v/>
      </c>
    </row>
    <row r="988" spans="1:6" ht="13.9">
      <c r="A988" s="3">
        <v>15416020</v>
      </c>
      <c r="B988" s="10">
        <v>40095</v>
      </c>
      <c r="C988" s="19">
        <v>13.145707021318207</v>
      </c>
      <c r="D988" s="3"/>
      <c r="E988" t="str">
        <f>_xlfn.XLOOKUP(PE_3[[#This Row],[STN]],SE_3[STN],SE_3[IdeaEligibility],"w/o disability",0)</f>
        <v>w/o disability</v>
      </c>
      <c r="F988" t="str">
        <f>_xlfn.XLOOKUP(PE_3[[#This Row],[STN]],SE_3[STN],SE_3[Ethnicity],"",0)</f>
        <v/>
      </c>
    </row>
    <row r="989" spans="1:6" ht="13.9">
      <c r="A989" s="3">
        <v>15716018</v>
      </c>
      <c r="B989" s="10">
        <v>40266</v>
      </c>
      <c r="C989" s="19">
        <v>12.676916596461668</v>
      </c>
      <c r="D989" s="3"/>
      <c r="E989" t="str">
        <f>_xlfn.XLOOKUP(PE_3[[#This Row],[STN]],SE_3[STN],SE_3[IdeaEligibility],"w/o disability",0)</f>
        <v>w/o disability</v>
      </c>
      <c r="F989" t="str">
        <f>_xlfn.XLOOKUP(PE_3[[#This Row],[STN]],SE_3[STN],SE_3[Ethnicity],"",0)</f>
        <v/>
      </c>
    </row>
    <row r="990" spans="1:6" ht="13.9">
      <c r="A990" s="3">
        <v>15416006</v>
      </c>
      <c r="B990" s="10">
        <v>40037</v>
      </c>
      <c r="C990" s="19">
        <v>13.304517895560336</v>
      </c>
      <c r="D990" s="3"/>
      <c r="E990" t="str">
        <f>_xlfn.XLOOKUP(PE_3[[#This Row],[STN]],SE_3[STN],SE_3[IdeaEligibility],"w/o disability",0)</f>
        <v>w/o disability</v>
      </c>
      <c r="F990" t="str">
        <f>_xlfn.XLOOKUP(PE_3[[#This Row],[STN]],SE_3[STN],SE_3[Ethnicity],"",0)</f>
        <v/>
      </c>
    </row>
    <row r="991" spans="1:6" ht="13.9">
      <c r="A991" s="3">
        <v>15416042</v>
      </c>
      <c r="B991" s="10">
        <v>40335</v>
      </c>
      <c r="C991" s="19">
        <v>12.487994945240102</v>
      </c>
      <c r="D991" s="3"/>
      <c r="E991" t="str">
        <f>_xlfn.XLOOKUP(PE_3[[#This Row],[STN]],SE_3[STN],SE_3[IdeaEligibility],"w/o disability",0)</f>
        <v>w/o disability</v>
      </c>
      <c r="F991" t="str">
        <f>_xlfn.XLOOKUP(PE_3[[#This Row],[STN]],SE_3[STN],SE_3[Ethnicity],"",0)</f>
        <v/>
      </c>
    </row>
    <row r="992" spans="1:6" ht="13.9">
      <c r="A992" s="3">
        <v>15416014</v>
      </c>
      <c r="B992" s="10">
        <v>40276</v>
      </c>
      <c r="C992" s="19">
        <v>12.649536647009267</v>
      </c>
      <c r="D992" s="3"/>
      <c r="E992" t="str">
        <f>_xlfn.XLOOKUP(PE_3[[#This Row],[STN]],SE_3[STN],SE_3[IdeaEligibility],"w/o disability",0)</f>
        <v>w/o disability</v>
      </c>
      <c r="F992" t="str">
        <f>_xlfn.XLOOKUP(PE_3[[#This Row],[STN]],SE_3[STN],SE_3[Ethnicity],"",0)</f>
        <v/>
      </c>
    </row>
    <row r="993" spans="1:6" ht="13.9">
      <c r="A993" s="3">
        <v>15416003</v>
      </c>
      <c r="B993" s="10">
        <v>40178</v>
      </c>
      <c r="C993" s="19">
        <v>12.918443184040679</v>
      </c>
      <c r="D993" s="3"/>
      <c r="E993" t="str">
        <f>_xlfn.XLOOKUP(PE_3[[#This Row],[STN]],SE_3[STN],SE_3[IdeaEligibility],"w/o disability",0)</f>
        <v>w/o disability</v>
      </c>
      <c r="F993" t="str">
        <f>_xlfn.XLOOKUP(PE_3[[#This Row],[STN]],SE_3[STN],SE_3[Ethnicity],"",0)</f>
        <v/>
      </c>
    </row>
    <row r="994" spans="1:6" ht="13.9">
      <c r="A994" s="3">
        <v>27516019</v>
      </c>
      <c r="B994" s="10">
        <v>40584</v>
      </c>
      <c r="C994" s="19">
        <v>11.805612594113621</v>
      </c>
      <c r="D994" s="3"/>
      <c r="E994" t="str">
        <f>_xlfn.XLOOKUP(PE_3[[#This Row],[STN]],SE_3[STN],SE_3[IdeaEligibility],"w/o disability",0)</f>
        <v>w/o disability</v>
      </c>
      <c r="F994" t="str">
        <f>_xlfn.XLOOKUP(PE_3[[#This Row],[STN]],SE_3[STN],SE_3[Ethnicity],"",0)</f>
        <v/>
      </c>
    </row>
    <row r="995" spans="1:6" ht="13.9">
      <c r="A995" s="3">
        <v>15716008</v>
      </c>
      <c r="B995" s="10">
        <v>40249</v>
      </c>
      <c r="C995" s="19">
        <v>12.72346251053075</v>
      </c>
      <c r="D995" s="3"/>
      <c r="E995" t="str">
        <f>_xlfn.XLOOKUP(PE_3[[#This Row],[STN]],SE_3[STN],SE_3[IdeaEligibility],"w/o disability",0)</f>
        <v>w/o disability</v>
      </c>
      <c r="F995" t="str">
        <f>_xlfn.XLOOKUP(PE_3[[#This Row],[STN]],SE_3[STN],SE_3[Ethnicity],"",0)</f>
        <v/>
      </c>
    </row>
  </sheetData>
  <phoneticPr fontId="10"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outlinePr summaryBelow="0" summaryRight="0"/>
  </sheetPr>
  <dimension ref="A1:K24"/>
  <sheetViews>
    <sheetView showGridLines="0" workbookViewId="0">
      <selection activeCell="F3" sqref="F3"/>
    </sheetView>
  </sheetViews>
  <sheetFormatPr defaultColWidth="12.5703125" defaultRowHeight="15.75" customHeight="1"/>
  <cols>
    <col min="1" max="1" width="48.140625" customWidth="1"/>
    <col min="2" max="2" width="35.5703125" customWidth="1"/>
    <col min="3" max="3" width="52" customWidth="1"/>
    <col min="4" max="4" width="32" customWidth="1"/>
    <col min="5" max="5" width="20.28515625" style="16" customWidth="1"/>
    <col min="8" max="8" width="7.5703125" bestFit="1" customWidth="1"/>
    <col min="9" max="9" width="13.7109375" customWidth="1"/>
    <col min="10" max="11" width="16.85546875" customWidth="1"/>
  </cols>
  <sheetData>
    <row r="1" spans="1:11" ht="42" thickBot="1">
      <c r="A1" s="43" t="s">
        <v>655</v>
      </c>
      <c r="B1" s="25"/>
      <c r="C1" s="25"/>
      <c r="D1" s="25"/>
      <c r="E1" s="26"/>
      <c r="F1" s="25"/>
      <c r="J1" s="57"/>
    </row>
    <row r="2" spans="1:11" ht="15.95" customHeight="1" thickBot="1">
      <c r="A2" s="58" t="s">
        <v>656</v>
      </c>
      <c r="B2" s="58" t="s">
        <v>657</v>
      </c>
      <c r="C2" s="59" t="s">
        <v>658</v>
      </c>
      <c r="D2" s="59" t="s">
        <v>659</v>
      </c>
      <c r="E2" s="60" t="s">
        <v>660</v>
      </c>
      <c r="F2" s="59" t="s">
        <v>661</v>
      </c>
    </row>
    <row r="3" spans="1:11" ht="14.45" thickBot="1">
      <c r="A3" s="88">
        <f>COUNTIFS(ES_1[SPECIAL_ED],"Y",ES_1[Unique Count],"1")</f>
        <v>2</v>
      </c>
      <c r="B3" s="88">
        <f>COUNT(SE_1[PrimaryExceptionality])</f>
        <v>302</v>
      </c>
      <c r="C3" s="88">
        <f>COUNTIFS(ES_1[SPECIAL_ED],"N",ES_1[Unique Count],"1")</f>
        <v>3</v>
      </c>
      <c r="D3" s="88">
        <f>COUNTIFS(PE_1[IDEA Eligibility],"w/o disability")</f>
        <v>557</v>
      </c>
      <c r="E3" s="89">
        <f>(A3/B3)/(C3/D3)</f>
        <v>1.2295805739514349</v>
      </c>
      <c r="F3" s="88" t="str">
        <f>IFERROR(IF(E3&gt;2,"Yes","No"),"#Div/0")</f>
        <v>No</v>
      </c>
      <c r="I3" s="40"/>
      <c r="J3" s="41"/>
    </row>
    <row r="4" spans="1:11" ht="14.45" thickBot="1">
      <c r="A4" s="13"/>
      <c r="B4" s="13"/>
      <c r="C4" s="13"/>
      <c r="D4" s="62"/>
      <c r="E4" s="21"/>
      <c r="F4" s="13"/>
      <c r="I4" s="40"/>
      <c r="J4" s="23"/>
    </row>
    <row r="5" spans="1:11" ht="42" thickBot="1">
      <c r="A5" s="43" t="s">
        <v>662</v>
      </c>
      <c r="B5" s="14"/>
      <c r="C5" s="14"/>
      <c r="D5" s="59"/>
      <c r="E5" s="22"/>
      <c r="F5" s="14"/>
      <c r="I5" s="40"/>
      <c r="J5" s="42"/>
    </row>
    <row r="6" spans="1:11" ht="14.45" thickBot="1">
      <c r="A6" s="58" t="s">
        <v>656</v>
      </c>
      <c r="B6" s="58" t="s">
        <v>657</v>
      </c>
      <c r="C6" s="59" t="s">
        <v>658</v>
      </c>
      <c r="D6" s="58" t="s">
        <v>659</v>
      </c>
      <c r="E6" s="61" t="s">
        <v>660</v>
      </c>
      <c r="F6" s="58" t="s">
        <v>663</v>
      </c>
      <c r="I6" s="40"/>
      <c r="J6" s="42"/>
      <c r="K6" s="31"/>
    </row>
    <row r="7" spans="1:11" ht="14.45" thickBot="1">
      <c r="A7" s="88">
        <f>COUNTIFS(ES_2[SPECIAL_ED],"Y",ES_2[Unique Count],"1")</f>
        <v>4</v>
      </c>
      <c r="B7" s="88">
        <f>COUNT(SE_2[PrimaryExceptionality])</f>
        <v>989</v>
      </c>
      <c r="C7" s="88">
        <f>COUNTIFS(ES_2[SPECIAL_ED],"N",ES_2[Unique Count],"1")</f>
        <v>2</v>
      </c>
      <c r="D7" s="90">
        <f>COUNTIF(PE_2[IDEA Eligibility],"w/o disability")</f>
        <v>589</v>
      </c>
      <c r="E7" s="89">
        <f>(A7/B7)/(C7/D7)</f>
        <v>1.1911021233569263</v>
      </c>
      <c r="F7" s="88" t="str">
        <f>IFERROR(IF(E7&gt;2,"Yes","No"),"#Div/0")</f>
        <v>No</v>
      </c>
      <c r="K7" s="31"/>
    </row>
    <row r="8" spans="1:11" ht="14.45" thickBot="1">
      <c r="A8" s="13"/>
      <c r="B8" s="13"/>
      <c r="C8" s="13"/>
      <c r="D8" s="13"/>
      <c r="E8" s="21"/>
      <c r="F8" s="13"/>
      <c r="K8" s="31"/>
    </row>
    <row r="9" spans="1:11" ht="42" thickBot="1">
      <c r="A9" s="43" t="s">
        <v>664</v>
      </c>
      <c r="B9" s="14"/>
      <c r="C9" s="14"/>
      <c r="D9" s="14"/>
      <c r="E9" s="22"/>
      <c r="F9" s="14"/>
    </row>
    <row r="10" spans="1:11" ht="15.95" customHeight="1" thickBot="1">
      <c r="A10" s="58" t="s">
        <v>656</v>
      </c>
      <c r="B10" s="58" t="s">
        <v>657</v>
      </c>
      <c r="C10" s="59" t="s">
        <v>658</v>
      </c>
      <c r="D10" s="58" t="s">
        <v>659</v>
      </c>
      <c r="E10" s="61" t="s">
        <v>660</v>
      </c>
      <c r="F10" s="58" t="s">
        <v>661</v>
      </c>
    </row>
    <row r="11" spans="1:11" ht="15.95" customHeight="1" thickBot="1">
      <c r="A11" s="88">
        <f>COUNTIFS(ES_3[SPECIAL_ED],"Y",ES_3[Unique Count], "1")</f>
        <v>4</v>
      </c>
      <c r="B11" s="88">
        <f>COUNT(SE_3[PrimaryExceptionality])</f>
        <v>448</v>
      </c>
      <c r="C11" s="88">
        <f>COUNTIFS(ES_3[SPECIAL_ED],"N",ES_3[Unique Count],"1")</f>
        <v>7</v>
      </c>
      <c r="D11" s="88">
        <f>COUNTIF(PE_3[IDEA Eligibility],"w/o disability")</f>
        <v>702</v>
      </c>
      <c r="E11" s="89">
        <f>(A11/B11)/(C11/D11)</f>
        <v>0.89540816326530603</v>
      </c>
      <c r="F11" s="88" t="str">
        <f>IFERROR(IF(E11&gt;2,"Yes","No"),"#Div/0")</f>
        <v>No</v>
      </c>
    </row>
    <row r="12" spans="1:11" ht="15.75" customHeight="1">
      <c r="C12" t="s">
        <v>665</v>
      </c>
    </row>
    <row r="15" spans="1:11" ht="15.75" customHeight="1">
      <c r="A15" t="s">
        <v>666</v>
      </c>
    </row>
    <row r="17" spans="4:9" ht="15.75" customHeight="1">
      <c r="D17" s="12"/>
    </row>
    <row r="22" spans="4:9" ht="15.75" customHeight="1">
      <c r="I22" s="23"/>
    </row>
    <row r="24" spans="4:9" ht="15.75" customHeight="1">
      <c r="H24" s="12"/>
    </row>
  </sheetData>
  <conditionalFormatting sqref="E2">
    <cfRule type="expression" dxfId="2" priority="2">
      <formula>$E$3&gt;2</formula>
    </cfRule>
  </conditionalFormatting>
  <conditionalFormatting sqref="F1:F1048576">
    <cfRule type="containsText" dxfId="1" priority="1" operator="containsText" text="&quot;Yes&quot;">
      <formula>NOT(ISERROR(SEARCH("""Yes""",F1)))</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outlinePr summaryBelow="0" summaryRight="0"/>
  </sheetPr>
  <dimension ref="A1:K104"/>
  <sheetViews>
    <sheetView showGridLines="0" topLeftCell="A3" workbookViewId="0">
      <selection activeCell="C1" sqref="C1"/>
    </sheetView>
  </sheetViews>
  <sheetFormatPr defaultColWidth="12.5703125" defaultRowHeight="15.75" customHeight="1"/>
  <cols>
    <col min="1" max="1" width="40.28515625" customWidth="1"/>
    <col min="2" max="2" width="40.7109375" customWidth="1"/>
    <col min="3" max="3" width="60.7109375" customWidth="1"/>
    <col min="4" max="4" width="39.140625" customWidth="1"/>
    <col min="5" max="5" width="22.7109375" style="23" customWidth="1"/>
    <col min="6" max="6" width="27.5703125" customWidth="1"/>
    <col min="9" max="9" width="28.42578125" customWidth="1"/>
  </cols>
  <sheetData>
    <row r="1" spans="1:11" ht="42" thickBot="1">
      <c r="A1" s="43" t="s">
        <v>655</v>
      </c>
      <c r="B1" s="27" t="s">
        <v>667</v>
      </c>
      <c r="C1" s="27"/>
      <c r="D1" s="27"/>
      <c r="E1" s="28"/>
      <c r="F1" s="13"/>
    </row>
    <row r="2" spans="1:11" ht="15.95" customHeight="1" thickBot="1">
      <c r="A2" s="63" t="s">
        <v>668</v>
      </c>
      <c r="B2" s="27"/>
      <c r="C2" s="27"/>
      <c r="D2" s="27"/>
      <c r="E2" s="28"/>
      <c r="F2" s="13"/>
      <c r="I2" s="30"/>
      <c r="J2" s="30"/>
      <c r="K2" s="30"/>
    </row>
    <row r="3" spans="1:11" ht="28.15" thickBot="1">
      <c r="A3" s="64" t="s">
        <v>669</v>
      </c>
      <c r="B3" s="43" t="s">
        <v>670</v>
      </c>
      <c r="C3" s="43" t="s">
        <v>658</v>
      </c>
      <c r="D3" s="43" t="s">
        <v>659</v>
      </c>
      <c r="E3" s="65" t="s">
        <v>660</v>
      </c>
      <c r="F3" s="43" t="s">
        <v>661</v>
      </c>
    </row>
    <row r="4" spans="1:11" ht="15.95" customHeight="1" thickBot="1">
      <c r="A4" s="88">
        <f>COUNTIFS(ES_1[SPECIAL_ED],"Y",ES_1[Unique Count], "1",ES_1[Ethnicity],"American Indian - Alaskan Native")</f>
        <v>0</v>
      </c>
      <c r="B4" s="88">
        <f>COUNTIFS(SE_1[Ethnicity],"American Indian - Alaskan Native")</f>
        <v>1</v>
      </c>
      <c r="C4" s="91">
        <f>COUNTIFS(ES_1[SPECIAL_ED],"N",ES_1[Unique Count], "1",ES_1[Ethnicity],"American Indian - Alaskan Native")</f>
        <v>0</v>
      </c>
      <c r="D4" s="91">
        <f>COUNTIFS(PE_1[IDEA Eligibility],"w/o disability")</f>
        <v>557</v>
      </c>
      <c r="E4" s="92" t="e">
        <f>(A4/B4)/(C4/D4)</f>
        <v>#DIV/0!</v>
      </c>
      <c r="F4" s="88" t="str">
        <f>IFERROR(IF(E4&gt;2,"Yes","No"),"#Div/0")</f>
        <v>#Div/0</v>
      </c>
    </row>
    <row r="5" spans="1:11" ht="15.75" customHeight="1" thickBot="1">
      <c r="A5" s="13"/>
      <c r="B5" s="13"/>
      <c r="C5" s="13"/>
      <c r="D5" s="13"/>
      <c r="E5" s="21"/>
      <c r="F5" s="13"/>
    </row>
    <row r="6" spans="1:11" ht="42" thickBot="1">
      <c r="A6" s="44" t="s">
        <v>662</v>
      </c>
      <c r="B6" s="13"/>
      <c r="C6" s="13"/>
      <c r="D6" s="13"/>
      <c r="E6" s="21"/>
      <c r="F6" s="13"/>
    </row>
    <row r="7" spans="1:11" ht="15.95" customHeight="1" thickBot="1">
      <c r="A7" s="66" t="s">
        <v>668</v>
      </c>
      <c r="B7" s="14"/>
      <c r="C7" s="14"/>
      <c r="D7" s="14"/>
      <c r="E7" s="22"/>
      <c r="F7" s="14"/>
    </row>
    <row r="8" spans="1:11" ht="28.15" thickBot="1">
      <c r="A8" s="43" t="s">
        <v>669</v>
      </c>
      <c r="B8" s="43" t="s">
        <v>670</v>
      </c>
      <c r="C8" s="43" t="s">
        <v>658</v>
      </c>
      <c r="D8" s="43" t="s">
        <v>659</v>
      </c>
      <c r="E8" s="65" t="s">
        <v>660</v>
      </c>
      <c r="F8" s="43" t="s">
        <v>661</v>
      </c>
    </row>
    <row r="9" spans="1:11" ht="15.95" customHeight="1" thickBot="1">
      <c r="A9" s="88">
        <f>COUNTIFS(ES_2[SPECIAL_ED],"Y",ES_2[Unique Count], "1",ES_2[Ethnicity],"American Indian - Alaskan Native")</f>
        <v>0</v>
      </c>
      <c r="B9" s="88">
        <f>COUNTIFS(SE_2[Ethnicity],"American Indian - Alaskan Native")</f>
        <v>2</v>
      </c>
      <c r="C9" s="91">
        <f>COUNTIFS(ES_2[SPECIAL_ED],"N",ES_2[Unique Count], "1",ES_2[Ethnicity],"American Indian - Alaskan Native")</f>
        <v>0</v>
      </c>
      <c r="D9" s="91">
        <f>COUNTIFS(PE_2[IDEA Eligibility],"w/o disability")</f>
        <v>589</v>
      </c>
      <c r="E9" s="92" t="e">
        <f>(A9/B9)/(C9/D9)</f>
        <v>#DIV/0!</v>
      </c>
      <c r="F9" s="88" t="str">
        <f>IFERROR(IF(E9&gt;2,"Yes","No"),"#Div/0")</f>
        <v>#Div/0</v>
      </c>
    </row>
    <row r="10" spans="1:11" ht="15.75" customHeight="1" thickBot="1">
      <c r="A10" s="13"/>
      <c r="B10" s="13"/>
      <c r="C10" s="13"/>
      <c r="D10" s="13"/>
      <c r="E10" s="21"/>
      <c r="F10" s="13"/>
    </row>
    <row r="11" spans="1:11" ht="42" thickBot="1">
      <c r="A11" s="44" t="s">
        <v>664</v>
      </c>
      <c r="B11" s="13"/>
      <c r="C11" s="13"/>
      <c r="D11" s="13"/>
      <c r="E11" s="21"/>
      <c r="F11" s="13"/>
    </row>
    <row r="12" spans="1:11" ht="15.95" customHeight="1" thickBot="1">
      <c r="A12" s="66" t="s">
        <v>668</v>
      </c>
      <c r="B12" s="14"/>
      <c r="C12" s="14"/>
      <c r="D12" s="14"/>
      <c r="E12" s="22"/>
      <c r="F12" s="14"/>
    </row>
    <row r="13" spans="1:11" ht="28.15" thickBot="1">
      <c r="A13" s="64" t="s">
        <v>669</v>
      </c>
      <c r="B13" s="43" t="s">
        <v>670</v>
      </c>
      <c r="C13" s="43" t="s">
        <v>658</v>
      </c>
      <c r="D13" s="43" t="s">
        <v>659</v>
      </c>
      <c r="E13" s="65" t="s">
        <v>660</v>
      </c>
      <c r="F13" s="64" t="s">
        <v>661</v>
      </c>
    </row>
    <row r="14" spans="1:11" ht="15.95" customHeight="1" thickBot="1">
      <c r="A14" s="88">
        <f>COUNTIFS(ES_3[SPECIAL_ED],"Y",ES_3[Unique Count], "1",ES_3[Ethnicity],"American Indian - Alaskan Native")</f>
        <v>0</v>
      </c>
      <c r="B14" s="88">
        <f>COUNTIFS(SE_3[Ethnicity],"American Indian - Alaskan Native")</f>
        <v>0</v>
      </c>
      <c r="C14" s="91">
        <f>COUNTIFS(ES_3[SPECIAL_ED],"N",ES_3[Unique Count], "1",ES_3[Ethnicity],"American Indian - Alaskan Native")</f>
        <v>0</v>
      </c>
      <c r="D14" s="91">
        <f>COUNTIFS(PE_3[IDEA Eligibility],"w/o disability")</f>
        <v>702</v>
      </c>
      <c r="E14" s="92" t="e">
        <f>(A14/B14)/(C14/D14)</f>
        <v>#DIV/0!</v>
      </c>
      <c r="F14" s="93" t="str">
        <f>IFERROR(IF(E14&gt;2,"Yes","No"),"#Div/0")</f>
        <v>#Div/0</v>
      </c>
    </row>
    <row r="15" spans="1:11" ht="15.75" customHeight="1" thickBot="1">
      <c r="A15" s="13"/>
      <c r="B15" s="13"/>
      <c r="C15" s="13"/>
      <c r="D15" s="13"/>
      <c r="E15" s="21"/>
      <c r="F15" s="13"/>
    </row>
    <row r="16" spans="1:11" ht="42" thickBot="1">
      <c r="A16" s="44" t="s">
        <v>655</v>
      </c>
      <c r="B16" s="13"/>
      <c r="C16" s="13"/>
      <c r="D16" s="13"/>
      <c r="E16" s="21"/>
      <c r="F16" s="13"/>
    </row>
    <row r="17" spans="1:6" ht="15.95" customHeight="1" thickBot="1">
      <c r="A17" s="67" t="s">
        <v>5</v>
      </c>
      <c r="B17" s="14"/>
      <c r="C17" s="14"/>
      <c r="D17" s="14"/>
      <c r="E17" s="22"/>
      <c r="F17" s="14"/>
    </row>
    <row r="18" spans="1:6" ht="28.15" thickBot="1">
      <c r="A18" s="43" t="s">
        <v>669</v>
      </c>
      <c r="B18" s="43" t="s">
        <v>670</v>
      </c>
      <c r="C18" s="43" t="s">
        <v>658</v>
      </c>
      <c r="D18" s="43" t="s">
        <v>659</v>
      </c>
      <c r="E18" s="65" t="s">
        <v>660</v>
      </c>
      <c r="F18" s="43" t="s">
        <v>661</v>
      </c>
    </row>
    <row r="19" spans="1:6" ht="15.95" customHeight="1" thickBot="1">
      <c r="A19" s="88">
        <f>COUNTIFS(ES_1[SPECIAL_ED],"Y",ES_1[Unique Count],"1",ES_1[Ethnicity],"Asian")</f>
        <v>0</v>
      </c>
      <c r="B19" s="88">
        <f>COUNTIFS(SE_1[Ethnicity],"Asian")</f>
        <v>0</v>
      </c>
      <c r="C19" s="91">
        <f>COUNTIFS(ES_1[SPECIAL_ED],"N",ES_1[Unique Count], "1",ES_1[Ethnicity],"Asian")</f>
        <v>0</v>
      </c>
      <c r="D19" s="91">
        <f>COUNTIFS(PE_1[IDEA Eligibility],"w/o disability")</f>
        <v>557</v>
      </c>
      <c r="E19" s="92" t="e">
        <f>(A19/B19)/(C19/D19)</f>
        <v>#DIV/0!</v>
      </c>
      <c r="F19" s="88" t="str">
        <f>IFERROR(IF(E19&gt;2,"Yes","No"),"#Div/0")</f>
        <v>#Div/0</v>
      </c>
    </row>
    <row r="20" spans="1:6" ht="15.75" customHeight="1" thickBot="1">
      <c r="A20" s="13"/>
      <c r="B20" s="13"/>
      <c r="C20" s="13"/>
      <c r="D20" s="13"/>
      <c r="E20" s="21"/>
      <c r="F20" s="13"/>
    </row>
    <row r="21" spans="1:6" ht="42" thickBot="1">
      <c r="A21" s="44" t="s">
        <v>662</v>
      </c>
      <c r="B21" s="13"/>
      <c r="C21" s="13"/>
      <c r="D21" s="13"/>
      <c r="E21" s="21"/>
      <c r="F21" s="13"/>
    </row>
    <row r="22" spans="1:6" ht="15.95" customHeight="1" thickBot="1">
      <c r="A22" s="67" t="s">
        <v>5</v>
      </c>
      <c r="B22" s="14"/>
      <c r="C22" s="14"/>
      <c r="D22" s="14"/>
      <c r="E22" s="22"/>
      <c r="F22" s="14"/>
    </row>
    <row r="23" spans="1:6" ht="28.15" thickBot="1">
      <c r="A23" s="43" t="s">
        <v>669</v>
      </c>
      <c r="B23" s="43" t="s">
        <v>670</v>
      </c>
      <c r="C23" s="43" t="s">
        <v>658</v>
      </c>
      <c r="D23" s="43" t="s">
        <v>659</v>
      </c>
      <c r="E23" s="65" t="s">
        <v>660</v>
      </c>
      <c r="F23" s="43" t="s">
        <v>661</v>
      </c>
    </row>
    <row r="24" spans="1:6" ht="15.95" customHeight="1" thickBot="1">
      <c r="A24" s="88">
        <f>COUNTIFS(ES_2[SPECIAL_ED],"Y",ES_2[Unique Count], "1",ES_2[Ethnicity],"Asian")</f>
        <v>0</v>
      </c>
      <c r="B24" s="88">
        <f>COUNTIFS(SE_2[Ethnicity],"Asian")</f>
        <v>0</v>
      </c>
      <c r="C24" s="91">
        <f>COUNTIFS(ES_2[SPECIAL_ED],"N",ES_2[Unique Count], "1",ES_2[Ethnicity],"Asian")</f>
        <v>0</v>
      </c>
      <c r="D24" s="91">
        <f>COUNTIFS(PE_2[IDEA Eligibility],"w/o disability")</f>
        <v>589</v>
      </c>
      <c r="E24" s="92" t="e">
        <f>(A24/B24)/(C24/D24)</f>
        <v>#DIV/0!</v>
      </c>
      <c r="F24" s="88" t="str">
        <f>IFERROR(IF(E24&gt;2,"Yes","No"),"#Div/0")</f>
        <v>#Div/0</v>
      </c>
    </row>
    <row r="25" spans="1:6" ht="15.75" customHeight="1" thickBot="1">
      <c r="A25" s="13"/>
      <c r="B25" s="13"/>
      <c r="C25" s="13"/>
      <c r="D25" s="13"/>
      <c r="E25" s="21"/>
      <c r="F25" s="13"/>
    </row>
    <row r="26" spans="1:6" ht="42" thickBot="1">
      <c r="A26" s="44" t="s">
        <v>664</v>
      </c>
      <c r="B26" s="13"/>
      <c r="C26" s="13"/>
      <c r="D26" s="13"/>
      <c r="E26" s="21"/>
      <c r="F26" s="13"/>
    </row>
    <row r="27" spans="1:6" ht="15.95" customHeight="1" thickBot="1">
      <c r="A27" s="67" t="s">
        <v>5</v>
      </c>
      <c r="B27" s="14"/>
      <c r="C27" s="14"/>
      <c r="D27" s="14"/>
      <c r="E27" s="22"/>
      <c r="F27" s="14"/>
    </row>
    <row r="28" spans="1:6" ht="15.95" customHeight="1" thickBot="1">
      <c r="A28" s="43" t="s">
        <v>669</v>
      </c>
      <c r="B28" s="43" t="s">
        <v>670</v>
      </c>
      <c r="C28" s="43" t="s">
        <v>658</v>
      </c>
      <c r="D28" s="43" t="s">
        <v>659</v>
      </c>
      <c r="E28" s="65" t="s">
        <v>660</v>
      </c>
      <c r="F28" s="43" t="s">
        <v>661</v>
      </c>
    </row>
    <row r="29" spans="1:6" ht="15.95" customHeight="1" thickBot="1">
      <c r="A29" s="88">
        <f>COUNTIFS(ES_3[SPECIAL_ED],"Y",ES_3[Unique Count],"1",ES_3[Ethnicity],"Asian")</f>
        <v>0</v>
      </c>
      <c r="B29" s="88">
        <f>COUNTIFS(SE_3[Ethnicity],"Asian")</f>
        <v>5</v>
      </c>
      <c r="C29" s="91">
        <f>COUNTIFS(ES_3[SPECIAL_ED],"N",ES_3[Unique Count], "*1",ES_3[Ethnicity],"Asian")</f>
        <v>0</v>
      </c>
      <c r="D29" s="91">
        <f>COUNTIFS(PE_3[IDEA Eligibility],"w/o disability")</f>
        <v>702</v>
      </c>
      <c r="E29" s="92" t="e">
        <f>(A29/B29)/(C29/D29)</f>
        <v>#DIV/0!</v>
      </c>
      <c r="F29" s="88" t="str">
        <f>IFERROR(IF(E29&gt;2,"Yes","No"),"#Div/0")</f>
        <v>#Div/0</v>
      </c>
    </row>
    <row r="30" spans="1:6" ht="15.75" customHeight="1" thickBot="1">
      <c r="A30" s="14"/>
      <c r="B30" s="14"/>
      <c r="C30" s="14"/>
      <c r="D30" s="14"/>
      <c r="E30" s="22"/>
      <c r="F30" s="14"/>
    </row>
    <row r="31" spans="1:6" ht="42" thickBot="1">
      <c r="A31" s="45" t="s">
        <v>655</v>
      </c>
      <c r="B31" s="13"/>
      <c r="C31" s="13"/>
      <c r="D31" s="13"/>
      <c r="E31" s="21"/>
      <c r="F31" s="13"/>
    </row>
    <row r="32" spans="1:6" ht="15.95" customHeight="1" thickBot="1">
      <c r="A32" s="68" t="s">
        <v>671</v>
      </c>
      <c r="B32" s="14"/>
      <c r="C32" s="14"/>
      <c r="D32" s="14"/>
      <c r="E32" s="22"/>
      <c r="F32" s="14"/>
    </row>
    <row r="33" spans="1:6" ht="15.95" customHeight="1" thickBot="1">
      <c r="A33" s="43" t="s">
        <v>669</v>
      </c>
      <c r="B33" s="43" t="s">
        <v>670</v>
      </c>
      <c r="C33" s="43" t="s">
        <v>658</v>
      </c>
      <c r="D33" s="43" t="s">
        <v>659</v>
      </c>
      <c r="E33" s="65" t="s">
        <v>660</v>
      </c>
      <c r="F33" s="43" t="s">
        <v>661</v>
      </c>
    </row>
    <row r="34" spans="1:6" ht="15.95" customHeight="1" thickBot="1">
      <c r="A34" s="88">
        <f>COUNTIFS(ES_1[SPECIAL_ED],"Y",ES_1[Unique Count], "1",ES_1[Ethnicity],"Black - African American"
)</f>
        <v>0</v>
      </c>
      <c r="B34" s="88">
        <f>COUNTIFS(SE_1[Ethnicity],"Black - African American")</f>
        <v>30</v>
      </c>
      <c r="C34" s="91">
        <f>COUNTIFS(ES_1[SPECIAL_ED],"N",ES_1[Unique Count], "1",ES_1[Ethnicity],"Black - African American")</f>
        <v>0</v>
      </c>
      <c r="D34" s="91">
        <f>COUNTIFS(PE_1[IDEA Eligibility],"w/o disability")</f>
        <v>557</v>
      </c>
      <c r="E34" s="92" t="e">
        <f>(A34/B34)/(C34/D34)</f>
        <v>#DIV/0!</v>
      </c>
      <c r="F34" s="88" t="str">
        <f>IFERROR(IF(E34&gt;2,"Yes","No"),"#Div/0")</f>
        <v>#Div/0</v>
      </c>
    </row>
    <row r="35" spans="1:6" ht="15.75" customHeight="1" thickBot="1">
      <c r="A35" s="13"/>
      <c r="B35" s="13"/>
      <c r="C35" s="13"/>
      <c r="D35" s="13"/>
      <c r="E35" s="21"/>
      <c r="F35" s="13"/>
    </row>
    <row r="36" spans="1:6" ht="42" thickBot="1">
      <c r="A36" s="44" t="s">
        <v>662</v>
      </c>
      <c r="B36" s="13"/>
      <c r="C36" s="13"/>
      <c r="D36" s="13"/>
      <c r="E36" s="21"/>
      <c r="F36" s="13"/>
    </row>
    <row r="37" spans="1:6" ht="15.95" customHeight="1" thickBot="1">
      <c r="A37" s="68" t="s">
        <v>671</v>
      </c>
      <c r="B37" s="14"/>
      <c r="C37" s="14"/>
      <c r="D37" s="14"/>
      <c r="E37" s="22"/>
      <c r="F37" s="14"/>
    </row>
    <row r="38" spans="1:6" ht="15.95" customHeight="1" thickBot="1">
      <c r="A38" s="43" t="s">
        <v>669</v>
      </c>
      <c r="B38" s="43" t="s">
        <v>670</v>
      </c>
      <c r="C38" s="43" t="s">
        <v>658</v>
      </c>
      <c r="D38" s="43" t="s">
        <v>659</v>
      </c>
      <c r="E38" s="65" t="s">
        <v>660</v>
      </c>
      <c r="F38" s="43" t="s">
        <v>661</v>
      </c>
    </row>
    <row r="39" spans="1:6" ht="15.95" customHeight="1" thickBot="1">
      <c r="A39" s="88">
        <f>COUNTIFS(ES_2[SPECIAL_ED],"Y",ES_2[Unique Count],"1",ES_2[Ethnicity],"Black - African American"
)</f>
        <v>0</v>
      </c>
      <c r="B39" s="88">
        <f>COUNTIFS(SE_2[Ethnicity],"Black - African American")</f>
        <v>132</v>
      </c>
      <c r="C39" s="91">
        <f>COUNTIFS(ES_2[SPECIAL_ED],"N",ES_2[Unique Count], "1",ES_2[Ethnicity],"Black - African American")</f>
        <v>0</v>
      </c>
      <c r="D39" s="91">
        <f>COUNTIFS(PE_2[IDEA Eligibility],"w/o disability")</f>
        <v>589</v>
      </c>
      <c r="E39" s="92" t="e">
        <f>(A39/B39)/(C39/D39)</f>
        <v>#DIV/0!</v>
      </c>
      <c r="F39" s="88" t="str">
        <f>IFERROR(IF(E39&gt;2,"Yes","No"),"#Div/0")</f>
        <v>#Div/0</v>
      </c>
    </row>
    <row r="40" spans="1:6" ht="15.75" customHeight="1" thickBot="1">
      <c r="A40" s="13"/>
      <c r="B40" s="13"/>
      <c r="C40" s="13"/>
      <c r="D40" s="13"/>
      <c r="E40" s="21"/>
      <c r="F40" s="13"/>
    </row>
    <row r="41" spans="1:6" ht="42" thickBot="1">
      <c r="A41" s="44" t="s">
        <v>664</v>
      </c>
      <c r="B41" s="13"/>
      <c r="C41" s="13"/>
      <c r="D41" s="13"/>
      <c r="E41" s="21"/>
      <c r="F41" s="13"/>
    </row>
    <row r="42" spans="1:6" ht="15.95" customHeight="1" thickBot="1">
      <c r="A42" s="68" t="s">
        <v>671</v>
      </c>
      <c r="B42" s="14"/>
      <c r="C42" s="14"/>
      <c r="D42" s="14"/>
      <c r="E42" s="22"/>
      <c r="F42" s="14"/>
    </row>
    <row r="43" spans="1:6" ht="15.95" customHeight="1" thickBot="1">
      <c r="A43" s="43" t="s">
        <v>669</v>
      </c>
      <c r="B43" s="43" t="s">
        <v>670</v>
      </c>
      <c r="C43" s="43" t="s">
        <v>658</v>
      </c>
      <c r="D43" s="43" t="s">
        <v>659</v>
      </c>
      <c r="E43" s="65" t="s">
        <v>660</v>
      </c>
      <c r="F43" s="43" t="s">
        <v>661</v>
      </c>
    </row>
    <row r="44" spans="1:6" ht="15.95" customHeight="1" thickBot="1">
      <c r="A44" s="88">
        <f>COUNTIFS(ES_3[SPECIAL_ED],"Y",ES_3[Unique Count], "1",ES_3[Ethnicity],"Black - African American"
)</f>
        <v>1</v>
      </c>
      <c r="B44" s="88">
        <f>COUNTIFS(SE_3[Ethnicity],"Black - African American")</f>
        <v>43</v>
      </c>
      <c r="C44" s="91">
        <f>COUNTIFS(ES_3[SPECIAL_ED],"N",ES_3[Unique Count], "1",ES_3[Ethnicity],"Black - African American")</f>
        <v>1</v>
      </c>
      <c r="D44" s="91">
        <f>COUNTIFS(PE_3[IDEA Eligibility],"w/o disability")</f>
        <v>702</v>
      </c>
      <c r="E44" s="92">
        <f>(A44/B44)/(C44/D44)</f>
        <v>16.325581395348838</v>
      </c>
      <c r="F44" s="88" t="str">
        <f>IFERROR(IF(E44&gt;2,"Yes","No"),"#Div/0")</f>
        <v>Yes</v>
      </c>
    </row>
    <row r="45" spans="1:6" ht="15.75" customHeight="1" thickBot="1">
      <c r="A45" s="13"/>
      <c r="B45" s="13"/>
      <c r="C45" s="13"/>
      <c r="D45" s="13"/>
      <c r="E45" s="21"/>
      <c r="F45" s="13"/>
    </row>
    <row r="46" spans="1:6" ht="42" thickBot="1">
      <c r="A46" s="44" t="s">
        <v>655</v>
      </c>
      <c r="B46" s="13"/>
      <c r="C46" s="13"/>
      <c r="D46" s="13"/>
      <c r="E46" s="21"/>
      <c r="F46" s="13"/>
    </row>
    <row r="47" spans="1:6" ht="15.95" customHeight="1" thickBot="1">
      <c r="A47" s="69" t="s">
        <v>672</v>
      </c>
      <c r="B47" s="14"/>
      <c r="C47" s="14"/>
      <c r="D47" s="14"/>
      <c r="E47" s="22"/>
      <c r="F47" s="14"/>
    </row>
    <row r="48" spans="1:6" ht="15.95" customHeight="1" thickBot="1">
      <c r="A48" s="64" t="s">
        <v>669</v>
      </c>
      <c r="B48" s="43" t="s">
        <v>670</v>
      </c>
      <c r="C48" s="43" t="s">
        <v>658</v>
      </c>
      <c r="D48" s="64" t="s">
        <v>659</v>
      </c>
      <c r="E48" s="65" t="s">
        <v>660</v>
      </c>
      <c r="F48" s="64" t="s">
        <v>661</v>
      </c>
    </row>
    <row r="49" spans="1:6" ht="15.95" customHeight="1" thickBot="1">
      <c r="A49" s="88">
        <f>COUNTIFS(ES_1[SPECIAL_ED],"Y",ES_1[Unique Count], "1",ES_1[Ethnicity],"Hispanic Ethnicity and of any race"
)</f>
        <v>0</v>
      </c>
      <c r="B49" s="88">
        <f>COUNTIFS(SE_1[Ethnicity],"Hispanic Ethnicity and of any race")</f>
        <v>29</v>
      </c>
      <c r="C49" s="91">
        <f>COUNTIFS(ES_1[SPECIAL_ED],"N",ES_1[Unique Count], "1",ES_1[Ethnicity],"Hispanic Ethnicity and of any race")</f>
        <v>0</v>
      </c>
      <c r="D49" s="91">
        <f>COUNTIFS(PE_1[IDEA Eligibility],"w/o disability")</f>
        <v>557</v>
      </c>
      <c r="E49" s="92" t="e">
        <f>(A49/B49)/(C49/D49)</f>
        <v>#DIV/0!</v>
      </c>
      <c r="F49" s="93" t="str">
        <f>IFERROR(IF(E49&gt;2,"Yes","No"),"#Div/0")</f>
        <v>#Div/0</v>
      </c>
    </row>
    <row r="50" spans="1:6" ht="15.75" customHeight="1" thickBot="1">
      <c r="A50" s="13"/>
      <c r="B50" s="13"/>
      <c r="C50" s="13"/>
      <c r="D50" s="13"/>
      <c r="E50" s="21"/>
      <c r="F50" s="13"/>
    </row>
    <row r="51" spans="1:6" ht="42" thickBot="1">
      <c r="A51" s="44" t="s">
        <v>662</v>
      </c>
      <c r="B51" s="13"/>
      <c r="C51" s="13"/>
      <c r="D51" s="13"/>
      <c r="E51" s="21"/>
      <c r="F51" s="13"/>
    </row>
    <row r="52" spans="1:6" ht="15.95" customHeight="1" thickBot="1">
      <c r="A52" s="69" t="s">
        <v>672</v>
      </c>
      <c r="B52" s="14"/>
      <c r="C52" s="14"/>
      <c r="D52" s="14"/>
      <c r="E52" s="22"/>
      <c r="F52" s="14"/>
    </row>
    <row r="53" spans="1:6" ht="15.95" customHeight="1" thickBot="1">
      <c r="A53" s="43" t="s">
        <v>669</v>
      </c>
      <c r="B53" s="43" t="s">
        <v>670</v>
      </c>
      <c r="C53" s="43" t="s">
        <v>658</v>
      </c>
      <c r="D53" s="43" t="s">
        <v>659</v>
      </c>
      <c r="E53" s="65" t="s">
        <v>660</v>
      </c>
      <c r="F53" s="43" t="s">
        <v>661</v>
      </c>
    </row>
    <row r="54" spans="1:6" ht="15.95" customHeight="1" thickBot="1">
      <c r="A54" s="88">
        <f>COUNTIFS(ES_2[SPECIAL_ED],"Y",ES_2[Unique Count],"1",ES_2[Ethnicity],"Hispanic Ethnicity and of any race"
)</f>
        <v>0</v>
      </c>
      <c r="B54" s="88">
        <f>COUNTIFS(SE_2[Ethnicity],"Hispanic Ethnicity and of any race")</f>
        <v>113</v>
      </c>
      <c r="C54" s="91">
        <f>COUNTIFS(ES_2[SPECIAL_ED],"N",ES_2[Unique Count],"1",ES_2[Ethnicity],"Hispanic Ethnicity and of any race")</f>
        <v>1</v>
      </c>
      <c r="D54" s="91">
        <f>COUNTIFS(PE_2[IDEA Eligibility],"w/o disability")</f>
        <v>589</v>
      </c>
      <c r="E54" s="92">
        <f>(A54/B54)/(C54/D54)</f>
        <v>0</v>
      </c>
      <c r="F54" s="88" t="str">
        <f>IFERROR(IF(E54&gt;2,"Yes","No"),"#Div/0")</f>
        <v>No</v>
      </c>
    </row>
    <row r="55" spans="1:6" ht="15.75" customHeight="1" thickBot="1">
      <c r="A55" s="13"/>
      <c r="B55" s="13"/>
      <c r="C55" s="13"/>
      <c r="D55" s="13"/>
      <c r="E55" s="21"/>
      <c r="F55" s="13"/>
    </row>
    <row r="56" spans="1:6" ht="42" thickBot="1">
      <c r="A56" s="44" t="s">
        <v>664</v>
      </c>
      <c r="B56" s="13"/>
      <c r="C56" s="13"/>
      <c r="D56" s="13"/>
      <c r="E56" s="21"/>
      <c r="F56" s="13"/>
    </row>
    <row r="57" spans="1:6" ht="14.45" thickBot="1">
      <c r="A57" s="69" t="s">
        <v>672</v>
      </c>
      <c r="B57" s="14"/>
      <c r="C57" s="14"/>
      <c r="D57" s="14"/>
      <c r="E57" s="22"/>
      <c r="F57" s="14"/>
    </row>
    <row r="58" spans="1:6" ht="15.95" customHeight="1" thickBot="1">
      <c r="A58" s="43" t="s">
        <v>669</v>
      </c>
      <c r="B58" s="43" t="s">
        <v>670</v>
      </c>
      <c r="C58" s="43" t="s">
        <v>658</v>
      </c>
      <c r="D58" s="43" t="s">
        <v>659</v>
      </c>
      <c r="E58" s="65" t="s">
        <v>660</v>
      </c>
      <c r="F58" s="43" t="s">
        <v>661</v>
      </c>
    </row>
    <row r="59" spans="1:6" ht="15.95" customHeight="1" thickBot="1">
      <c r="A59" s="88">
        <f>COUNTIFS(ES_3[SPECIAL_ED],"Y",ES_3[Unique Count],"1",ES_3[Ethnicity],"Hispanic Ethnicity and of any race"
)</f>
        <v>0</v>
      </c>
      <c r="B59" s="88">
        <f>COUNTIFS(SE_3[Ethnicity],"Hispanic Ethnicity and of any race")</f>
        <v>17</v>
      </c>
      <c r="C59" s="91">
        <f>COUNTIFS(ES_3[SPECIAL_ED],"N",ES_3[Unique Count],"1",ES_3[Ethnicity],"Hispanic Ethnicity and of any race")</f>
        <v>0</v>
      </c>
      <c r="D59" s="91">
        <f>COUNTIFS(PE_3[IDEA Eligibility],"w/o disability")</f>
        <v>702</v>
      </c>
      <c r="E59" s="92" t="e">
        <f>(A59/B59)/(C59/D59)</f>
        <v>#DIV/0!</v>
      </c>
      <c r="F59" s="88" t="str">
        <f>IFERROR(IF(E59&gt;2,"Yes","No"),"#Div/0")</f>
        <v>#Div/0</v>
      </c>
    </row>
    <row r="60" spans="1:6" ht="15.75" customHeight="1" thickBot="1">
      <c r="A60" s="13"/>
      <c r="B60" s="13"/>
      <c r="C60" s="13"/>
      <c r="D60" s="13"/>
      <c r="E60" s="21"/>
      <c r="F60" s="13"/>
    </row>
    <row r="61" spans="1:6" ht="42" thickBot="1">
      <c r="A61" s="44" t="s">
        <v>655</v>
      </c>
      <c r="B61" s="13"/>
      <c r="C61" s="13"/>
      <c r="D61" s="13"/>
      <c r="E61" s="21"/>
      <c r="F61" s="13"/>
    </row>
    <row r="62" spans="1:6" ht="15.95" customHeight="1" thickBot="1">
      <c r="A62" s="70" t="s">
        <v>673</v>
      </c>
      <c r="B62" s="14"/>
      <c r="C62" s="14"/>
      <c r="D62" s="14"/>
      <c r="E62" s="22"/>
      <c r="F62" s="14"/>
    </row>
    <row r="63" spans="1:6" ht="15.95" customHeight="1" thickBot="1">
      <c r="A63" s="43" t="s">
        <v>669</v>
      </c>
      <c r="B63" s="43" t="s">
        <v>670</v>
      </c>
      <c r="C63" s="43" t="s">
        <v>658</v>
      </c>
      <c r="D63" s="43" t="s">
        <v>659</v>
      </c>
      <c r="E63" s="65" t="s">
        <v>660</v>
      </c>
      <c r="F63" s="43" t="s">
        <v>661</v>
      </c>
    </row>
    <row r="64" spans="1:6" ht="15.95" customHeight="1" thickBot="1">
      <c r="A64" s="88">
        <f>COUNTIFS(ES_1[SPECIAL_ED],"Y",ES_1[Unique Count],"1",ES_1[Ethnicity],"Multiracial (two or more races)")</f>
        <v>1</v>
      </c>
      <c r="B64" s="88">
        <f>COUNTIFS(SE_1[Ethnicity],"Multiracial (two or more races)")</f>
        <v>13</v>
      </c>
      <c r="C64" s="91">
        <f>COUNTIFS(ES_1[SPECIAL_ED],"N",ES_1[Unique Count],"1",ES_1[Ethnicity],"Multiracial (two or more races)")</f>
        <v>0</v>
      </c>
      <c r="D64" s="91">
        <f>COUNTIFS(PE_1[IDEA Eligibility],"w/o disability")</f>
        <v>557</v>
      </c>
      <c r="E64" s="92" t="e">
        <f>(A64/B64)/(C64/D64)</f>
        <v>#DIV/0!</v>
      </c>
      <c r="F64" s="88" t="str">
        <f>IFERROR(IF(E64&gt;2,"Yes","No"),"#Div/0")</f>
        <v>#Div/0</v>
      </c>
    </row>
    <row r="65" spans="1:6" ht="15.75" customHeight="1" thickBot="1">
      <c r="A65" s="13"/>
      <c r="B65" s="13"/>
      <c r="C65" s="13"/>
      <c r="D65" s="13"/>
      <c r="E65" s="21"/>
      <c r="F65" s="13"/>
    </row>
    <row r="66" spans="1:6" ht="42" thickBot="1">
      <c r="A66" s="44" t="s">
        <v>662</v>
      </c>
      <c r="B66" s="13"/>
      <c r="C66" s="13"/>
      <c r="D66" s="13"/>
      <c r="E66" s="21"/>
      <c r="F66" s="13"/>
    </row>
    <row r="67" spans="1:6" ht="15.95" customHeight="1" thickBot="1">
      <c r="A67" s="70" t="s">
        <v>673</v>
      </c>
      <c r="B67" s="14"/>
      <c r="C67" s="14"/>
      <c r="D67" s="14"/>
      <c r="E67" s="22"/>
      <c r="F67" s="14"/>
    </row>
    <row r="68" spans="1:6" ht="15.95" customHeight="1" thickBot="1">
      <c r="A68" s="43" t="s">
        <v>669</v>
      </c>
      <c r="B68" s="43" t="s">
        <v>670</v>
      </c>
      <c r="C68" s="43" t="s">
        <v>658</v>
      </c>
      <c r="D68" s="43" t="s">
        <v>659</v>
      </c>
      <c r="E68" s="65" t="s">
        <v>660</v>
      </c>
      <c r="F68" s="43" t="s">
        <v>661</v>
      </c>
    </row>
    <row r="69" spans="1:6" ht="15.95" customHeight="1" thickBot="1">
      <c r="A69" s="88">
        <f>COUNTIFS(ES_2[SPECIAL_ED],"Y",ES_2[Unique Count],"1",ES_2[Ethnicity],"Multiracial (two or more races)")</f>
        <v>0</v>
      </c>
      <c r="B69" s="88">
        <f>COUNTIFS(SE_2[Ethnicity],"Multiracial (two or more races)")</f>
        <v>79</v>
      </c>
      <c r="C69" s="91">
        <f>COUNTIFS(ES_2[SPECIAL_ED],"N",ES_2[Unique Count],"1",ES_2[Ethnicity],"Multiracial (two or more races)")</f>
        <v>0</v>
      </c>
      <c r="D69" s="91">
        <f>COUNTIFS(PE_2[IDEA Eligibility],"w/o disability")</f>
        <v>589</v>
      </c>
      <c r="E69" s="92" t="e">
        <f>(A69/B69)/(C69/D69)</f>
        <v>#DIV/0!</v>
      </c>
      <c r="F69" s="88" t="str">
        <f>IFERROR(IF(E69&gt;2,"Yes","No"),"#Div/0")</f>
        <v>#Div/0</v>
      </c>
    </row>
    <row r="70" spans="1:6" ht="15.75" customHeight="1" thickBot="1">
      <c r="A70" s="13"/>
      <c r="B70" s="13"/>
      <c r="C70" s="13"/>
      <c r="D70" s="13"/>
      <c r="E70" s="21"/>
      <c r="F70" s="13"/>
    </row>
    <row r="71" spans="1:6" ht="42" thickBot="1">
      <c r="A71" s="44" t="s">
        <v>664</v>
      </c>
      <c r="B71" s="13"/>
      <c r="C71" s="13"/>
      <c r="D71" s="13"/>
      <c r="E71" s="21"/>
      <c r="F71" s="13"/>
    </row>
    <row r="72" spans="1:6" ht="15.95" customHeight="1" thickBot="1">
      <c r="A72" s="70" t="s">
        <v>674</v>
      </c>
      <c r="B72" s="14"/>
      <c r="C72" s="14"/>
      <c r="D72" s="14"/>
      <c r="E72" s="22"/>
      <c r="F72" s="14"/>
    </row>
    <row r="73" spans="1:6" ht="15.95" customHeight="1" thickBot="1">
      <c r="A73" s="43" t="s">
        <v>669</v>
      </c>
      <c r="B73" s="43" t="s">
        <v>670</v>
      </c>
      <c r="C73" s="43" t="s">
        <v>658</v>
      </c>
      <c r="D73" s="43" t="s">
        <v>659</v>
      </c>
      <c r="E73" s="65" t="s">
        <v>660</v>
      </c>
      <c r="F73" s="43" t="s">
        <v>661</v>
      </c>
    </row>
    <row r="74" spans="1:6" ht="15.95" customHeight="1" thickBot="1">
      <c r="A74" s="88">
        <f>COUNTIFS(ES_3[SPECIAL_ED],"Y",ES_3[Unique Count],"1",ES_3[Ethnicity],"Multiracial (two or more races)")</f>
        <v>0</v>
      </c>
      <c r="B74" s="88">
        <f>COUNTIFS(SE_3[Ethnicity],"Multiracial (two or more races)")</f>
        <v>31</v>
      </c>
      <c r="C74" s="91">
        <f>COUNTIFS(ES_3[SPECIAL_ED],"N",ES_3[Unique Count],"1",ES_3[Ethnicity],"Multiracial (two or more races)")</f>
        <v>0</v>
      </c>
      <c r="D74" s="91">
        <f>COUNTIFS(PE_3[IDEA Eligibility],"w/o disability")</f>
        <v>702</v>
      </c>
      <c r="E74" s="92" t="e">
        <f>(A74/B74)/(C74/D74)</f>
        <v>#DIV/0!</v>
      </c>
      <c r="F74" s="88" t="str">
        <f>IFERROR(IF(E74&gt;2,"Yes","No"),"#Div/0")</f>
        <v>#Div/0</v>
      </c>
    </row>
    <row r="75" spans="1:6" ht="15.75" customHeight="1" thickBot="1">
      <c r="A75" s="13"/>
      <c r="B75" s="13"/>
      <c r="C75" s="13"/>
      <c r="D75" s="13"/>
      <c r="E75" s="21"/>
      <c r="F75" s="13"/>
    </row>
    <row r="76" spans="1:6" ht="42" thickBot="1">
      <c r="A76" s="44" t="s">
        <v>655</v>
      </c>
      <c r="B76" s="13"/>
      <c r="C76" s="13"/>
      <c r="D76" s="13"/>
      <c r="E76" s="21"/>
      <c r="F76" s="13"/>
    </row>
    <row r="77" spans="1:6" ht="15.95" customHeight="1" thickBot="1">
      <c r="A77" s="71" t="s">
        <v>675</v>
      </c>
      <c r="B77" s="14"/>
      <c r="C77" s="14"/>
      <c r="D77" s="14"/>
      <c r="E77" s="22"/>
      <c r="F77" s="14"/>
    </row>
    <row r="78" spans="1:6" ht="15.95" customHeight="1" thickBot="1">
      <c r="A78" s="43" t="s">
        <v>669</v>
      </c>
      <c r="B78" s="43" t="s">
        <v>670</v>
      </c>
      <c r="C78" s="43" t="s">
        <v>658</v>
      </c>
      <c r="D78" s="43" t="s">
        <v>659</v>
      </c>
      <c r="E78" s="65" t="s">
        <v>660</v>
      </c>
      <c r="F78" s="43" t="s">
        <v>661</v>
      </c>
    </row>
    <row r="79" spans="1:6" ht="15.95" customHeight="1" thickBot="1">
      <c r="A79" s="88">
        <f>COUNTIFS(ES_1[SPECIAL_ED],"Y",ES_1[Unique Count],"1",ES_1[Ethnicity],"Native Hawaiian - Pacific Islander"
)</f>
        <v>0</v>
      </c>
      <c r="B79" s="88">
        <f>COUNTIFS(SE_1[Ethnicity],"Native Hawaiian - Pacific Islander")</f>
        <v>0</v>
      </c>
      <c r="C79" s="91">
        <f>COUNTIFS(ES_1[SPECIAL_ED],"N",ES_1[Unique Count],"1",ES_1[Ethnicity],"Native Hawaiian - Pacific Islander")</f>
        <v>0</v>
      </c>
      <c r="D79" s="91">
        <f>COUNTIFS(PE_1[IDEA Eligibility],"w/o disability")</f>
        <v>557</v>
      </c>
      <c r="E79" s="92" t="e">
        <f>(A79/B79)/(C79/D79)</f>
        <v>#DIV/0!</v>
      </c>
      <c r="F79" s="88" t="str">
        <f>IFERROR(IF(E79&gt;2,"Yes","No"),"#Div/0")</f>
        <v>#Div/0</v>
      </c>
    </row>
    <row r="80" spans="1:6" ht="15.75" customHeight="1" thickBot="1">
      <c r="A80" s="13"/>
      <c r="B80" s="13"/>
      <c r="C80" s="13"/>
      <c r="D80" s="13"/>
      <c r="E80" s="21"/>
      <c r="F80" s="13"/>
    </row>
    <row r="81" spans="1:6" ht="42" thickBot="1">
      <c r="A81" s="44" t="s">
        <v>662</v>
      </c>
      <c r="B81" s="13"/>
      <c r="C81" s="13"/>
      <c r="D81" s="13"/>
      <c r="E81" s="21"/>
      <c r="F81" s="13"/>
    </row>
    <row r="82" spans="1:6" ht="15.95" customHeight="1" thickBot="1">
      <c r="A82" s="71" t="s">
        <v>675</v>
      </c>
      <c r="B82" s="14"/>
      <c r="C82" s="14"/>
      <c r="D82" s="14"/>
      <c r="E82" s="22"/>
      <c r="F82" s="14"/>
    </row>
    <row r="83" spans="1:6" ht="15.95" customHeight="1" thickBot="1">
      <c r="A83" s="43" t="s">
        <v>669</v>
      </c>
      <c r="B83" s="43" t="s">
        <v>670</v>
      </c>
      <c r="C83" s="43" t="s">
        <v>658</v>
      </c>
      <c r="D83" s="43" t="s">
        <v>659</v>
      </c>
      <c r="E83" s="65" t="s">
        <v>660</v>
      </c>
      <c r="F83" s="43" t="s">
        <v>661</v>
      </c>
    </row>
    <row r="84" spans="1:6" ht="15.95" customHeight="1" thickBot="1">
      <c r="A84" s="88">
        <f>COUNTIFS(ES_2[SPECIAL_ED],"Y",ES_2[Unique Count],"1",ES_2[Ethnicity],"Native Hawaiian - Pacific Islander"
)</f>
        <v>0</v>
      </c>
      <c r="B84" s="88">
        <f>COUNTIFS(SE_2[Ethnicity],"Native Hawaiian - Pacific Islander")</f>
        <v>0</v>
      </c>
      <c r="C84" s="91">
        <f>COUNTIFS(ES_2[SPECIAL_ED],"N",ES_2[Unique Count],"1",ES_2[Ethnicity],"Native Hawaiian - Pacific Islander")</f>
        <v>0</v>
      </c>
      <c r="D84" s="91">
        <f>COUNTIFS(PE_2[IDEA Eligibility],"w/o disability")</f>
        <v>589</v>
      </c>
      <c r="E84" s="92" t="e">
        <f>(A84/B84)/(C84/D84)</f>
        <v>#DIV/0!</v>
      </c>
      <c r="F84" s="88" t="str">
        <f>IFERROR(IF(E84&gt;2,"Yes","No"),"#Div/0")</f>
        <v>#Div/0</v>
      </c>
    </row>
    <row r="85" spans="1:6" ht="15.75" customHeight="1" thickBot="1">
      <c r="A85" s="13"/>
      <c r="B85" s="13"/>
      <c r="C85" s="13"/>
      <c r="D85" s="13"/>
      <c r="E85" s="21"/>
      <c r="F85" s="13"/>
    </row>
    <row r="86" spans="1:6" ht="42" thickBot="1">
      <c r="A86" s="44" t="s">
        <v>664</v>
      </c>
      <c r="B86" s="13"/>
      <c r="C86" s="13"/>
      <c r="D86" s="13"/>
      <c r="E86" s="21"/>
      <c r="F86" s="13"/>
    </row>
    <row r="87" spans="1:6" ht="15.95" customHeight="1" thickBot="1">
      <c r="A87" s="71" t="s">
        <v>676</v>
      </c>
      <c r="B87" s="14"/>
      <c r="C87" s="14"/>
      <c r="D87" s="14"/>
      <c r="E87" s="22"/>
      <c r="F87" s="14"/>
    </row>
    <row r="88" spans="1:6" ht="15.95" customHeight="1" thickBot="1">
      <c r="A88" s="43" t="s">
        <v>669</v>
      </c>
      <c r="B88" s="43" t="s">
        <v>670</v>
      </c>
      <c r="C88" s="43" t="s">
        <v>658</v>
      </c>
      <c r="D88" s="43" t="s">
        <v>659</v>
      </c>
      <c r="E88" s="65" t="s">
        <v>660</v>
      </c>
      <c r="F88" s="43" t="s">
        <v>661</v>
      </c>
    </row>
    <row r="89" spans="1:6" ht="15.95" customHeight="1" thickBot="1">
      <c r="A89" s="88">
        <f>COUNTIFS(ES_3[SPECIAL_ED],"Y",ES_3[Unique Count], "1",ES_3[Ethnicity],"Native Hawaiian - Pacific Islander"
)</f>
        <v>0</v>
      </c>
      <c r="B89" s="88">
        <f>COUNTIFS(SE_3[Ethnicity],"Native Hawaiian - Pacific Islander")</f>
        <v>2</v>
      </c>
      <c r="C89" s="91">
        <f>COUNTIFS(ES_3[SPECIAL_ED],"N",ES_3[Unique Count],"1",ES_3[Ethnicity],"Native Hawaiian - Pacific Islander")</f>
        <v>0</v>
      </c>
      <c r="D89" s="91">
        <f>COUNTIFS(PE_3[IDEA Eligibility],"w/o disability")</f>
        <v>702</v>
      </c>
      <c r="E89" s="92" t="e">
        <f>(A89/B89)/(C89/D89)</f>
        <v>#DIV/0!</v>
      </c>
      <c r="F89" s="88" t="str">
        <f>IFERROR(IF(E89&gt;2,"Yes","No"),"#Div/0")</f>
        <v>#Div/0</v>
      </c>
    </row>
    <row r="90" spans="1:6" ht="15.75" customHeight="1" thickBot="1">
      <c r="A90" s="13"/>
      <c r="B90" s="13"/>
      <c r="C90" s="13"/>
      <c r="D90" s="13"/>
      <c r="E90" s="21"/>
      <c r="F90" s="13"/>
    </row>
    <row r="91" spans="1:6" ht="42" thickBot="1">
      <c r="A91" s="44" t="s">
        <v>655</v>
      </c>
      <c r="B91" s="13"/>
      <c r="C91" s="13"/>
      <c r="D91" s="13"/>
      <c r="E91" s="21"/>
      <c r="F91" s="13"/>
    </row>
    <row r="92" spans="1:6" ht="15.95" customHeight="1" thickBot="1">
      <c r="A92" s="72" t="s">
        <v>7</v>
      </c>
      <c r="B92" s="14"/>
      <c r="C92" s="14"/>
      <c r="D92" s="14"/>
      <c r="E92" s="22"/>
      <c r="F92" s="14"/>
    </row>
    <row r="93" spans="1:6" ht="15.95" customHeight="1" thickBot="1">
      <c r="A93" s="43" t="s">
        <v>669</v>
      </c>
      <c r="B93" s="43" t="s">
        <v>670</v>
      </c>
      <c r="C93" s="43" t="s">
        <v>658</v>
      </c>
      <c r="D93" s="43" t="s">
        <v>659</v>
      </c>
      <c r="E93" s="65" t="s">
        <v>660</v>
      </c>
      <c r="F93" s="43" t="s">
        <v>661</v>
      </c>
    </row>
    <row r="94" spans="1:6" ht="15.95" customHeight="1" thickBot="1">
      <c r="A94" s="88">
        <f>COUNTIFS(ES_1[SPECIAL_ED],"Y",ES_1[Unique Count], "1",ES_1[Ethnicity],"White"
)</f>
        <v>0</v>
      </c>
      <c r="B94" s="88">
        <f>COUNTIFS(SE_1[Ethnicity],"White")</f>
        <v>229</v>
      </c>
      <c r="C94" s="91">
        <f>COUNTIFS(ES_1[SPECIAL_ED],"N",ES_1[Unique Count],"1",ES_1[Ethnicity],"White")</f>
        <v>0</v>
      </c>
      <c r="D94" s="91">
        <f>COUNTIFS(PE_1[IDEA Eligibility],"w/o disability")</f>
        <v>557</v>
      </c>
      <c r="E94" s="92" t="e">
        <f>(A94/B94)/(C94/D94)</f>
        <v>#DIV/0!</v>
      </c>
      <c r="F94" s="88" t="str">
        <f>IFERROR(IF(E94&gt;2,"Yes","No"),"#Div/0")</f>
        <v>#Div/0</v>
      </c>
    </row>
    <row r="95" spans="1:6" ht="15.75" customHeight="1" thickBot="1">
      <c r="A95" s="13"/>
      <c r="B95" s="13"/>
      <c r="C95" s="13"/>
      <c r="D95" s="13"/>
      <c r="E95" s="21"/>
      <c r="F95" s="13"/>
    </row>
    <row r="96" spans="1:6" ht="42" thickBot="1">
      <c r="A96" s="44" t="s">
        <v>662</v>
      </c>
      <c r="B96" s="13"/>
      <c r="C96" s="13"/>
      <c r="D96" s="13"/>
      <c r="E96" s="21"/>
      <c r="F96" s="13"/>
    </row>
    <row r="97" spans="1:6" ht="15.95" customHeight="1" thickBot="1">
      <c r="A97" s="72" t="s">
        <v>7</v>
      </c>
      <c r="B97" s="14"/>
      <c r="C97" s="14"/>
      <c r="D97" s="14"/>
      <c r="E97" s="22"/>
      <c r="F97" s="14"/>
    </row>
    <row r="98" spans="1:6" ht="15.95" customHeight="1" thickBot="1">
      <c r="A98" s="43" t="s">
        <v>669</v>
      </c>
      <c r="B98" s="43" t="s">
        <v>670</v>
      </c>
      <c r="C98" s="43" t="s">
        <v>658</v>
      </c>
      <c r="D98" s="43" t="s">
        <v>659</v>
      </c>
      <c r="E98" s="65" t="s">
        <v>660</v>
      </c>
      <c r="F98" s="43" t="s">
        <v>661</v>
      </c>
    </row>
    <row r="99" spans="1:6" ht="15.95" customHeight="1" thickBot="1">
      <c r="A99" s="88">
        <f>COUNTIFS(ES_2[SPECIAL_ED],"Y",ES_2[Unique Count], "1",ES_2[Ethnicity],"White"
)</f>
        <v>1</v>
      </c>
      <c r="B99" s="88">
        <f>COUNTIFS(SE_2[Ethnicity],"White")</f>
        <v>663</v>
      </c>
      <c r="C99" s="91">
        <f>COUNTIFS(ES_2[SPECIAL_ED],"N",ES_2[Unique Count],"1",ES_2[Ethnicity],"White")</f>
        <v>0</v>
      </c>
      <c r="D99" s="91">
        <f>COUNTIFS(PE_2[IDEA Eligibility],"w/o disability")</f>
        <v>589</v>
      </c>
      <c r="E99" s="92" t="e">
        <f>(A99/B99)/(C99/D99)</f>
        <v>#DIV/0!</v>
      </c>
      <c r="F99" s="88" t="str">
        <f>IFERROR(IF(E99&gt;2,"Yes","No"),"#Div/0")</f>
        <v>#Div/0</v>
      </c>
    </row>
    <row r="100" spans="1:6" ht="15.75" customHeight="1" thickBot="1">
      <c r="A100" s="13"/>
      <c r="B100" s="13"/>
      <c r="C100" s="13"/>
      <c r="D100" s="13"/>
      <c r="E100" s="21"/>
      <c r="F100" s="13"/>
    </row>
    <row r="101" spans="1:6" ht="42" thickBot="1">
      <c r="A101" s="44" t="s">
        <v>664</v>
      </c>
      <c r="B101" s="13"/>
      <c r="C101" s="13"/>
      <c r="D101" s="13"/>
      <c r="E101" s="21"/>
      <c r="F101" s="13"/>
    </row>
    <row r="102" spans="1:6" ht="15.95" customHeight="1" thickBot="1">
      <c r="A102" s="72" t="s">
        <v>7</v>
      </c>
      <c r="B102" s="14"/>
      <c r="C102" s="14"/>
      <c r="D102" s="14"/>
      <c r="E102" s="22"/>
      <c r="F102" s="14"/>
    </row>
    <row r="103" spans="1:6" ht="15.95" customHeight="1" thickBot="1">
      <c r="A103" s="43" t="s">
        <v>669</v>
      </c>
      <c r="B103" s="43" t="s">
        <v>670</v>
      </c>
      <c r="C103" s="43" t="s">
        <v>658</v>
      </c>
      <c r="D103" s="43" t="s">
        <v>659</v>
      </c>
      <c r="E103" s="65" t="s">
        <v>660</v>
      </c>
      <c r="F103" s="43" t="s">
        <v>661</v>
      </c>
    </row>
    <row r="104" spans="1:6" ht="15.95" customHeight="1" thickBot="1">
      <c r="A104" s="88">
        <f>COUNTIFS(ES_3[SPECIAL_ED],"Y",ES_3[Unique Count],"1",ES_3[Ethnicity],"White"
)</f>
        <v>2</v>
      </c>
      <c r="B104" s="88">
        <f>COUNTIFS(SE_3[Ethnicity],"White")</f>
        <v>350</v>
      </c>
      <c r="C104" s="91">
        <f>COUNTIFS(ES_3[SPECIAL_ED],"N",ES_3[Unique Count],"1",ES_3[Ethnicity],"White")</f>
        <v>6</v>
      </c>
      <c r="D104" s="91">
        <f>COUNTIFS(PE_3[IDEA Eligibility],"w/o disability")</f>
        <v>702</v>
      </c>
      <c r="E104" s="92">
        <f>(A104/B104)/(C104/D104)</f>
        <v>0.66857142857142848</v>
      </c>
      <c r="F104" s="88" t="str">
        <f>IFERROR(IF(E104&gt;2,"Yes","No"),"#Div/0")</f>
        <v>No</v>
      </c>
    </row>
  </sheetData>
  <sheetProtection selectLockedCells="1" selectUnlockedCells="1"/>
  <conditionalFormatting sqref="F1:F1048576">
    <cfRule type="cellIs" dxfId="0" priority="1" operator="equal">
      <formula>"Yes"</formula>
    </cfRule>
  </conditionalFormatting>
  <dataValidations count="1">
    <dataValidation type="list" allowBlank="1" showInputMessage="1" showErrorMessage="1" sqref="C1" xr:uid="{B33EA86C-EDE5-497A-9A87-A8A983120695}">
      <formula1>"American Indian - Alaskan Native,Asian,Black - African American,Hispanic Ethnicity and of any race,Multiracial(two or mre races),Native Hawaiian or Other Pacific"</formula1>
    </dataValidation>
  </dataValidations>
  <pageMargins left="0.7" right="0.7" top="0.75" bottom="0.75" header="0.3" footer="0.3"/>
</worksheet>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Sinha, Neetu</dc:creator>
  <cp:keywords/>
  <dc:description/>
  <cp:lastModifiedBy>Sinha, Neetu</cp:lastModifiedBy>
  <cp:revision/>
  <dcterms:created xsi:type="dcterms:W3CDTF">2024-08-01T16:10:37Z</dcterms:created>
  <dcterms:modified xsi:type="dcterms:W3CDTF">2025-04-14T14:23:31Z</dcterms:modified>
  <cp:category/>
  <cp:contentStatus/>
</cp:coreProperties>
</file>