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ritishmashakya/Documents/GitHub/College Works/BIM_Study_Materials/3rd Sem/Business Statistics/Lab Work/"/>
    </mc:Choice>
  </mc:AlternateContent>
  <xr:revisionPtr revIDLastSave="0" documentId="13_ncr:1_{933D95F8-EEC1-5B44-B805-0832F5E452C8}" xr6:coauthVersionLast="47" xr6:coauthVersionMax="47" xr10:uidLastSave="{00000000-0000-0000-0000-000000000000}"/>
  <bookViews>
    <workbookView xWindow="0" yWindow="0" windowWidth="25600" windowHeight="16000" activeTab="11" xr2:uid="{00000000-000D-0000-FFFF-FFFF00000000}"/>
  </bookViews>
  <sheets>
    <sheet name="Sheet1" sheetId="1" r:id="rId1"/>
    <sheet name="Sheet2" sheetId="6" r:id="rId2"/>
    <sheet name="Sheet3" sheetId="3" r:id="rId3"/>
    <sheet name="Sheet4" sheetId="7" r:id="rId4"/>
    <sheet name="Sheet6" sheetId="8" r:id="rId5"/>
    <sheet name="Sheet5" sheetId="5" r:id="rId6"/>
    <sheet name="Sheet7" sheetId="9" r:id="rId7"/>
    <sheet name="Sheet8" sheetId="10" r:id="rId8"/>
    <sheet name="Sheet9" sheetId="11" r:id="rId9"/>
    <sheet name="Sheet10" sheetId="12" r:id="rId10"/>
    <sheet name="Sheet11" sheetId="13" r:id="rId11"/>
    <sheet name="Sheet12" sheetId="14" r:id="rId12"/>
    <sheet name="Sheet13" sheetId="15" r:id="rId13"/>
    <sheet name="Sheet14" sheetId="16" r:id="rId14"/>
  </sheets>
  <calcPr calcId="191029"/>
  <pivotCaches>
    <pivotCache cacheId="0" r:id="rId15"/>
    <pivotCache cacheId="1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6" l="1"/>
  <c r="C11" i="13"/>
  <c r="C25" i="12"/>
  <c r="D9" i="6"/>
  <c r="F2" i="8"/>
  <c r="C14" i="16"/>
  <c r="C12" i="16"/>
  <c r="C10" i="16"/>
  <c r="C8" i="16"/>
  <c r="C6" i="16"/>
  <c r="C12" i="15"/>
  <c r="D4" i="15"/>
  <c r="D5" i="15"/>
  <c r="D6" i="15"/>
  <c r="D7" i="15"/>
  <c r="D8" i="15"/>
  <c r="D9" i="15"/>
  <c r="D10" i="15"/>
  <c r="D11" i="15"/>
  <c r="D3" i="15"/>
  <c r="D12" i="15" s="1"/>
  <c r="C16" i="15" s="1"/>
  <c r="C12" i="14"/>
  <c r="C10" i="14"/>
  <c r="C8" i="14"/>
  <c r="C6" i="14"/>
  <c r="C4" i="14"/>
  <c r="E7" i="15" l="1"/>
  <c r="E3" i="15"/>
  <c r="E4" i="15"/>
  <c r="E8" i="15"/>
  <c r="F8" i="15" s="1"/>
  <c r="E6" i="15"/>
  <c r="F6" i="15" s="1"/>
  <c r="E10" i="15"/>
  <c r="E5" i="15"/>
  <c r="E9" i="15"/>
  <c r="F9" i="15" s="1"/>
  <c r="F5" i="15"/>
  <c r="F4" i="15"/>
  <c r="F7" i="15"/>
  <c r="F10" i="15"/>
  <c r="F3" i="15"/>
  <c r="G5" i="13"/>
  <c r="G6" i="13"/>
  <c r="G7" i="13"/>
  <c r="G8" i="13"/>
  <c r="G9" i="13"/>
  <c r="G10" i="13"/>
  <c r="G11" i="13"/>
  <c r="G12" i="13"/>
  <c r="G13" i="13"/>
  <c r="G14" i="13"/>
  <c r="G15" i="13"/>
  <c r="G16" i="13"/>
  <c r="G4" i="13"/>
  <c r="C13" i="13"/>
  <c r="C9" i="13"/>
  <c r="C7" i="13"/>
  <c r="F12" i="15" l="1"/>
  <c r="E12" i="15"/>
  <c r="E11" i="15"/>
  <c r="F11" i="15" s="1"/>
  <c r="C14" i="12"/>
  <c r="C24" i="12" s="1"/>
  <c r="B14" i="12"/>
  <c r="C23" i="12" s="1"/>
  <c r="F13" i="12"/>
  <c r="E13" i="12"/>
  <c r="D13" i="12"/>
  <c r="F12" i="12"/>
  <c r="E12" i="12"/>
  <c r="D12" i="12"/>
  <c r="F11" i="12"/>
  <c r="E11" i="12"/>
  <c r="D11" i="12"/>
  <c r="F10" i="12"/>
  <c r="E10" i="12"/>
  <c r="D10" i="12"/>
  <c r="F9" i="12"/>
  <c r="E9" i="12"/>
  <c r="D9" i="12"/>
  <c r="F8" i="12"/>
  <c r="E8" i="12"/>
  <c r="D8" i="12"/>
  <c r="F7" i="12"/>
  <c r="E7" i="12"/>
  <c r="D7" i="12"/>
  <c r="F6" i="12"/>
  <c r="E6" i="12"/>
  <c r="D6" i="12"/>
  <c r="F5" i="12"/>
  <c r="E5" i="12"/>
  <c r="E14" i="12" s="1"/>
  <c r="D5" i="12"/>
  <c r="D14" i="12" l="1"/>
  <c r="F14" i="12"/>
  <c r="C20" i="11"/>
  <c r="E6" i="11"/>
  <c r="E7" i="11"/>
  <c r="E8" i="11"/>
  <c r="E9" i="11"/>
  <c r="E10" i="11"/>
  <c r="E11" i="11"/>
  <c r="E12" i="11"/>
  <c r="E13" i="11"/>
  <c r="F13" i="11" s="1"/>
  <c r="G13" i="11" s="1"/>
  <c r="E14" i="11"/>
  <c r="E5" i="11"/>
  <c r="D6" i="11"/>
  <c r="F6" i="11" s="1"/>
  <c r="G6" i="11" s="1"/>
  <c r="D7" i="11"/>
  <c r="F7" i="11" s="1"/>
  <c r="G7" i="11" s="1"/>
  <c r="D8" i="11"/>
  <c r="D9" i="11"/>
  <c r="F9" i="11" s="1"/>
  <c r="G9" i="11" s="1"/>
  <c r="D10" i="11"/>
  <c r="F10" i="11" s="1"/>
  <c r="G10" i="11" s="1"/>
  <c r="D11" i="11"/>
  <c r="F11" i="11" s="1"/>
  <c r="G11" i="11" s="1"/>
  <c r="D12" i="11"/>
  <c r="D13" i="11"/>
  <c r="D14" i="11"/>
  <c r="F14" i="11" s="1"/>
  <c r="G14" i="11" s="1"/>
  <c r="D5" i="11"/>
  <c r="F5" i="11" s="1"/>
  <c r="G5" i="11" s="1"/>
  <c r="C23" i="10"/>
  <c r="C14" i="10"/>
  <c r="B14" i="10"/>
  <c r="F6" i="10"/>
  <c r="F7" i="10"/>
  <c r="F8" i="10"/>
  <c r="F9" i="10"/>
  <c r="F10" i="10"/>
  <c r="F11" i="10"/>
  <c r="F12" i="10"/>
  <c r="F14" i="10" s="1"/>
  <c r="F13" i="10"/>
  <c r="F5" i="10"/>
  <c r="E6" i="10"/>
  <c r="E7" i="10"/>
  <c r="E8" i="10"/>
  <c r="E9" i="10"/>
  <c r="E10" i="10"/>
  <c r="E11" i="10"/>
  <c r="E12" i="10"/>
  <c r="E13" i="10"/>
  <c r="E5" i="10"/>
  <c r="E14" i="10" s="1"/>
  <c r="D6" i="10"/>
  <c r="D7" i="10"/>
  <c r="D8" i="10"/>
  <c r="D9" i="10"/>
  <c r="D10" i="10"/>
  <c r="D11" i="10"/>
  <c r="D12" i="10"/>
  <c r="D13" i="10"/>
  <c r="D5" i="10"/>
  <c r="D14" i="10" s="1"/>
  <c r="C61" i="12" l="1"/>
  <c r="C62" i="12" s="1"/>
  <c r="C73" i="12" s="1"/>
  <c r="C18" i="12"/>
  <c r="C40" i="12" s="1"/>
  <c r="C22" i="12"/>
  <c r="F12" i="11"/>
  <c r="G12" i="11" s="1"/>
  <c r="G15" i="11" s="1"/>
  <c r="F8" i="11"/>
  <c r="G8" i="11" s="1"/>
  <c r="B11" i="9"/>
  <c r="G15" i="9" s="1"/>
  <c r="G17" i="9" s="1"/>
  <c r="F3" i="9"/>
  <c r="F4" i="9" s="1"/>
  <c r="F5" i="9" s="1"/>
  <c r="F6" i="9" s="1"/>
  <c r="F7" i="9" s="1"/>
  <c r="F8" i="9" s="1"/>
  <c r="F9" i="9" s="1"/>
  <c r="F10" i="9" s="1"/>
  <c r="C3" i="9"/>
  <c r="E3" i="9" s="1"/>
  <c r="C4" i="9" l="1"/>
  <c r="G8" i="12"/>
  <c r="H8" i="12" s="1"/>
  <c r="I8" i="12" s="1"/>
  <c r="G12" i="12"/>
  <c r="H12" i="12" s="1"/>
  <c r="I12" i="12" s="1"/>
  <c r="G7" i="12"/>
  <c r="H7" i="12" s="1"/>
  <c r="I7" i="12" s="1"/>
  <c r="G9" i="12"/>
  <c r="H9" i="12" s="1"/>
  <c r="I9" i="12" s="1"/>
  <c r="G13" i="12"/>
  <c r="H13" i="12" s="1"/>
  <c r="I13" i="12" s="1"/>
  <c r="C54" i="12"/>
  <c r="G11" i="12"/>
  <c r="H11" i="12" s="1"/>
  <c r="I11" i="12" s="1"/>
  <c r="G6" i="12"/>
  <c r="H6" i="12" s="1"/>
  <c r="I6" i="12" s="1"/>
  <c r="G10" i="12"/>
  <c r="H10" i="12" s="1"/>
  <c r="I10" i="12" s="1"/>
  <c r="G5" i="12"/>
  <c r="B16" i="9"/>
  <c r="B18" i="9" s="1"/>
  <c r="G25" i="9"/>
  <c r="G27" i="9" s="1"/>
  <c r="G20" i="9"/>
  <c r="G22" i="9" s="1"/>
  <c r="D3" i="9"/>
  <c r="D35" i="8"/>
  <c r="D34" i="8"/>
  <c r="D29" i="8"/>
  <c r="D37" i="8" s="1"/>
  <c r="D28" i="8"/>
  <c r="D27" i="8"/>
  <c r="D26" i="8"/>
  <c r="D25" i="8"/>
  <c r="D10" i="8"/>
  <c r="D8" i="8"/>
  <c r="D12" i="8" s="1"/>
  <c r="D6" i="8"/>
  <c r="D14" i="8" s="1"/>
  <c r="D4" i="8"/>
  <c r="D2" i="8"/>
  <c r="D16" i="8" s="1"/>
  <c r="D32" i="8" l="1"/>
  <c r="G14" i="12"/>
  <c r="H5" i="12"/>
  <c r="D30" i="8"/>
  <c r="E4" i="9"/>
  <c r="D4" i="9"/>
  <c r="C5" i="9"/>
  <c r="D31" i="8"/>
  <c r="E9" i="7"/>
  <c r="F9" i="7" s="1"/>
  <c r="E10" i="7"/>
  <c r="F10" i="7" s="1"/>
  <c r="E11" i="7"/>
  <c r="F11" i="7" s="1"/>
  <c r="E12" i="7"/>
  <c r="F12" i="7" s="1"/>
  <c r="E8" i="7"/>
  <c r="F8" i="7" s="1"/>
  <c r="E3" i="7"/>
  <c r="E4" i="7" s="1"/>
  <c r="E2" i="7"/>
  <c r="E9" i="6"/>
  <c r="D10" i="6"/>
  <c r="E10" i="6" s="1"/>
  <c r="D11" i="6"/>
  <c r="E11" i="6" s="1"/>
  <c r="D12" i="6"/>
  <c r="E12" i="6" s="1"/>
  <c r="D13" i="6"/>
  <c r="E13" i="6" s="1"/>
  <c r="D4" i="6"/>
  <c r="D5" i="6" s="1"/>
  <c r="D3" i="6"/>
  <c r="C6" i="9" l="1"/>
  <c r="E5" i="9"/>
  <c r="D5" i="9"/>
  <c r="H14" i="12"/>
  <c r="I5" i="12"/>
  <c r="I14" i="12" s="1"/>
  <c r="C50" i="12" s="1"/>
  <c r="D5" i="1"/>
  <c r="E9" i="1" a="1"/>
  <c r="E9" i="1" s="1"/>
  <c r="D3" i="1"/>
  <c r="D2" i="1"/>
  <c r="D4" i="1" s="1"/>
  <c r="D6" i="1" s="1"/>
  <c r="C7" i="9" l="1"/>
  <c r="E6" i="9"/>
  <c r="D6" i="9"/>
  <c r="E16" i="1"/>
  <c r="E15" i="1"/>
  <c r="E14" i="1"/>
  <c r="E10" i="1"/>
  <c r="E13" i="1"/>
  <c r="E12" i="1"/>
  <c r="E11" i="1"/>
  <c r="C8" i="9" l="1"/>
  <c r="E7" i="9"/>
  <c r="D7" i="9"/>
  <c r="E17" i="1"/>
  <c r="F17" i="1" l="1"/>
  <c r="G17" i="1" s="1"/>
  <c r="F9" i="1"/>
  <c r="G9" i="1" s="1"/>
  <c r="F16" i="1"/>
  <c r="G16" i="1" s="1"/>
  <c r="C9" i="9"/>
  <c r="E8" i="9"/>
  <c r="D8" i="9"/>
  <c r="F15" i="1"/>
  <c r="G15" i="1" s="1"/>
  <c r="F13" i="1"/>
  <c r="G13" i="1" s="1"/>
  <c r="F10" i="1"/>
  <c r="G10" i="1" s="1"/>
  <c r="F14" i="1"/>
  <c r="G14" i="1" s="1"/>
  <c r="F11" i="1"/>
  <c r="G11" i="1" s="1"/>
  <c r="F12" i="1"/>
  <c r="G12" i="1" s="1"/>
  <c r="C10" i="9" l="1"/>
  <c r="E9" i="9"/>
  <c r="D9" i="9"/>
  <c r="E10" i="9" l="1"/>
  <c r="E11" i="9" s="1"/>
  <c r="D10" i="9"/>
  <c r="D11" i="9" s="1"/>
  <c r="B14" i="9" s="1"/>
  <c r="B20" i="9" l="1"/>
  <c r="B22" i="9" s="1"/>
</calcChain>
</file>

<file path=xl/sharedStrings.xml><?xml version="1.0" encoding="utf-8"?>
<sst xmlns="http://schemas.openxmlformats.org/spreadsheetml/2006/main" count="243" uniqueCount="171">
  <si>
    <t>Grades</t>
  </si>
  <si>
    <t>Xmin</t>
  </si>
  <si>
    <t>Xmax</t>
  </si>
  <si>
    <t>=MIN(A2:A81)</t>
  </si>
  <si>
    <t>Range</t>
  </si>
  <si>
    <t>No. of classes (k)</t>
  </si>
  <si>
    <t>Class Width(h)</t>
  </si>
  <si>
    <t>Marks</t>
  </si>
  <si>
    <t>52-58</t>
  </si>
  <si>
    <t>58-64</t>
  </si>
  <si>
    <t>64-70</t>
  </si>
  <si>
    <t>70-76</t>
  </si>
  <si>
    <t>76-82</t>
  </si>
  <si>
    <t>82-88</t>
  </si>
  <si>
    <t>88-94</t>
  </si>
  <si>
    <t>94-100</t>
  </si>
  <si>
    <t>Bin limits</t>
  </si>
  <si>
    <t>frequency</t>
  </si>
  <si>
    <t>Relative Frequency</t>
  </si>
  <si>
    <t>Percentage Frequency</t>
  </si>
  <si>
    <t>Row Labels</t>
  </si>
  <si>
    <t>Grand Total</t>
  </si>
  <si>
    <t>52-57</t>
  </si>
  <si>
    <t>58-63</t>
  </si>
  <si>
    <t>64-69</t>
  </si>
  <si>
    <t>70-75</t>
  </si>
  <si>
    <t>76-81</t>
  </si>
  <si>
    <t>82-87</t>
  </si>
  <si>
    <t>88-93</t>
  </si>
  <si>
    <t>Count of 68</t>
  </si>
  <si>
    <t>Count of 68_2</t>
  </si>
  <si>
    <t>Count of Grades</t>
  </si>
  <si>
    <t>Count of Grades2</t>
  </si>
  <si>
    <t>MIN</t>
  </si>
  <si>
    <t>MAX</t>
  </si>
  <si>
    <t>Stem</t>
  </si>
  <si>
    <t>Leaf</t>
  </si>
  <si>
    <t>f</t>
  </si>
  <si>
    <t>=REPT("0",COUNTIF($A$2:$A$81,C9*10+0))&amp;REPT("1",COUNTIF($A$2:$A$81,C9*10+1))&amp;REPT("2",COUNTIF($A$2:$A$81,C9*10+2))&amp;REPT("3",COUNTIF($A$2:$A$81,C9*10+3))&amp;REPT("4",COUNTIF($A$2:$A$81,C9*10+4))&amp;REPT("5",COUNTIF($A$2:$A$81,C9*10+5))&amp;REPT("6",COUNTIF($A$2:$A$81,C9*10+6))&amp;REPT("7",COUNTIF($A$2:$A$81,C9*10+7))&amp;REPT("8",COUNTIF($A$2:$A$81,C9*10+8))&amp;REPT("9",COUNTIF($A$2:$A$81,C9*10+9))</t>
  </si>
  <si>
    <t>Eye Pressure</t>
  </si>
  <si>
    <t>Min</t>
  </si>
  <si>
    <t>Max</t>
  </si>
  <si>
    <t>Mean</t>
  </si>
  <si>
    <t>Median</t>
  </si>
  <si>
    <t>Mode</t>
  </si>
  <si>
    <t>Standard Deviation</t>
  </si>
  <si>
    <t>variance</t>
  </si>
  <si>
    <t>Coefficient of Variation</t>
  </si>
  <si>
    <t>Coeficient of skewness (1)</t>
  </si>
  <si>
    <t>Coefficient of skewness (2)</t>
  </si>
  <si>
    <t>Coefficient of range</t>
  </si>
  <si>
    <t>First Quartile (Q1)</t>
  </si>
  <si>
    <t>Second Quartile(Q2)</t>
  </si>
  <si>
    <t>Thrid Quartile(Q3)</t>
  </si>
  <si>
    <t>Interquartile Range</t>
  </si>
  <si>
    <t>Coeff of QD</t>
  </si>
  <si>
    <t>Bowley coeff</t>
  </si>
  <si>
    <t>Tenth percentile</t>
  </si>
  <si>
    <t>Nineteith percnetile</t>
  </si>
  <si>
    <t>Coeff od kurtosis</t>
  </si>
  <si>
    <t>Grade</t>
  </si>
  <si>
    <t>No. of students(f)</t>
  </si>
  <si>
    <t>Mid-value(m)</t>
  </si>
  <si>
    <t>fm</t>
  </si>
  <si>
    <t>fm2</t>
  </si>
  <si>
    <t>c.f</t>
  </si>
  <si>
    <t>rank order</t>
  </si>
  <si>
    <t>Actual median</t>
  </si>
  <si>
    <t>Coeff of skewness</t>
  </si>
  <si>
    <t>Tenth Percentile</t>
  </si>
  <si>
    <t>P10 class</t>
  </si>
  <si>
    <t>actual p10</t>
  </si>
  <si>
    <t>twentyfifth percentile</t>
  </si>
  <si>
    <t>P25 class</t>
  </si>
  <si>
    <t>actual p25</t>
  </si>
  <si>
    <t>nineteith percentile</t>
  </si>
  <si>
    <t>P90 class</t>
  </si>
  <si>
    <t>actual p90</t>
  </si>
  <si>
    <t>sventyfifth percentile</t>
  </si>
  <si>
    <t>P75 class</t>
  </si>
  <si>
    <t>actual p75</t>
  </si>
  <si>
    <t>Y</t>
  </si>
  <si>
    <t>X</t>
  </si>
  <si>
    <t>Sales</t>
  </si>
  <si>
    <t>Test Scores</t>
  </si>
  <si>
    <t>X^2</t>
  </si>
  <si>
    <t>Y^2</t>
  </si>
  <si>
    <t>XY</t>
  </si>
  <si>
    <t>n</t>
  </si>
  <si>
    <t>∑ X</t>
  </si>
  <si>
    <t>∑ Y</t>
  </si>
  <si>
    <t>∑ X^2</t>
  </si>
  <si>
    <t>∑ XY</t>
  </si>
  <si>
    <t>∑ Y^2</t>
  </si>
  <si>
    <t>rxy</t>
  </si>
  <si>
    <t>Math Score</t>
  </si>
  <si>
    <t>Biology Score</t>
  </si>
  <si>
    <t>Rx</t>
  </si>
  <si>
    <t>Ry</t>
  </si>
  <si>
    <t>Rank of X</t>
  </si>
  <si>
    <t>Rank of Y</t>
  </si>
  <si>
    <t>d=Rx-Ry</t>
  </si>
  <si>
    <t>d^2</t>
  </si>
  <si>
    <t>N</t>
  </si>
  <si>
    <t>∑d^2</t>
  </si>
  <si>
    <t>rs</t>
  </si>
  <si>
    <t>Test Score</t>
  </si>
  <si>
    <t>Corr coefficient</t>
  </si>
  <si>
    <t xml:space="preserve">Slope </t>
  </si>
  <si>
    <t>Mean of X</t>
  </si>
  <si>
    <t>Mean of Y</t>
  </si>
  <si>
    <t>Intercept</t>
  </si>
  <si>
    <t>Coeff of determination</t>
  </si>
  <si>
    <t>R^2</t>
  </si>
  <si>
    <t>Est Y</t>
  </si>
  <si>
    <t>Error</t>
  </si>
  <si>
    <t>Error^2</t>
  </si>
  <si>
    <t>Standard error</t>
  </si>
  <si>
    <t>se</t>
  </si>
  <si>
    <t>EST Y</t>
  </si>
  <si>
    <t>EST</t>
  </si>
  <si>
    <t>X=25</t>
  </si>
  <si>
    <t>Y=2</t>
  </si>
  <si>
    <t>Regression of Equation X on Y</t>
  </si>
  <si>
    <t>Slope</t>
  </si>
  <si>
    <t>Estimation</t>
  </si>
  <si>
    <t>X=?</t>
  </si>
  <si>
    <t>Est X</t>
  </si>
  <si>
    <t>Y=3000</t>
  </si>
  <si>
    <t>success</t>
  </si>
  <si>
    <t>successful</t>
  </si>
  <si>
    <t>heart opertion</t>
  </si>
  <si>
    <t>fai;ure</t>
  </si>
  <si>
    <t>unsuccessful</t>
  </si>
  <si>
    <t>p</t>
  </si>
  <si>
    <t>no. of trails</t>
  </si>
  <si>
    <t>prob of success</t>
  </si>
  <si>
    <t>(a)</t>
  </si>
  <si>
    <t>P(X=8)</t>
  </si>
  <si>
    <t>(b)</t>
  </si>
  <si>
    <t>P(X &gt;=10)</t>
  </si>
  <si>
    <t>©</t>
  </si>
  <si>
    <t>P(X&lt;6)</t>
  </si>
  <si>
    <t>(d)</t>
  </si>
  <si>
    <t>P(8&lt;=X&lt;=10)</t>
  </si>
  <si>
    <t>P(X=x)</t>
  </si>
  <si>
    <t>x</t>
  </si>
  <si>
    <t>no. of serious accidents in a factory per year</t>
  </si>
  <si>
    <t>λ</t>
  </si>
  <si>
    <t>average no. of serious accident sin a factory per year</t>
  </si>
  <si>
    <t>p(X=0)</t>
  </si>
  <si>
    <t>a)</t>
  </si>
  <si>
    <t>b)</t>
  </si>
  <si>
    <t>p(X=7)</t>
  </si>
  <si>
    <t>c)</t>
  </si>
  <si>
    <r>
      <t xml:space="preserve">P(X </t>
    </r>
    <r>
      <rPr>
        <sz val="11"/>
        <color theme="1"/>
        <rFont val="Calibri"/>
        <family val="2"/>
      </rPr>
      <t>≥ 10)</t>
    </r>
  </si>
  <si>
    <t>d)</t>
  </si>
  <si>
    <t>p(X&lt;5)</t>
  </si>
  <si>
    <t>e)</t>
  </si>
  <si>
    <r>
      <t xml:space="preserve">p(4 </t>
    </r>
    <r>
      <rPr>
        <sz val="11"/>
        <color theme="1"/>
        <rFont val="Calibri"/>
        <family val="2"/>
      </rPr>
      <t>≤ X ≤ 8)</t>
    </r>
  </si>
  <si>
    <t>fx</t>
  </si>
  <si>
    <t>p(x)</t>
  </si>
  <si>
    <t>fe</t>
  </si>
  <si>
    <t>μ</t>
  </si>
  <si>
    <t>IQ of students</t>
  </si>
  <si>
    <t>Mean IQ of students</t>
  </si>
  <si>
    <t>SD of IQ of students</t>
  </si>
  <si>
    <t>σ</t>
  </si>
  <si>
    <t>P(X &gt; 130)</t>
  </si>
  <si>
    <t>P(X&lt;90)</t>
  </si>
  <si>
    <t>P(100&lt;X&lt;120)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</si>
</sst>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00"/>
  </numFmts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1" xfId="0" applyBorder="1"/>
    <xf numFmtId="2" fontId="0" fillId="0" borderId="0" xfId="0" applyNumberFormat="1"/>
    <xf numFmtId="0" fontId="1" fillId="2" borderId="0" xfId="1"/>
    <xf numFmtId="0" fontId="2" fillId="0" borderId="1" xfId="0" applyFont="1" applyBorder="1"/>
    <xf numFmtId="0" fontId="3" fillId="0" borderId="0" xfId="0" applyFont="1"/>
    <xf numFmtId="164" fontId="0" fillId="0" borderId="1" xfId="0" applyNumberFormat="1" applyBorder="1"/>
    <xf numFmtId="165" fontId="0" fillId="0" borderId="1" xfId="0" applyNumberFormat="1" applyBorder="1"/>
    <xf numFmtId="164" fontId="2" fillId="0" borderId="1" xfId="0" applyNumberFormat="1" applyFont="1" applyBorder="1"/>
    <xf numFmtId="166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  <a:r>
              <a:rPr lang="en-US" baseline="0"/>
              <a:t> OF MARKS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Sheet1!$E$8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cat>
            <c:strRef>
              <c:f>Sheet1!$C$9:$C$16</c:f>
              <c:strCache>
                <c:ptCount val="8"/>
                <c:pt idx="0">
                  <c:v>52-58</c:v>
                </c:pt>
                <c:pt idx="1">
                  <c:v>58-64</c:v>
                </c:pt>
                <c:pt idx="2">
                  <c:v>64-70</c:v>
                </c:pt>
                <c:pt idx="3">
                  <c:v>70-76</c:v>
                </c:pt>
                <c:pt idx="4">
                  <c:v>76-82</c:v>
                </c:pt>
                <c:pt idx="5">
                  <c:v>82-88</c:v>
                </c:pt>
                <c:pt idx="6">
                  <c:v>88-94</c:v>
                </c:pt>
                <c:pt idx="7">
                  <c:v>94-100</c:v>
                </c:pt>
              </c:strCache>
            </c:strRef>
          </c:cat>
          <c:val>
            <c:numRef>
              <c:f>Sheet1!$E$9:$E$16</c:f>
              <c:numCache>
                <c:formatCode>General</c:formatCode>
                <c:ptCount val="8"/>
                <c:pt idx="0">
                  <c:v>2</c:v>
                </c:pt>
                <c:pt idx="1">
                  <c:v>12</c:v>
                </c:pt>
                <c:pt idx="2">
                  <c:v>10</c:v>
                </c:pt>
                <c:pt idx="3">
                  <c:v>23</c:v>
                </c:pt>
                <c:pt idx="4">
                  <c:v>14</c:v>
                </c:pt>
                <c:pt idx="5">
                  <c:v>10</c:v>
                </c:pt>
                <c:pt idx="6">
                  <c:v>5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3D-4E85-B0B4-CBCFEE969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13097215"/>
        <c:axId val="713090559"/>
      </c:barChart>
      <c:catAx>
        <c:axId val="71309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713090559"/>
        <c:crosses val="autoZero"/>
        <c:auto val="1"/>
        <c:lblAlgn val="ctr"/>
        <c:lblOffset val="100"/>
        <c:noMultiLvlLbl val="0"/>
      </c:catAx>
      <c:valAx>
        <c:axId val="7130905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students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713097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diagram of sales vs test scores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P"/>
        </a:p>
      </c:txPr>
    </c:title>
    <c:autoTitleDeleted val="0"/>
    <c:plotArea>
      <c:layout>
        <c:manualLayout>
          <c:layoutTarget val="inner"/>
          <c:xMode val="edge"/>
          <c:yMode val="edge"/>
          <c:x val="0.12213648293963254"/>
          <c:y val="0.19486111111111112"/>
          <c:w val="0.82075240594925636"/>
          <c:h val="0.678826704148404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Sheet8!$C$4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Sheet8!$B$5:$B$13</c:f>
              <c:numCache>
                <c:formatCode>General</c:formatCode>
                <c:ptCount val="9"/>
                <c:pt idx="0">
                  <c:v>14</c:v>
                </c:pt>
                <c:pt idx="1">
                  <c:v>19</c:v>
                </c:pt>
                <c:pt idx="2">
                  <c:v>24</c:v>
                </c:pt>
                <c:pt idx="3">
                  <c:v>21</c:v>
                </c:pt>
                <c:pt idx="4">
                  <c:v>26</c:v>
                </c:pt>
                <c:pt idx="5">
                  <c:v>22</c:v>
                </c:pt>
                <c:pt idx="6">
                  <c:v>15</c:v>
                </c:pt>
                <c:pt idx="7">
                  <c:v>20</c:v>
                </c:pt>
                <c:pt idx="8">
                  <c:v>19</c:v>
                </c:pt>
              </c:numCache>
            </c:numRef>
          </c:xVal>
          <c:yVal>
            <c:numRef>
              <c:f>Sheet8!$C$5:$C$13</c:f>
              <c:numCache>
                <c:formatCode>General</c:formatCode>
                <c:ptCount val="9"/>
                <c:pt idx="0">
                  <c:v>31</c:v>
                </c:pt>
                <c:pt idx="1">
                  <c:v>36</c:v>
                </c:pt>
                <c:pt idx="2">
                  <c:v>48</c:v>
                </c:pt>
                <c:pt idx="3">
                  <c:v>37</c:v>
                </c:pt>
                <c:pt idx="4">
                  <c:v>50</c:v>
                </c:pt>
                <c:pt idx="5">
                  <c:v>45</c:v>
                </c:pt>
                <c:pt idx="6">
                  <c:v>33</c:v>
                </c:pt>
                <c:pt idx="7">
                  <c:v>41</c:v>
                </c:pt>
                <c:pt idx="8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C6-4170-9E0B-07EBC8931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450944"/>
        <c:axId val="328447200"/>
      </c:scatterChart>
      <c:valAx>
        <c:axId val="328450944"/>
        <c:scaling>
          <c:orientation val="minMax"/>
          <c:max val="3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2383902012248476"/>
              <c:y val="0.93396294527502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328447200"/>
        <c:crosses val="autoZero"/>
        <c:crossBetween val="midCat"/>
      </c:valAx>
      <c:valAx>
        <c:axId val="328447200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32845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Sheet11!$G$3</c:f>
              <c:strCache>
                <c:ptCount val="1"/>
                <c:pt idx="0">
                  <c:v>P(X=x)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Sheet11!$F$4:$F$16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Sheet11!$G$4:$G$16</c:f>
              <c:numCache>
                <c:formatCode>0.000000</c:formatCode>
                <c:ptCount val="13"/>
                <c:pt idx="0">
                  <c:v>4.0959999999999933E-9</c:v>
                </c:pt>
                <c:pt idx="1">
                  <c:v>1.9660799999999993E-7</c:v>
                </c:pt>
                <c:pt idx="2">
                  <c:v>4.3253759999999791E-6</c:v>
                </c:pt>
                <c:pt idx="3">
                  <c:v>5.7671679999999842E-5</c:v>
                </c:pt>
                <c:pt idx="4">
                  <c:v>5.1904511999999951E-4</c:v>
                </c:pt>
                <c:pt idx="5">
                  <c:v>3.3218887679999937E-3</c:v>
                </c:pt>
                <c:pt idx="6">
                  <c:v>1.550214758399999E-2</c:v>
                </c:pt>
                <c:pt idx="7">
                  <c:v>5.3150220287999962E-2</c:v>
                </c:pt>
                <c:pt idx="8">
                  <c:v>0.13287555071999999</c:v>
                </c:pt>
                <c:pt idx="9">
                  <c:v>0.23622320127999991</c:v>
                </c:pt>
                <c:pt idx="10">
                  <c:v>0.28346784153600002</c:v>
                </c:pt>
                <c:pt idx="11">
                  <c:v>0.20615843020800007</c:v>
                </c:pt>
                <c:pt idx="12">
                  <c:v>6.871947673600004E-2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0-459B-B8C6-71FDDB711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154175"/>
        <c:axId val="113156255"/>
      </c:barChart>
      <c:catAx>
        <c:axId val="11315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113156255"/>
        <c:crosses val="autoZero"/>
        <c:auto val="1"/>
        <c:lblAlgn val="ctr"/>
        <c:lblOffset val="100"/>
        <c:noMultiLvlLbl val="0"/>
      </c:catAx>
      <c:valAx>
        <c:axId val="11315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113154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18</xdr:row>
      <xdr:rowOff>114300</xdr:rowOff>
    </xdr:from>
    <xdr:to>
      <xdr:col>6</xdr:col>
      <xdr:colOff>1181100</xdr:colOff>
      <xdr:row>36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16</xdr:row>
      <xdr:rowOff>66675</xdr:rowOff>
    </xdr:from>
    <xdr:to>
      <xdr:col>5</xdr:col>
      <xdr:colOff>0</xdr:colOff>
      <xdr:row>19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647825" y="3114675"/>
          <a:ext cx="304800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Conclusion: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distribution of marks of students is right skewed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600076</xdr:colOff>
      <xdr:row>15</xdr:row>
      <xdr:rowOff>161925</xdr:rowOff>
    </xdr:from>
    <xdr:to>
      <xdr:col>8</xdr:col>
      <xdr:colOff>57151</xdr:colOff>
      <xdr:row>19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190751" y="3019425"/>
          <a:ext cx="35623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Conclusion:</a:t>
          </a:r>
          <a:r>
            <a:rPr lang="en-US" sz="1100" baseline="0"/>
            <a:t> The distribution of eye pressure of students is irregular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18</xdr:row>
      <xdr:rowOff>114300</xdr:rowOff>
    </xdr:from>
    <xdr:to>
      <xdr:col>6</xdr:col>
      <xdr:colOff>9525</xdr:colOff>
      <xdr:row>22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562100" y="3543300"/>
          <a:ext cx="34385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Since coefficient of skewness</a:t>
          </a:r>
          <a:r>
            <a:rPr lang="en-US" sz="1100" baseline="0"/>
            <a:t> is 0.072, the distribution  of grades of students is almost symmetrical</a:t>
          </a:r>
          <a:endParaRPr lang="en-US" sz="1100"/>
        </a:p>
      </xdr:txBody>
    </xdr:sp>
    <xdr:clientData/>
  </xdr:twoCellAnchor>
  <xdr:twoCellAnchor>
    <xdr:from>
      <xdr:col>1</xdr:col>
      <xdr:colOff>600076</xdr:colOff>
      <xdr:row>37</xdr:row>
      <xdr:rowOff>171450</xdr:rowOff>
    </xdr:from>
    <xdr:to>
      <xdr:col>5</xdr:col>
      <xdr:colOff>561976</xdr:colOff>
      <xdr:row>42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209676" y="7219950"/>
          <a:ext cx="373380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Since coefficient of kurtosis (0.262)&lt;0.263 (Standard value),</a:t>
          </a:r>
          <a:r>
            <a:rPr lang="en-US" sz="1100" baseline="0"/>
            <a:t> we may conclude that distribution is almost symmetrical (mesokurtic)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22</xdr:row>
      <xdr:rowOff>161925</xdr:rowOff>
    </xdr:from>
    <xdr:to>
      <xdr:col>3</xdr:col>
      <xdr:colOff>352425</xdr:colOff>
      <xdr:row>26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8575" y="4352925"/>
          <a:ext cx="3971925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Conclusion: Since coefficient of skewness</a:t>
          </a:r>
          <a:r>
            <a:rPr lang="en-US" sz="1100" baseline="0"/>
            <a:t> is 0.1591, we can conclude that the distribution of grades of students is slightly positively skewed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600076</xdr:colOff>
      <xdr:row>23</xdr:row>
      <xdr:rowOff>171450</xdr:rowOff>
    </xdr:from>
    <xdr:to>
      <xdr:col>5</xdr:col>
      <xdr:colOff>323851</xdr:colOff>
      <xdr:row>27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600076" y="4552950"/>
          <a:ext cx="295275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rxy= ((C16*C21)-(C17*C18))/((SQRT(C16*C19-C17^2)*SQRT(C16*C20-C18^2)))</a:t>
          </a:r>
        </a:p>
      </xdr:txBody>
    </xdr:sp>
    <xdr:clientData/>
  </xdr:twoCellAnchor>
  <xdr:twoCellAnchor>
    <xdr:from>
      <xdr:col>1</xdr:col>
      <xdr:colOff>9525</xdr:colOff>
      <xdr:row>28</xdr:row>
      <xdr:rowOff>9523</xdr:rowOff>
    </xdr:from>
    <xdr:to>
      <xdr:col>8</xdr:col>
      <xdr:colOff>419100</xdr:colOff>
      <xdr:row>45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66675</xdr:colOff>
      <xdr:row>47</xdr:row>
      <xdr:rowOff>133350</xdr:rowOff>
    </xdr:from>
    <xdr:to>
      <xdr:col>7</xdr:col>
      <xdr:colOff>600075</xdr:colOff>
      <xdr:row>52</xdr:row>
      <xdr:rowOff>104775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/>
      </xdr:nvSpPr>
      <xdr:spPr>
        <a:xfrm>
          <a:off x="676275" y="9086850"/>
          <a:ext cx="4371975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Conclusion: Both Karl Pearson's correlation coefficient (0.97) and scatter diagram shows</a:t>
          </a:r>
          <a:r>
            <a:rPr lang="en-US" sz="1100" baseline="0"/>
            <a:t> that there is a positive correlation between test score and sales.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20</xdr:row>
      <xdr:rowOff>161925</xdr:rowOff>
    </xdr:from>
    <xdr:to>
      <xdr:col>5</xdr:col>
      <xdr:colOff>104775</xdr:colOff>
      <xdr:row>25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00075" y="3971925"/>
          <a:ext cx="2943225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Conclusion:</a:t>
          </a:r>
          <a:r>
            <a:rPr lang="en-US" sz="1100" baseline="0"/>
            <a:t> SInce Spearman's rank correlation coefficien is 0.56, we can conclude that there is moderate degree of positive correlation coefficient between math score and biology score.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152400</xdr:rowOff>
    </xdr:from>
    <xdr:to>
      <xdr:col>3</xdr:col>
      <xdr:colOff>400050</xdr:colOff>
      <xdr:row>20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609600" y="3581400"/>
          <a:ext cx="19621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Regression</a:t>
          </a:r>
          <a:r>
            <a:rPr lang="en-US" sz="1100" baseline="0"/>
            <a:t> Equation of Y on X</a:t>
          </a:r>
          <a:endParaRPr lang="en-US" sz="1100"/>
        </a:p>
      </xdr:txBody>
    </xdr:sp>
    <xdr:clientData/>
  </xdr:twoCellAnchor>
  <xdr:twoCellAnchor>
    <xdr:from>
      <xdr:col>0</xdr:col>
      <xdr:colOff>600075</xdr:colOff>
      <xdr:row>25</xdr:row>
      <xdr:rowOff>161925</xdr:rowOff>
    </xdr:from>
    <xdr:to>
      <xdr:col>4</xdr:col>
      <xdr:colOff>190500</xdr:colOff>
      <xdr:row>29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600075" y="4924425"/>
          <a:ext cx="23717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Est Y=7.8333+1.60833 X or</a:t>
          </a:r>
          <a:r>
            <a:rPr lang="en-US" sz="1100" baseline="0"/>
            <a:t> Estimated sales=7.8333+1.60833 Sales</a:t>
          </a:r>
          <a:endParaRPr lang="en-US" sz="1100"/>
        </a:p>
      </xdr:txBody>
    </xdr:sp>
    <xdr:clientData/>
  </xdr:twoCellAnchor>
  <xdr:twoCellAnchor>
    <xdr:from>
      <xdr:col>0</xdr:col>
      <xdr:colOff>600075</xdr:colOff>
      <xdr:row>29</xdr:row>
      <xdr:rowOff>171450</xdr:rowOff>
    </xdr:from>
    <xdr:to>
      <xdr:col>8</xdr:col>
      <xdr:colOff>323850</xdr:colOff>
      <xdr:row>37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/>
      </xdr:nvSpPr>
      <xdr:spPr>
        <a:xfrm>
          <a:off x="600075" y="5695950"/>
          <a:ext cx="4943475" cy="1428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Interpretation</a:t>
          </a:r>
          <a:r>
            <a:rPr lang="en-US" sz="1100" b="1" baseline="0"/>
            <a:t> of slope</a:t>
          </a:r>
        </a:p>
        <a:p>
          <a:r>
            <a:rPr lang="en-US" sz="1100" baseline="0"/>
            <a:t>For every unit increament in test score the sales increases in an average amount of 1.608333(x 100) i.e. Rs 160.33</a:t>
          </a:r>
        </a:p>
        <a:p>
          <a:r>
            <a:rPr lang="en-US" sz="1100" b="1" baseline="0"/>
            <a:t>Interpretation of intercept</a:t>
          </a:r>
        </a:p>
        <a:p>
          <a:r>
            <a:rPr lang="en-US" sz="1100" baseline="0"/>
            <a:t>The average of sales of the person is Rs. 78333 (x100) i.e. 783 who scored zero on the test</a:t>
          </a:r>
          <a:endParaRPr lang="en-US" sz="1100"/>
        </a:p>
      </xdr:txBody>
    </xdr:sp>
    <xdr:clientData/>
  </xdr:twoCellAnchor>
  <xdr:twoCellAnchor>
    <xdr:from>
      <xdr:col>1</xdr:col>
      <xdr:colOff>19050</xdr:colOff>
      <xdr:row>40</xdr:row>
      <xdr:rowOff>161925</xdr:rowOff>
    </xdr:from>
    <xdr:to>
      <xdr:col>8</xdr:col>
      <xdr:colOff>285750</xdr:colOff>
      <xdr:row>43</xdr:row>
      <xdr:rowOff>142875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/>
      </xdr:nvSpPr>
      <xdr:spPr>
        <a:xfrm>
          <a:off x="628650" y="7781925"/>
          <a:ext cx="487680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80.71% variation in sales is due to linear regression of Y=sakes</a:t>
          </a:r>
          <a:r>
            <a:rPr lang="en-US" sz="1100" baseline="0"/>
            <a:t> and X=test score. Remaining 10.29 % variation in sales is due to factors other than test scores.</a:t>
          </a:r>
          <a:endParaRPr lang="en-US" sz="1100"/>
        </a:p>
      </xdr:txBody>
    </xdr:sp>
    <xdr:clientData/>
  </xdr:twoCellAnchor>
  <xdr:twoCellAnchor>
    <xdr:from>
      <xdr:col>0</xdr:col>
      <xdr:colOff>600075</xdr:colOff>
      <xdr:row>54</xdr:row>
      <xdr:rowOff>171450</xdr:rowOff>
    </xdr:from>
    <xdr:to>
      <xdr:col>6</xdr:col>
      <xdr:colOff>552450</xdr:colOff>
      <xdr:row>57</xdr:row>
      <xdr:rowOff>85725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 txBox="1"/>
      </xdr:nvSpPr>
      <xdr:spPr>
        <a:xfrm>
          <a:off x="600075" y="10458450"/>
          <a:ext cx="395287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Interpretation:</a:t>
          </a:r>
          <a:r>
            <a:rPr lang="en-US" sz="1100" baseline="0"/>
            <a:t> The estimates sales is Rs 48.0417 (x 100)=Rs 4804.17 for a person who scored 25 on test.</a:t>
          </a:r>
          <a:endParaRPr lang="en-US" sz="1100"/>
        </a:p>
      </xdr:txBody>
    </xdr:sp>
    <xdr:clientData/>
  </xdr:twoCellAnchor>
  <xdr:twoCellAnchor>
    <xdr:from>
      <xdr:col>1</xdr:col>
      <xdr:colOff>0</xdr:colOff>
      <xdr:row>63</xdr:row>
      <xdr:rowOff>9525</xdr:rowOff>
    </xdr:from>
    <xdr:to>
      <xdr:col>4</xdr:col>
      <xdr:colOff>114300</xdr:colOff>
      <xdr:row>66</xdr:row>
      <xdr:rowOff>104775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 txBox="1"/>
      </xdr:nvSpPr>
      <xdr:spPr>
        <a:xfrm>
          <a:off x="609600" y="12011025"/>
          <a:ext cx="228600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Est X=-2.31214 +0.5578 Y or Estimated test score =</a:t>
          </a:r>
          <a:r>
            <a:rPr lang="en-US" sz="1100" baseline="0"/>
            <a:t> -2.3121 + 0.5578 * sales.</a:t>
          </a:r>
          <a:endParaRPr lang="en-US" sz="1100"/>
        </a:p>
      </xdr:txBody>
    </xdr:sp>
    <xdr:clientData/>
  </xdr:twoCellAnchor>
  <xdr:twoCellAnchor>
    <xdr:from>
      <xdr:col>0</xdr:col>
      <xdr:colOff>590550</xdr:colOff>
      <xdr:row>73</xdr:row>
      <xdr:rowOff>161925</xdr:rowOff>
    </xdr:from>
    <xdr:to>
      <xdr:col>7</xdr:col>
      <xdr:colOff>466725</xdr:colOff>
      <xdr:row>76</xdr:row>
      <xdr:rowOff>171450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 txBox="1"/>
      </xdr:nvSpPr>
      <xdr:spPr>
        <a:xfrm>
          <a:off x="590550" y="14068425"/>
          <a:ext cx="4486275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Hence</a:t>
          </a:r>
          <a:r>
            <a:rPr lang="en-US" sz="1100" baseline="0"/>
            <a:t> estimated test score is 14.422 in order to get sales target 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17</xdr:row>
      <xdr:rowOff>9525</xdr:rowOff>
    </xdr:from>
    <xdr:to>
      <xdr:col>5</xdr:col>
      <xdr:colOff>428625</xdr:colOff>
      <xdr:row>31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s" refreshedDate="45664.574816898152" createdVersion="6" refreshedVersion="6" minRefreshableVersion="3" recordCount="79" xr:uid="{00000000-000A-0000-FFFF-FFFF00000000}">
  <cacheSource type="worksheet">
    <worksheetSource ref="A2:A81" sheet="Sheet1"/>
  </cacheSource>
  <cacheFields count="1">
    <cacheField name="68" numFmtId="0">
      <sharedItems containsSemiMixedTypes="0" containsString="0" containsNumber="1" containsInteger="1" minValue="53" maxValue="97" count="37">
        <n v="88"/>
        <n v="74"/>
        <n v="69"/>
        <n v="83"/>
        <n v="65"/>
        <n v="73"/>
        <n v="84"/>
        <n v="62"/>
        <n v="71"/>
        <n v="80"/>
        <n v="81"/>
        <n v="75"/>
        <n v="60"/>
        <n v="95"/>
        <n v="68"/>
        <n v="79"/>
        <n v="72"/>
        <n v="82"/>
        <n v="93"/>
        <n v="78"/>
        <n v="57"/>
        <n v="63"/>
        <n v="96"/>
        <n v="67"/>
        <n v="76"/>
        <n v="90"/>
        <n v="59"/>
        <n v="97"/>
        <n v="85"/>
        <n v="66"/>
        <n v="89"/>
        <n v="61"/>
        <n v="77"/>
        <n v="53"/>
        <n v="94"/>
        <n v="86"/>
        <n v="87"/>
      </sharedItems>
      <fieldGroup base="0">
        <rangePr autoStart="0" autoEnd="0" startNum="52" endNum="100" groupInterval="6"/>
        <groupItems count="10">
          <s v="&lt;52"/>
          <s v="52-57"/>
          <s v="58-63"/>
          <s v="64-69"/>
          <s v="70-75"/>
          <s v="76-81"/>
          <s v="82-87"/>
          <s v="88-93"/>
          <s v="94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s" refreshedDate="45664.58221064815" createdVersion="6" refreshedVersion="6" minRefreshableVersion="3" recordCount="80" xr:uid="{00000000-000A-0000-FFFF-FFFF01000000}">
  <cacheSource type="worksheet">
    <worksheetSource ref="A1:A81" sheet="Sheet1"/>
  </cacheSource>
  <cacheFields count="1">
    <cacheField name="Grades" numFmtId="0">
      <sharedItems containsSemiMixedTypes="0" containsString="0" containsNumber="1" containsInteger="1" minValue="53" maxValue="97" count="37">
        <n v="68"/>
        <n v="88"/>
        <n v="74"/>
        <n v="69"/>
        <n v="83"/>
        <n v="65"/>
        <n v="73"/>
        <n v="84"/>
        <n v="62"/>
        <n v="71"/>
        <n v="80"/>
        <n v="81"/>
        <n v="75"/>
        <n v="60"/>
        <n v="95"/>
        <n v="79"/>
        <n v="72"/>
        <n v="82"/>
        <n v="93"/>
        <n v="78"/>
        <n v="57"/>
        <n v="63"/>
        <n v="96"/>
        <n v="67"/>
        <n v="76"/>
        <n v="90"/>
        <n v="59"/>
        <n v="97"/>
        <n v="85"/>
        <n v="66"/>
        <n v="89"/>
        <n v="61"/>
        <n v="77"/>
        <n v="53"/>
        <n v="94"/>
        <n v="86"/>
        <n v="87"/>
      </sharedItems>
      <fieldGroup base="0">
        <rangePr autoStart="0" autoEnd="0" startNum="52" endNum="100" groupInterval="6"/>
        <groupItems count="10">
          <s v="&lt;52"/>
          <s v="52-57"/>
          <s v="58-63"/>
          <s v="64-69"/>
          <s v="70-75"/>
          <s v="76-81"/>
          <s v="82-87"/>
          <s v="88-93"/>
          <s v="94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9">
  <r>
    <x v="0"/>
  </r>
  <r>
    <x v="1"/>
  </r>
  <r>
    <x v="2"/>
  </r>
  <r>
    <x v="3"/>
  </r>
  <r>
    <x v="4"/>
  </r>
  <r>
    <x v="5"/>
  </r>
  <r>
    <x v="6"/>
  </r>
  <r>
    <x v="5"/>
  </r>
  <r>
    <x v="7"/>
  </r>
  <r>
    <x v="1"/>
  </r>
  <r>
    <x v="8"/>
  </r>
  <r>
    <x v="9"/>
  </r>
  <r>
    <x v="10"/>
  </r>
  <r>
    <x v="11"/>
  </r>
  <r>
    <x v="12"/>
  </r>
  <r>
    <x v="13"/>
  </r>
  <r>
    <x v="14"/>
  </r>
  <r>
    <x v="15"/>
  </r>
  <r>
    <x v="5"/>
  </r>
  <r>
    <x v="16"/>
  </r>
  <r>
    <x v="17"/>
  </r>
  <r>
    <x v="18"/>
  </r>
  <r>
    <x v="19"/>
  </r>
  <r>
    <x v="12"/>
  </r>
  <r>
    <x v="7"/>
  </r>
  <r>
    <x v="20"/>
  </r>
  <r>
    <x v="21"/>
  </r>
  <r>
    <x v="14"/>
  </r>
  <r>
    <x v="8"/>
  </r>
  <r>
    <x v="21"/>
  </r>
  <r>
    <x v="22"/>
  </r>
  <r>
    <x v="23"/>
  </r>
  <r>
    <x v="0"/>
  </r>
  <r>
    <x v="24"/>
  </r>
  <r>
    <x v="25"/>
  </r>
  <r>
    <x v="26"/>
  </r>
  <r>
    <x v="16"/>
  </r>
  <r>
    <x v="19"/>
  </r>
  <r>
    <x v="27"/>
  </r>
  <r>
    <x v="19"/>
  </r>
  <r>
    <x v="11"/>
  </r>
  <r>
    <x v="7"/>
  </r>
  <r>
    <x v="28"/>
  </r>
  <r>
    <x v="29"/>
  </r>
  <r>
    <x v="30"/>
  </r>
  <r>
    <x v="19"/>
  </r>
  <r>
    <x v="7"/>
  </r>
  <r>
    <x v="28"/>
  </r>
  <r>
    <x v="0"/>
  </r>
  <r>
    <x v="11"/>
  </r>
  <r>
    <x v="19"/>
  </r>
  <r>
    <x v="31"/>
  </r>
  <r>
    <x v="28"/>
  </r>
  <r>
    <x v="24"/>
  </r>
  <r>
    <x v="32"/>
  </r>
  <r>
    <x v="24"/>
  </r>
  <r>
    <x v="31"/>
  </r>
  <r>
    <x v="17"/>
  </r>
  <r>
    <x v="11"/>
  </r>
  <r>
    <x v="24"/>
  </r>
  <r>
    <x v="33"/>
  </r>
  <r>
    <x v="18"/>
  </r>
  <r>
    <x v="4"/>
  </r>
  <r>
    <x v="11"/>
  </r>
  <r>
    <x v="13"/>
  </r>
  <r>
    <x v="4"/>
  </r>
  <r>
    <x v="1"/>
  </r>
  <r>
    <x v="5"/>
  </r>
  <r>
    <x v="11"/>
  </r>
  <r>
    <x v="34"/>
  </r>
  <r>
    <x v="12"/>
  </r>
  <r>
    <x v="8"/>
  </r>
  <r>
    <x v="35"/>
  </r>
  <r>
    <x v="15"/>
  </r>
  <r>
    <x v="36"/>
  </r>
  <r>
    <x v="32"/>
  </r>
  <r>
    <x v="15"/>
  </r>
  <r>
    <x v="11"/>
  </r>
  <r>
    <x v="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0">
  <r>
    <x v="0"/>
  </r>
  <r>
    <x v="1"/>
  </r>
  <r>
    <x v="2"/>
  </r>
  <r>
    <x v="3"/>
  </r>
  <r>
    <x v="4"/>
  </r>
  <r>
    <x v="5"/>
  </r>
  <r>
    <x v="6"/>
  </r>
  <r>
    <x v="7"/>
  </r>
  <r>
    <x v="6"/>
  </r>
  <r>
    <x v="8"/>
  </r>
  <r>
    <x v="2"/>
  </r>
  <r>
    <x v="9"/>
  </r>
  <r>
    <x v="10"/>
  </r>
  <r>
    <x v="11"/>
  </r>
  <r>
    <x v="12"/>
  </r>
  <r>
    <x v="13"/>
  </r>
  <r>
    <x v="14"/>
  </r>
  <r>
    <x v="0"/>
  </r>
  <r>
    <x v="15"/>
  </r>
  <r>
    <x v="6"/>
  </r>
  <r>
    <x v="16"/>
  </r>
  <r>
    <x v="17"/>
  </r>
  <r>
    <x v="18"/>
  </r>
  <r>
    <x v="19"/>
  </r>
  <r>
    <x v="13"/>
  </r>
  <r>
    <x v="8"/>
  </r>
  <r>
    <x v="20"/>
  </r>
  <r>
    <x v="21"/>
  </r>
  <r>
    <x v="0"/>
  </r>
  <r>
    <x v="9"/>
  </r>
  <r>
    <x v="21"/>
  </r>
  <r>
    <x v="22"/>
  </r>
  <r>
    <x v="23"/>
  </r>
  <r>
    <x v="1"/>
  </r>
  <r>
    <x v="24"/>
  </r>
  <r>
    <x v="25"/>
  </r>
  <r>
    <x v="26"/>
  </r>
  <r>
    <x v="16"/>
  </r>
  <r>
    <x v="19"/>
  </r>
  <r>
    <x v="27"/>
  </r>
  <r>
    <x v="19"/>
  </r>
  <r>
    <x v="12"/>
  </r>
  <r>
    <x v="8"/>
  </r>
  <r>
    <x v="28"/>
  </r>
  <r>
    <x v="29"/>
  </r>
  <r>
    <x v="30"/>
  </r>
  <r>
    <x v="19"/>
  </r>
  <r>
    <x v="8"/>
  </r>
  <r>
    <x v="28"/>
  </r>
  <r>
    <x v="1"/>
  </r>
  <r>
    <x v="12"/>
  </r>
  <r>
    <x v="19"/>
  </r>
  <r>
    <x v="31"/>
  </r>
  <r>
    <x v="28"/>
  </r>
  <r>
    <x v="24"/>
  </r>
  <r>
    <x v="32"/>
  </r>
  <r>
    <x v="24"/>
  </r>
  <r>
    <x v="31"/>
  </r>
  <r>
    <x v="17"/>
  </r>
  <r>
    <x v="12"/>
  </r>
  <r>
    <x v="24"/>
  </r>
  <r>
    <x v="33"/>
  </r>
  <r>
    <x v="18"/>
  </r>
  <r>
    <x v="5"/>
  </r>
  <r>
    <x v="12"/>
  </r>
  <r>
    <x v="14"/>
  </r>
  <r>
    <x v="5"/>
  </r>
  <r>
    <x v="2"/>
  </r>
  <r>
    <x v="6"/>
  </r>
  <r>
    <x v="12"/>
  </r>
  <r>
    <x v="34"/>
  </r>
  <r>
    <x v="13"/>
  </r>
  <r>
    <x v="9"/>
  </r>
  <r>
    <x v="35"/>
  </r>
  <r>
    <x v="15"/>
  </r>
  <r>
    <x v="36"/>
  </r>
  <r>
    <x v="32"/>
  </r>
  <r>
    <x v="15"/>
  </r>
  <r>
    <x v="12"/>
  </r>
  <r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2" firstHeaderRow="0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68" fld="0" subtotal="count" baseField="0" baseItem="0"/>
    <dataField name="Count of 68_2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2" firstHeaderRow="0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rades" fld="0" subtotal="count" baseField="0" baseItem="0"/>
    <dataField name="Count of Grades2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view="pageLayout" topLeftCell="A38" zoomScaleNormal="100" workbookViewId="0">
      <selection activeCell="E9" sqref="E9"/>
    </sheetView>
  </sheetViews>
  <sheetFormatPr baseColWidth="10" defaultColWidth="8.83203125" defaultRowHeight="15" x14ac:dyDescent="0.2"/>
  <cols>
    <col min="3" max="3" width="18" customWidth="1"/>
    <col min="4" max="4" width="13.1640625" customWidth="1"/>
    <col min="5" max="5" width="11.1640625" customWidth="1"/>
    <col min="6" max="6" width="19.6640625" customWidth="1"/>
    <col min="7" max="7" width="21.5" customWidth="1"/>
  </cols>
  <sheetData>
    <row r="1" spans="1:7" x14ac:dyDescent="0.2">
      <c r="A1" t="s">
        <v>0</v>
      </c>
    </row>
    <row r="2" spans="1:7" x14ac:dyDescent="0.2">
      <c r="A2">
        <v>68</v>
      </c>
      <c r="C2" t="s">
        <v>1</v>
      </c>
      <c r="D2">
        <f>MIN(A2:A81)</f>
        <v>53</v>
      </c>
      <c r="F2" s="1" t="s">
        <v>3</v>
      </c>
    </row>
    <row r="3" spans="1:7" x14ac:dyDescent="0.2">
      <c r="A3">
        <v>88</v>
      </c>
      <c r="C3" t="s">
        <v>2</v>
      </c>
      <c r="D3">
        <f>MAX(A2:A81)</f>
        <v>97</v>
      </c>
      <c r="F3" s="1"/>
    </row>
    <row r="4" spans="1:7" x14ac:dyDescent="0.2">
      <c r="A4">
        <v>74</v>
      </c>
      <c r="C4" t="s">
        <v>4</v>
      </c>
      <c r="D4">
        <f>D3-D2</f>
        <v>44</v>
      </c>
    </row>
    <row r="5" spans="1:7" x14ac:dyDescent="0.2">
      <c r="A5">
        <v>69</v>
      </c>
      <c r="C5" t="s">
        <v>5</v>
      </c>
      <c r="D5">
        <f>1+3.322*LOG10(80)</f>
        <v>7.3220649367872364</v>
      </c>
    </row>
    <row r="6" spans="1:7" x14ac:dyDescent="0.2">
      <c r="A6">
        <v>83</v>
      </c>
      <c r="C6" t="s">
        <v>6</v>
      </c>
      <c r="D6">
        <f>D4/D5</f>
        <v>6.009233785804998</v>
      </c>
    </row>
    <row r="7" spans="1:7" x14ac:dyDescent="0.2">
      <c r="A7">
        <v>65</v>
      </c>
    </row>
    <row r="8" spans="1:7" x14ac:dyDescent="0.2">
      <c r="A8">
        <v>73</v>
      </c>
      <c r="C8" t="s">
        <v>7</v>
      </c>
      <c r="D8" t="s">
        <v>16</v>
      </c>
      <c r="E8" t="s">
        <v>17</v>
      </c>
      <c r="F8" t="s">
        <v>18</v>
      </c>
      <c r="G8" t="s">
        <v>19</v>
      </c>
    </row>
    <row r="9" spans="1:7" x14ac:dyDescent="0.2">
      <c r="A9">
        <v>84</v>
      </c>
      <c r="C9" t="s">
        <v>8</v>
      </c>
      <c r="D9">
        <v>58</v>
      </c>
      <c r="E9">
        <f t="array" ref="E9:E16">FREQUENCY($A$2:$A$81,$D$9:$D$16)</f>
        <v>2</v>
      </c>
      <c r="F9">
        <f>E9/$E$17</f>
        <v>2.5000000000000001E-2</v>
      </c>
      <c r="G9">
        <f>F9*100</f>
        <v>2.5</v>
      </c>
    </row>
    <row r="10" spans="1:7" x14ac:dyDescent="0.2">
      <c r="A10">
        <v>73</v>
      </c>
      <c r="C10" t="s">
        <v>9</v>
      </c>
      <c r="D10">
        <v>64</v>
      </c>
      <c r="E10">
        <v>12</v>
      </c>
      <c r="F10">
        <f t="shared" ref="F10:F17" si="0">E10/$E$17</f>
        <v>0.15</v>
      </c>
      <c r="G10">
        <f t="shared" ref="G10:G17" si="1">F10*100</f>
        <v>15</v>
      </c>
    </row>
    <row r="11" spans="1:7" x14ac:dyDescent="0.2">
      <c r="A11">
        <v>62</v>
      </c>
      <c r="C11" t="s">
        <v>10</v>
      </c>
      <c r="D11">
        <v>70</v>
      </c>
      <c r="E11">
        <v>10</v>
      </c>
      <c r="F11">
        <f t="shared" si="0"/>
        <v>0.125</v>
      </c>
      <c r="G11">
        <f t="shared" si="1"/>
        <v>12.5</v>
      </c>
    </row>
    <row r="12" spans="1:7" x14ac:dyDescent="0.2">
      <c r="A12">
        <v>74</v>
      </c>
      <c r="C12" t="s">
        <v>11</v>
      </c>
      <c r="D12">
        <v>76</v>
      </c>
      <c r="E12">
        <v>23</v>
      </c>
      <c r="F12">
        <f t="shared" si="0"/>
        <v>0.28749999999999998</v>
      </c>
      <c r="G12">
        <f t="shared" si="1"/>
        <v>28.749999999999996</v>
      </c>
    </row>
    <row r="13" spans="1:7" x14ac:dyDescent="0.2">
      <c r="A13">
        <v>71</v>
      </c>
      <c r="C13" t="s">
        <v>12</v>
      </c>
      <c r="D13">
        <v>82</v>
      </c>
      <c r="E13">
        <v>14</v>
      </c>
      <c r="F13">
        <f t="shared" si="0"/>
        <v>0.17499999999999999</v>
      </c>
      <c r="G13">
        <f t="shared" si="1"/>
        <v>17.5</v>
      </c>
    </row>
    <row r="14" spans="1:7" x14ac:dyDescent="0.2">
      <c r="A14">
        <v>80</v>
      </c>
      <c r="C14" t="s">
        <v>13</v>
      </c>
      <c r="D14">
        <v>88</v>
      </c>
      <c r="E14">
        <v>10</v>
      </c>
      <c r="F14">
        <f t="shared" si="0"/>
        <v>0.125</v>
      </c>
      <c r="G14">
        <f t="shared" si="1"/>
        <v>12.5</v>
      </c>
    </row>
    <row r="15" spans="1:7" x14ac:dyDescent="0.2">
      <c r="A15">
        <v>81</v>
      </c>
      <c r="C15" t="s">
        <v>14</v>
      </c>
      <c r="D15">
        <v>94</v>
      </c>
      <c r="E15">
        <v>5</v>
      </c>
      <c r="F15">
        <f t="shared" si="0"/>
        <v>6.25E-2</v>
      </c>
      <c r="G15">
        <f t="shared" si="1"/>
        <v>6.25</v>
      </c>
    </row>
    <row r="16" spans="1:7" x14ac:dyDescent="0.2">
      <c r="A16">
        <v>75</v>
      </c>
      <c r="C16" t="s">
        <v>15</v>
      </c>
      <c r="D16">
        <v>100</v>
      </c>
      <c r="E16">
        <v>4</v>
      </c>
      <c r="F16">
        <f t="shared" si="0"/>
        <v>0.05</v>
      </c>
      <c r="G16">
        <f t="shared" si="1"/>
        <v>5</v>
      </c>
    </row>
    <row r="17" spans="1:7" x14ac:dyDescent="0.2">
      <c r="A17">
        <v>60</v>
      </c>
      <c r="E17">
        <f>SUM(E9:E16)</f>
        <v>80</v>
      </c>
      <c r="F17">
        <f t="shared" si="0"/>
        <v>1</v>
      </c>
      <c r="G17">
        <f t="shared" si="1"/>
        <v>100</v>
      </c>
    </row>
    <row r="18" spans="1:7" x14ac:dyDescent="0.2">
      <c r="A18">
        <v>95</v>
      </c>
    </row>
    <row r="19" spans="1:7" x14ac:dyDescent="0.2">
      <c r="A19">
        <v>68</v>
      </c>
    </row>
    <row r="20" spans="1:7" x14ac:dyDescent="0.2">
      <c r="A20">
        <v>79</v>
      </c>
    </row>
    <row r="21" spans="1:7" x14ac:dyDescent="0.2">
      <c r="A21">
        <v>73</v>
      </c>
    </row>
    <row r="22" spans="1:7" x14ac:dyDescent="0.2">
      <c r="A22">
        <v>72</v>
      </c>
    </row>
    <row r="23" spans="1:7" x14ac:dyDescent="0.2">
      <c r="A23">
        <v>82</v>
      </c>
    </row>
    <row r="24" spans="1:7" x14ac:dyDescent="0.2">
      <c r="A24">
        <v>93</v>
      </c>
    </row>
    <row r="25" spans="1:7" x14ac:dyDescent="0.2">
      <c r="A25">
        <v>78</v>
      </c>
    </row>
    <row r="26" spans="1:7" x14ac:dyDescent="0.2">
      <c r="A26">
        <v>60</v>
      </c>
    </row>
    <row r="27" spans="1:7" x14ac:dyDescent="0.2">
      <c r="A27">
        <v>62</v>
      </c>
    </row>
    <row r="28" spans="1:7" x14ac:dyDescent="0.2">
      <c r="A28">
        <v>57</v>
      </c>
    </row>
    <row r="29" spans="1:7" x14ac:dyDescent="0.2">
      <c r="A29">
        <v>63</v>
      </c>
    </row>
    <row r="30" spans="1:7" x14ac:dyDescent="0.2">
      <c r="A30">
        <v>68</v>
      </c>
    </row>
    <row r="31" spans="1:7" x14ac:dyDescent="0.2">
      <c r="A31">
        <v>71</v>
      </c>
    </row>
    <row r="32" spans="1:7" x14ac:dyDescent="0.2">
      <c r="A32">
        <v>63</v>
      </c>
    </row>
    <row r="33" spans="1:1" x14ac:dyDescent="0.2">
      <c r="A33">
        <v>96</v>
      </c>
    </row>
    <row r="34" spans="1:1" x14ac:dyDescent="0.2">
      <c r="A34">
        <v>67</v>
      </c>
    </row>
    <row r="35" spans="1:1" x14ac:dyDescent="0.2">
      <c r="A35">
        <v>88</v>
      </c>
    </row>
    <row r="36" spans="1:1" x14ac:dyDescent="0.2">
      <c r="A36">
        <v>76</v>
      </c>
    </row>
    <row r="37" spans="1:1" x14ac:dyDescent="0.2">
      <c r="A37">
        <v>90</v>
      </c>
    </row>
    <row r="38" spans="1:1" x14ac:dyDescent="0.2">
      <c r="A38">
        <v>59</v>
      </c>
    </row>
    <row r="39" spans="1:1" x14ac:dyDescent="0.2">
      <c r="A39">
        <v>72</v>
      </c>
    </row>
    <row r="40" spans="1:1" x14ac:dyDescent="0.2">
      <c r="A40">
        <v>78</v>
      </c>
    </row>
    <row r="41" spans="1:1" x14ac:dyDescent="0.2">
      <c r="A41">
        <v>97</v>
      </c>
    </row>
    <row r="42" spans="1:1" x14ac:dyDescent="0.2">
      <c r="A42">
        <v>78</v>
      </c>
    </row>
    <row r="43" spans="1:1" x14ac:dyDescent="0.2">
      <c r="A43">
        <v>75</v>
      </c>
    </row>
    <row r="44" spans="1:1" x14ac:dyDescent="0.2">
      <c r="A44">
        <v>62</v>
      </c>
    </row>
    <row r="45" spans="1:1" x14ac:dyDescent="0.2">
      <c r="A45">
        <v>85</v>
      </c>
    </row>
    <row r="46" spans="1:1" x14ac:dyDescent="0.2">
      <c r="A46">
        <v>66</v>
      </c>
    </row>
    <row r="47" spans="1:1" x14ac:dyDescent="0.2">
      <c r="A47">
        <v>89</v>
      </c>
    </row>
    <row r="48" spans="1:1" x14ac:dyDescent="0.2">
      <c r="A48">
        <v>78</v>
      </c>
    </row>
    <row r="49" spans="1:1" x14ac:dyDescent="0.2">
      <c r="A49">
        <v>62</v>
      </c>
    </row>
    <row r="50" spans="1:1" x14ac:dyDescent="0.2">
      <c r="A50">
        <v>85</v>
      </c>
    </row>
    <row r="51" spans="1:1" x14ac:dyDescent="0.2">
      <c r="A51">
        <v>88</v>
      </c>
    </row>
    <row r="52" spans="1:1" x14ac:dyDescent="0.2">
      <c r="A52">
        <v>75</v>
      </c>
    </row>
    <row r="53" spans="1:1" x14ac:dyDescent="0.2">
      <c r="A53">
        <v>78</v>
      </c>
    </row>
    <row r="54" spans="1:1" x14ac:dyDescent="0.2">
      <c r="A54">
        <v>61</v>
      </c>
    </row>
    <row r="55" spans="1:1" x14ac:dyDescent="0.2">
      <c r="A55">
        <v>85</v>
      </c>
    </row>
    <row r="56" spans="1:1" x14ac:dyDescent="0.2">
      <c r="A56">
        <v>76</v>
      </c>
    </row>
    <row r="57" spans="1:1" x14ac:dyDescent="0.2">
      <c r="A57">
        <v>77</v>
      </c>
    </row>
    <row r="58" spans="1:1" x14ac:dyDescent="0.2">
      <c r="A58">
        <v>76</v>
      </c>
    </row>
    <row r="59" spans="1:1" x14ac:dyDescent="0.2">
      <c r="A59">
        <v>61</v>
      </c>
    </row>
    <row r="60" spans="1:1" x14ac:dyDescent="0.2">
      <c r="A60">
        <v>82</v>
      </c>
    </row>
    <row r="61" spans="1:1" x14ac:dyDescent="0.2">
      <c r="A61">
        <v>75</v>
      </c>
    </row>
    <row r="62" spans="1:1" x14ac:dyDescent="0.2">
      <c r="A62">
        <v>76</v>
      </c>
    </row>
    <row r="63" spans="1:1" x14ac:dyDescent="0.2">
      <c r="A63">
        <v>53</v>
      </c>
    </row>
    <row r="64" spans="1:1" x14ac:dyDescent="0.2">
      <c r="A64">
        <v>93</v>
      </c>
    </row>
    <row r="65" spans="1:1" x14ac:dyDescent="0.2">
      <c r="A65">
        <v>65</v>
      </c>
    </row>
    <row r="66" spans="1:1" x14ac:dyDescent="0.2">
      <c r="A66">
        <v>75</v>
      </c>
    </row>
    <row r="67" spans="1:1" x14ac:dyDescent="0.2">
      <c r="A67">
        <v>95</v>
      </c>
    </row>
    <row r="68" spans="1:1" x14ac:dyDescent="0.2">
      <c r="A68">
        <v>65</v>
      </c>
    </row>
    <row r="69" spans="1:1" x14ac:dyDescent="0.2">
      <c r="A69">
        <v>74</v>
      </c>
    </row>
    <row r="70" spans="1:1" x14ac:dyDescent="0.2">
      <c r="A70">
        <v>73</v>
      </c>
    </row>
    <row r="71" spans="1:1" x14ac:dyDescent="0.2">
      <c r="A71">
        <v>75</v>
      </c>
    </row>
    <row r="72" spans="1:1" x14ac:dyDescent="0.2">
      <c r="A72">
        <v>94</v>
      </c>
    </row>
    <row r="73" spans="1:1" x14ac:dyDescent="0.2">
      <c r="A73">
        <v>60</v>
      </c>
    </row>
    <row r="74" spans="1:1" x14ac:dyDescent="0.2">
      <c r="A74">
        <v>71</v>
      </c>
    </row>
    <row r="75" spans="1:1" x14ac:dyDescent="0.2">
      <c r="A75">
        <v>86</v>
      </c>
    </row>
    <row r="76" spans="1:1" x14ac:dyDescent="0.2">
      <c r="A76">
        <v>79</v>
      </c>
    </row>
    <row r="77" spans="1:1" x14ac:dyDescent="0.2">
      <c r="A77">
        <v>87</v>
      </c>
    </row>
    <row r="78" spans="1:1" x14ac:dyDescent="0.2">
      <c r="A78">
        <v>77</v>
      </c>
    </row>
    <row r="79" spans="1:1" x14ac:dyDescent="0.2">
      <c r="A79">
        <v>79</v>
      </c>
    </row>
    <row r="80" spans="1:1" x14ac:dyDescent="0.2">
      <c r="A80">
        <v>75</v>
      </c>
    </row>
    <row r="81" spans="1:1" x14ac:dyDescent="0.2">
      <c r="A81">
        <v>67</v>
      </c>
    </row>
  </sheetData>
  <printOptions headings="1" gridLines="1"/>
  <pageMargins left="0.7" right="0.7" top="0.75" bottom="0.75" header="0.3" footer="0.3"/>
  <pageSetup paperSize="9" scale="75" orientation="portrait" r:id="rId1"/>
  <headerFooter>
    <oddHeader>&amp;C&amp;P&amp;P</oddHead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"/>
  <sheetViews>
    <sheetView topLeftCell="A4" workbookViewId="0">
      <selection activeCell="D10" sqref="D10"/>
    </sheetView>
  </sheetViews>
  <sheetFormatPr baseColWidth="10" defaultColWidth="8.83203125" defaultRowHeight="15" x14ac:dyDescent="0.2"/>
  <cols>
    <col min="4" max="4" width="33.83203125" customWidth="1"/>
  </cols>
  <sheetData>
    <row r="1" spans="1:10" x14ac:dyDescent="0.2">
      <c r="A1" t="s">
        <v>0</v>
      </c>
    </row>
    <row r="2" spans="1:10" x14ac:dyDescent="0.2">
      <c r="A2">
        <v>68</v>
      </c>
    </row>
    <row r="3" spans="1:10" x14ac:dyDescent="0.2">
      <c r="A3">
        <v>88</v>
      </c>
      <c r="C3" t="s">
        <v>33</v>
      </c>
      <c r="D3">
        <f>MIN(A2:A81)</f>
        <v>53</v>
      </c>
    </row>
    <row r="4" spans="1:10" x14ac:dyDescent="0.2">
      <c r="A4">
        <v>74</v>
      </c>
      <c r="C4" t="s">
        <v>34</v>
      </c>
      <c r="D4">
        <f>MAX(A2:A81)</f>
        <v>97</v>
      </c>
    </row>
    <row r="5" spans="1:10" x14ac:dyDescent="0.2">
      <c r="A5">
        <v>69</v>
      </c>
      <c r="C5" t="s">
        <v>4</v>
      </c>
      <c r="D5">
        <f>(D4-D3)</f>
        <v>44</v>
      </c>
    </row>
    <row r="6" spans="1:10" x14ac:dyDescent="0.2">
      <c r="A6">
        <v>83</v>
      </c>
    </row>
    <row r="7" spans="1:10" x14ac:dyDescent="0.2">
      <c r="A7">
        <v>65</v>
      </c>
    </row>
    <row r="8" spans="1:10" x14ac:dyDescent="0.2">
      <c r="A8">
        <v>73</v>
      </c>
      <c r="C8" t="s">
        <v>35</v>
      </c>
      <c r="D8" t="s">
        <v>36</v>
      </c>
      <c r="E8" t="s">
        <v>37</v>
      </c>
      <c r="I8" s="1"/>
    </row>
    <row r="9" spans="1:10" x14ac:dyDescent="0.2">
      <c r="A9">
        <v>84</v>
      </c>
      <c r="C9">
        <v>5</v>
      </c>
      <c r="D9" t="str">
        <f>REPT("0",COUNTIF($A$2:$A$81,C9*10+0))&amp;REPT("1",COUNTIF($A$2:$A$81,C9*10+1))&amp;REPT("2",COUNTIF($A$2:$A$81,C9*10+2))&amp;REPT("3",COUNTIF($A$2:$A$81,C9*10+3))&amp;REPT("4",COUNTIF($A$2:$A$81,C9*10+4))&amp;REPT("5",COUNTIF($A$2:$A$81,C9*10+5))&amp;REPT("6",COUNTIF($A$2:$A$81,C9*10+6))&amp;REPT("7",COUNTIF($A$2:$A$81,C9*10+7))&amp;REPT("8",COUNTIF($A$2:$A$81,C9*10+8))&amp;REPT("9",COUNTIF($A$2:$A$81,C9*10+9))</f>
        <v>379</v>
      </c>
      <c r="E9">
        <f>LEN(D9)</f>
        <v>3</v>
      </c>
      <c r="G9" s="1" t="s">
        <v>38</v>
      </c>
      <c r="J9" s="1"/>
    </row>
    <row r="10" spans="1:10" x14ac:dyDescent="0.2">
      <c r="A10">
        <v>73</v>
      </c>
      <c r="C10">
        <v>6</v>
      </c>
      <c r="D10" t="str">
        <f t="shared" ref="D10:D13" si="0">REPT("0",COUNTIF($A$2:$A$81,C10*10+0))&amp;REPT("1",COUNTIF($A$2:$A$81,C10*10+1))&amp;REPT("2",COUNTIF($A$2:$A$81,C10*10+2))&amp;REPT("3",COUNTIF($A$2:$A$81,C10*10+3))&amp;REPT("4",COUNTIF($A$2:$A$81,C10*10+4))&amp;REPT("5",COUNTIF($A$2:$A$81,C10*10+5))&amp;REPT("6",COUNTIF($A$2:$A$81,C10*10+6))&amp;REPT("7",COUNTIF($A$2:$A$81,C10*10+7))&amp;REPT("8",COUNTIF($A$2:$A$81,C10*10+8))&amp;REPT("9",COUNTIF($A$2:$A$81,C10*10+9))</f>
        <v>000112222335556778889</v>
      </c>
      <c r="E10">
        <f t="shared" ref="E10:E13" si="1">LEN(D10)</f>
        <v>21</v>
      </c>
    </row>
    <row r="11" spans="1:10" x14ac:dyDescent="0.2">
      <c r="A11">
        <v>62</v>
      </c>
      <c r="C11">
        <v>7</v>
      </c>
      <c r="D11" t="str">
        <f t="shared" si="0"/>
        <v>111223333444555555566667788888999</v>
      </c>
      <c r="E11">
        <f t="shared" si="1"/>
        <v>33</v>
      </c>
    </row>
    <row r="12" spans="1:10" x14ac:dyDescent="0.2">
      <c r="A12">
        <v>74</v>
      </c>
      <c r="C12">
        <v>8</v>
      </c>
      <c r="D12" t="str">
        <f t="shared" si="0"/>
        <v>012234555678889</v>
      </c>
      <c r="E12">
        <f t="shared" si="1"/>
        <v>15</v>
      </c>
    </row>
    <row r="13" spans="1:10" x14ac:dyDescent="0.2">
      <c r="A13">
        <v>71</v>
      </c>
      <c r="C13">
        <v>9</v>
      </c>
      <c r="D13" t="str">
        <f t="shared" si="0"/>
        <v>03345567</v>
      </c>
      <c r="E13">
        <f t="shared" si="1"/>
        <v>8</v>
      </c>
    </row>
    <row r="14" spans="1:10" x14ac:dyDescent="0.2">
      <c r="A14">
        <v>80</v>
      </c>
    </row>
    <row r="15" spans="1:10" x14ac:dyDescent="0.2">
      <c r="A15">
        <v>81</v>
      </c>
    </row>
    <row r="16" spans="1:10" x14ac:dyDescent="0.2">
      <c r="A16">
        <v>75</v>
      </c>
    </row>
    <row r="17" spans="1:1" x14ac:dyDescent="0.2">
      <c r="A17">
        <v>60</v>
      </c>
    </row>
    <row r="18" spans="1:1" x14ac:dyDescent="0.2">
      <c r="A18">
        <v>95</v>
      </c>
    </row>
    <row r="19" spans="1:1" x14ac:dyDescent="0.2">
      <c r="A19">
        <v>68</v>
      </c>
    </row>
    <row r="20" spans="1:1" x14ac:dyDescent="0.2">
      <c r="A20">
        <v>79</v>
      </c>
    </row>
    <row r="21" spans="1:1" x14ac:dyDescent="0.2">
      <c r="A21">
        <v>73</v>
      </c>
    </row>
    <row r="22" spans="1:1" x14ac:dyDescent="0.2">
      <c r="A22">
        <v>72</v>
      </c>
    </row>
    <row r="23" spans="1:1" x14ac:dyDescent="0.2">
      <c r="A23">
        <v>82</v>
      </c>
    </row>
    <row r="24" spans="1:1" x14ac:dyDescent="0.2">
      <c r="A24">
        <v>93</v>
      </c>
    </row>
    <row r="25" spans="1:1" x14ac:dyDescent="0.2">
      <c r="A25">
        <v>78</v>
      </c>
    </row>
    <row r="26" spans="1:1" x14ac:dyDescent="0.2">
      <c r="A26">
        <v>60</v>
      </c>
    </row>
    <row r="27" spans="1:1" x14ac:dyDescent="0.2">
      <c r="A27">
        <v>62</v>
      </c>
    </row>
    <row r="28" spans="1:1" x14ac:dyDescent="0.2">
      <c r="A28">
        <v>57</v>
      </c>
    </row>
    <row r="29" spans="1:1" x14ac:dyDescent="0.2">
      <c r="A29">
        <v>63</v>
      </c>
    </row>
    <row r="30" spans="1:1" x14ac:dyDescent="0.2">
      <c r="A30">
        <v>68</v>
      </c>
    </row>
    <row r="31" spans="1:1" x14ac:dyDescent="0.2">
      <c r="A31">
        <v>71</v>
      </c>
    </row>
    <row r="32" spans="1:1" x14ac:dyDescent="0.2">
      <c r="A32">
        <v>63</v>
      </c>
    </row>
    <row r="33" spans="1:1" x14ac:dyDescent="0.2">
      <c r="A33">
        <v>96</v>
      </c>
    </row>
    <row r="34" spans="1:1" x14ac:dyDescent="0.2">
      <c r="A34">
        <v>67</v>
      </c>
    </row>
    <row r="35" spans="1:1" x14ac:dyDescent="0.2">
      <c r="A35">
        <v>88</v>
      </c>
    </row>
    <row r="36" spans="1:1" x14ac:dyDescent="0.2">
      <c r="A36">
        <v>76</v>
      </c>
    </row>
    <row r="37" spans="1:1" x14ac:dyDescent="0.2">
      <c r="A37">
        <v>90</v>
      </c>
    </row>
    <row r="38" spans="1:1" x14ac:dyDescent="0.2">
      <c r="A38">
        <v>59</v>
      </c>
    </row>
    <row r="39" spans="1:1" x14ac:dyDescent="0.2">
      <c r="A39">
        <v>72</v>
      </c>
    </row>
    <row r="40" spans="1:1" x14ac:dyDescent="0.2">
      <c r="A40">
        <v>78</v>
      </c>
    </row>
    <row r="41" spans="1:1" x14ac:dyDescent="0.2">
      <c r="A41">
        <v>97</v>
      </c>
    </row>
    <row r="42" spans="1:1" x14ac:dyDescent="0.2">
      <c r="A42">
        <v>78</v>
      </c>
    </row>
    <row r="43" spans="1:1" x14ac:dyDescent="0.2">
      <c r="A43">
        <v>75</v>
      </c>
    </row>
    <row r="44" spans="1:1" x14ac:dyDescent="0.2">
      <c r="A44">
        <v>62</v>
      </c>
    </row>
    <row r="45" spans="1:1" x14ac:dyDescent="0.2">
      <c r="A45">
        <v>85</v>
      </c>
    </row>
    <row r="46" spans="1:1" x14ac:dyDescent="0.2">
      <c r="A46">
        <v>66</v>
      </c>
    </row>
    <row r="47" spans="1:1" x14ac:dyDescent="0.2">
      <c r="A47">
        <v>89</v>
      </c>
    </row>
    <row r="48" spans="1:1" x14ac:dyDescent="0.2">
      <c r="A48">
        <v>78</v>
      </c>
    </row>
    <row r="49" spans="1:1" x14ac:dyDescent="0.2">
      <c r="A49">
        <v>62</v>
      </c>
    </row>
    <row r="50" spans="1:1" x14ac:dyDescent="0.2">
      <c r="A50">
        <v>85</v>
      </c>
    </row>
    <row r="51" spans="1:1" x14ac:dyDescent="0.2">
      <c r="A51">
        <v>88</v>
      </c>
    </row>
    <row r="52" spans="1:1" x14ac:dyDescent="0.2">
      <c r="A52">
        <v>75</v>
      </c>
    </row>
    <row r="53" spans="1:1" x14ac:dyDescent="0.2">
      <c r="A53">
        <v>78</v>
      </c>
    </row>
    <row r="54" spans="1:1" x14ac:dyDescent="0.2">
      <c r="A54">
        <v>61</v>
      </c>
    </row>
    <row r="55" spans="1:1" x14ac:dyDescent="0.2">
      <c r="A55">
        <v>85</v>
      </c>
    </row>
    <row r="56" spans="1:1" x14ac:dyDescent="0.2">
      <c r="A56">
        <v>76</v>
      </c>
    </row>
    <row r="57" spans="1:1" x14ac:dyDescent="0.2">
      <c r="A57">
        <v>77</v>
      </c>
    </row>
    <row r="58" spans="1:1" x14ac:dyDescent="0.2">
      <c r="A58">
        <v>76</v>
      </c>
    </row>
    <row r="59" spans="1:1" x14ac:dyDescent="0.2">
      <c r="A59">
        <v>61</v>
      </c>
    </row>
    <row r="60" spans="1:1" x14ac:dyDescent="0.2">
      <c r="A60">
        <v>82</v>
      </c>
    </row>
    <row r="61" spans="1:1" x14ac:dyDescent="0.2">
      <c r="A61">
        <v>75</v>
      </c>
    </row>
    <row r="62" spans="1:1" x14ac:dyDescent="0.2">
      <c r="A62">
        <v>76</v>
      </c>
    </row>
    <row r="63" spans="1:1" x14ac:dyDescent="0.2">
      <c r="A63">
        <v>53</v>
      </c>
    </row>
    <row r="64" spans="1:1" x14ac:dyDescent="0.2">
      <c r="A64">
        <v>93</v>
      </c>
    </row>
    <row r="65" spans="1:1" x14ac:dyDescent="0.2">
      <c r="A65">
        <v>65</v>
      </c>
    </row>
    <row r="66" spans="1:1" x14ac:dyDescent="0.2">
      <c r="A66">
        <v>75</v>
      </c>
    </row>
    <row r="67" spans="1:1" x14ac:dyDescent="0.2">
      <c r="A67">
        <v>95</v>
      </c>
    </row>
    <row r="68" spans="1:1" x14ac:dyDescent="0.2">
      <c r="A68">
        <v>65</v>
      </c>
    </row>
    <row r="69" spans="1:1" x14ac:dyDescent="0.2">
      <c r="A69">
        <v>74</v>
      </c>
    </row>
    <row r="70" spans="1:1" x14ac:dyDescent="0.2">
      <c r="A70">
        <v>73</v>
      </c>
    </row>
    <row r="71" spans="1:1" x14ac:dyDescent="0.2">
      <c r="A71">
        <v>75</v>
      </c>
    </row>
    <row r="72" spans="1:1" x14ac:dyDescent="0.2">
      <c r="A72">
        <v>94</v>
      </c>
    </row>
    <row r="73" spans="1:1" x14ac:dyDescent="0.2">
      <c r="A73">
        <v>60</v>
      </c>
    </row>
    <row r="74" spans="1:1" x14ac:dyDescent="0.2">
      <c r="A74">
        <v>71</v>
      </c>
    </row>
    <row r="75" spans="1:1" x14ac:dyDescent="0.2">
      <c r="A75">
        <v>86</v>
      </c>
    </row>
    <row r="76" spans="1:1" x14ac:dyDescent="0.2">
      <c r="A76">
        <v>79</v>
      </c>
    </row>
    <row r="77" spans="1:1" x14ac:dyDescent="0.2">
      <c r="A77">
        <v>87</v>
      </c>
    </row>
    <row r="78" spans="1:1" x14ac:dyDescent="0.2">
      <c r="A78">
        <v>77</v>
      </c>
    </row>
    <row r="79" spans="1:1" x14ac:dyDescent="0.2">
      <c r="A79">
        <v>79</v>
      </c>
    </row>
    <row r="80" spans="1:1" x14ac:dyDescent="0.2">
      <c r="A80">
        <v>75</v>
      </c>
    </row>
    <row r="81" spans="1:1" x14ac:dyDescent="0.2">
      <c r="A81">
        <v>67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12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3.1640625" bestFit="1" customWidth="1"/>
    <col min="2" max="2" width="11" bestFit="1" customWidth="1"/>
    <col min="3" max="3" width="13.1640625" bestFit="1" customWidth="1"/>
  </cols>
  <sheetData>
    <row r="3" spans="1:3" x14ac:dyDescent="0.2">
      <c r="A3" s="2" t="s">
        <v>20</v>
      </c>
      <c r="B3" t="s">
        <v>29</v>
      </c>
      <c r="C3" t="s">
        <v>30</v>
      </c>
    </row>
    <row r="4" spans="1:3" x14ac:dyDescent="0.2">
      <c r="A4" s="3" t="s">
        <v>22</v>
      </c>
      <c r="B4">
        <v>2</v>
      </c>
      <c r="C4" s="4">
        <v>2.5316455696202531E-2</v>
      </c>
    </row>
    <row r="5" spans="1:3" x14ac:dyDescent="0.2">
      <c r="A5" s="3" t="s">
        <v>23</v>
      </c>
      <c r="B5">
        <v>12</v>
      </c>
      <c r="C5" s="4">
        <v>0.15189873417721519</v>
      </c>
    </row>
    <row r="6" spans="1:3" x14ac:dyDescent="0.2">
      <c r="A6" s="3" t="s">
        <v>24</v>
      </c>
      <c r="B6">
        <v>9</v>
      </c>
      <c r="C6" s="4">
        <v>0.11392405063291139</v>
      </c>
    </row>
    <row r="7" spans="1:3" x14ac:dyDescent="0.2">
      <c r="A7" s="3" t="s">
        <v>25</v>
      </c>
      <c r="B7">
        <v>19</v>
      </c>
      <c r="C7" s="4">
        <v>0.24050632911392406</v>
      </c>
    </row>
    <row r="8" spans="1:3" x14ac:dyDescent="0.2">
      <c r="A8" s="3" t="s">
        <v>26</v>
      </c>
      <c r="B8">
        <v>16</v>
      </c>
      <c r="C8" s="4">
        <v>0.20253164556962025</v>
      </c>
    </row>
    <row r="9" spans="1:3" x14ac:dyDescent="0.2">
      <c r="A9" s="3" t="s">
        <v>27</v>
      </c>
      <c r="B9">
        <v>9</v>
      </c>
      <c r="C9" s="4">
        <v>0.11392405063291139</v>
      </c>
    </row>
    <row r="10" spans="1:3" x14ac:dyDescent="0.2">
      <c r="A10" s="3" t="s">
        <v>28</v>
      </c>
      <c r="B10">
        <v>7</v>
      </c>
      <c r="C10" s="4">
        <v>8.8607594936708861E-2</v>
      </c>
    </row>
    <row r="11" spans="1:3" x14ac:dyDescent="0.2">
      <c r="A11" s="3" t="s">
        <v>15</v>
      </c>
      <c r="B11">
        <v>5</v>
      </c>
      <c r="C11" s="4">
        <v>6.3291139240506333E-2</v>
      </c>
    </row>
    <row r="12" spans="1:3" x14ac:dyDescent="0.2">
      <c r="A12" s="3" t="s">
        <v>21</v>
      </c>
      <c r="B12">
        <v>79</v>
      </c>
      <c r="C12" s="4">
        <v>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24"/>
  <sheetViews>
    <sheetView topLeftCell="B1" workbookViewId="0">
      <selection activeCell="E8" sqref="E8"/>
    </sheetView>
  </sheetViews>
  <sheetFormatPr baseColWidth="10" defaultColWidth="8.83203125" defaultRowHeight="15" x14ac:dyDescent="0.2"/>
  <cols>
    <col min="2" max="2" width="14.6640625" customWidth="1"/>
    <col min="5" max="5" width="15.83203125" customWidth="1"/>
  </cols>
  <sheetData>
    <row r="1" spans="2:6" x14ac:dyDescent="0.2">
      <c r="B1" t="s">
        <v>39</v>
      </c>
    </row>
    <row r="2" spans="2:6" x14ac:dyDescent="0.2">
      <c r="B2">
        <v>11.3</v>
      </c>
      <c r="D2" t="s">
        <v>40</v>
      </c>
      <c r="E2">
        <f>MIN(B2:B24)</f>
        <v>11.3</v>
      </c>
    </row>
    <row r="3" spans="2:6" x14ac:dyDescent="0.2">
      <c r="B3">
        <v>14.1</v>
      </c>
      <c r="D3" t="s">
        <v>41</v>
      </c>
      <c r="E3">
        <f>MAX(B2:B24)</f>
        <v>15.8</v>
      </c>
    </row>
    <row r="4" spans="2:6" x14ac:dyDescent="0.2">
      <c r="B4">
        <v>11.4</v>
      </c>
      <c r="D4" t="s">
        <v>4</v>
      </c>
      <c r="E4">
        <f>(E3-E2)</f>
        <v>4.5</v>
      </c>
    </row>
    <row r="5" spans="2:6" x14ac:dyDescent="0.2">
      <c r="B5">
        <v>14.9</v>
      </c>
    </row>
    <row r="6" spans="2:6" x14ac:dyDescent="0.2">
      <c r="B6">
        <v>11.3</v>
      </c>
    </row>
    <row r="7" spans="2:6" x14ac:dyDescent="0.2">
      <c r="B7">
        <v>14.4</v>
      </c>
      <c r="D7" t="s">
        <v>35</v>
      </c>
      <c r="E7" t="s">
        <v>36</v>
      </c>
      <c r="F7" t="s">
        <v>37</v>
      </c>
    </row>
    <row r="8" spans="2:6" x14ac:dyDescent="0.2">
      <c r="B8">
        <v>12.6</v>
      </c>
      <c r="D8">
        <v>11</v>
      </c>
      <c r="E8" t="str">
        <f>REPT("0",COUNTIF(B2:$B$24,D8*1+0))&amp;REPT("1",COUNTIF(B2:$B$24,D8*1+0.1))&amp;REPT("2",COUNTIF(B2:$B$24,D8*1+0.2))&amp;REPT("3",COUNTIF(B2:$B$24,D8*1+0.3))&amp;REPT("4",COUNTIF(B2:$B$24,D8*1+0.4))&amp;REPT("5",COUNTIF(B2:$B$24,D8*1+0.5))&amp;REPT("6",COUNTIF(B2:$B$24,D8*1+0.6))&amp;REPT("7",COUNTIF(B2:$B$24,D8*1+0.6))&amp;REPT("8",COUNTIF(B2:$B$24,D8*1+0.8))&amp;REPT("9",COUNTIF(B2:$B$24,D8*1+0.9))</f>
        <v>334</v>
      </c>
      <c r="F8">
        <f>LEN(E8)</f>
        <v>3</v>
      </c>
    </row>
    <row r="9" spans="2:6" x14ac:dyDescent="0.2">
      <c r="B9">
        <v>15.1</v>
      </c>
      <c r="D9">
        <v>12</v>
      </c>
      <c r="E9" t="str">
        <f>REPT("0",COUNTIF(B3:$B$24,D9*1+0))&amp;REPT("1",COUNTIF(B3:$B$24,D9*1+0.1))&amp;REPT("2",COUNTIF(B3:$B$24,D9*1+0.2))&amp;REPT("3",COUNTIF(B3:$B$24,D9*1+0.3))&amp;REPT("4",COUNTIF(B3:$B$24,D9*1+0.4))&amp;REPT("5",COUNTIF(B3:$B$24,D9*1+0.5))&amp;REPT("6",COUNTIF(B3:$B$24,D9*1+0.6))&amp;REPT("7",COUNTIF(B3:$B$24,D9*1+0.6))&amp;REPT("8",COUNTIF(B3:$B$24,D9*1+0.8))&amp;REPT("9",COUNTIF(B3:$B$24,D9*1+0.9))</f>
        <v>445678</v>
      </c>
      <c r="F9">
        <f t="shared" ref="F9:F12" si="0">LEN(E9)</f>
        <v>6</v>
      </c>
    </row>
    <row r="10" spans="2:6" x14ac:dyDescent="0.2">
      <c r="B10">
        <v>12.4</v>
      </c>
      <c r="D10">
        <v>13</v>
      </c>
      <c r="E10" t="str">
        <f>REPT("0",COUNTIF(B4:$B$24,D10*1+0))&amp;REPT("1",COUNTIF(B4:$B$24,D10*1+0.1))&amp;REPT("2",COUNTIF(B4:$B$24,D10*1+0.2))&amp;REPT("3",COUNTIF(B4:$B$24,D10*1+0.3))&amp;REPT("4",COUNTIF(B4:$B$24,D10*1+0.4))&amp;REPT("5",COUNTIF(B4:$B$24,D10*1+0.5))&amp;REPT("6",COUNTIF(B4:$B$24,D10*1+0.6))&amp;REPT("7",COUNTIF(B4:$B$24,D10*1+0.6))&amp;REPT("8",COUNTIF(B4:$B$24,D10*1+0.8))&amp;REPT("9",COUNTIF(B4:$B$24,D10*1+0.9))</f>
        <v>0149</v>
      </c>
      <c r="F10">
        <f t="shared" si="0"/>
        <v>4</v>
      </c>
    </row>
    <row r="11" spans="2:6" x14ac:dyDescent="0.2">
      <c r="B11">
        <v>15.7</v>
      </c>
      <c r="D11">
        <v>14</v>
      </c>
      <c r="E11" t="str">
        <f>REPT("0",COUNTIF(B5:$B$24,D11*1+0))&amp;REPT("1",COUNTIF(B5:$B$24,D11*1+0.1))&amp;REPT("2",COUNTIF(B5:$B$24,D11*1+0.2))&amp;REPT("3",COUNTIF(B5:$B$24,D11*1+0.3))&amp;REPT("4",COUNTIF(B5:$B$24,D11*1+0.4))&amp;REPT("5",COUNTIF(B5:$B$24,D11*1+0.5))&amp;REPT("6",COUNTIF(B5:$B$24,D11*1+0.6))&amp;REPT("7",COUNTIF(B5:$B$24,D11*1+0.6))&amp;REPT("8",COUNTIF(B5:$B$24,D11*1+0.8))&amp;REPT("9",COUNTIF(B5:$B$24,D11*1+0.9))</f>
        <v>049</v>
      </c>
      <c r="F11">
        <f t="shared" si="0"/>
        <v>3</v>
      </c>
    </row>
    <row r="12" spans="2:6" x14ac:dyDescent="0.2">
      <c r="B12">
        <v>12.4</v>
      </c>
      <c r="D12">
        <v>15</v>
      </c>
      <c r="E12" t="str">
        <f>REPT("0",COUNTIF(B6:$B$24,D12*1+0))&amp;REPT("1",COUNTIF(B6:$B$24,D12*1+0.1))&amp;REPT("2",COUNTIF(B6:$B$24,D12*1+0.2))&amp;REPT("3",COUNTIF(B6:$B$24,D12*1+0.3))&amp;REPT("4",COUNTIF(B6:$B$24,D12*1+0.4))&amp;REPT("5",COUNTIF(B6:$B$24,D12*1+0.5))&amp;REPT("6",COUNTIF(B6:$B$24,D12*1+0.6))&amp;REPT("7",COUNTIF(B6:$B$24,D12*1+0.6))&amp;REPT("8",COUNTIF(B6:$B$24,D12*1+0.8))&amp;REPT("9",COUNTIF(B6:$B$24,D12*1+0.9))</f>
        <v>13678</v>
      </c>
      <c r="F12">
        <f t="shared" si="0"/>
        <v>5</v>
      </c>
    </row>
    <row r="13" spans="2:6" x14ac:dyDescent="0.2">
      <c r="B13">
        <v>15.7</v>
      </c>
    </row>
    <row r="14" spans="2:6" x14ac:dyDescent="0.2">
      <c r="B14">
        <v>12.5</v>
      </c>
    </row>
    <row r="15" spans="2:6" x14ac:dyDescent="0.2">
      <c r="B15">
        <v>15.8</v>
      </c>
    </row>
    <row r="16" spans="2:6" x14ac:dyDescent="0.2">
      <c r="B16">
        <v>12.8</v>
      </c>
    </row>
    <row r="17" spans="2:2" x14ac:dyDescent="0.2">
      <c r="B17">
        <v>15.6</v>
      </c>
    </row>
    <row r="18" spans="2:2" x14ac:dyDescent="0.2">
      <c r="B18">
        <v>12.7</v>
      </c>
    </row>
    <row r="19" spans="2:2" x14ac:dyDescent="0.2">
      <c r="B19">
        <v>15.3</v>
      </c>
    </row>
    <row r="20" spans="2:2" x14ac:dyDescent="0.2">
      <c r="B20">
        <v>13.1</v>
      </c>
    </row>
    <row r="21" spans="2:2" x14ac:dyDescent="0.2">
      <c r="B21">
        <v>14</v>
      </c>
    </row>
    <row r="22" spans="2:2" x14ac:dyDescent="0.2">
      <c r="B22">
        <v>13.4</v>
      </c>
    </row>
    <row r="23" spans="2:2" x14ac:dyDescent="0.2">
      <c r="B23">
        <v>13.9</v>
      </c>
    </row>
    <row r="24" spans="2:2" x14ac:dyDescent="0.2">
      <c r="B24">
        <v>13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1"/>
  <sheetViews>
    <sheetView topLeftCell="A13" workbookViewId="0">
      <selection activeCell="D37" sqref="D37"/>
    </sheetView>
  </sheetViews>
  <sheetFormatPr baseColWidth="10" defaultColWidth="8.83203125" defaultRowHeight="15" x14ac:dyDescent="0.2"/>
  <cols>
    <col min="3" max="3" width="26.1640625" customWidth="1"/>
    <col min="4" max="4" width="12.1640625" customWidth="1"/>
  </cols>
  <sheetData>
    <row r="1" spans="1:6" x14ac:dyDescent="0.2">
      <c r="A1" t="s">
        <v>0</v>
      </c>
    </row>
    <row r="2" spans="1:6" x14ac:dyDescent="0.2">
      <c r="A2">
        <v>68</v>
      </c>
      <c r="C2" t="s">
        <v>42</v>
      </c>
      <c r="D2">
        <f>AVERAGE(A2:A81)</f>
        <v>75.25</v>
      </c>
      <c r="F2">
        <f>COUNT(A2:A81)</f>
        <v>80</v>
      </c>
    </row>
    <row r="3" spans="1:6" x14ac:dyDescent="0.2">
      <c r="A3">
        <v>88</v>
      </c>
    </row>
    <row r="4" spans="1:6" x14ac:dyDescent="0.2">
      <c r="A4">
        <v>74</v>
      </c>
      <c r="C4" t="s">
        <v>43</v>
      </c>
      <c r="D4">
        <f>MEDIAN(A2:A81)</f>
        <v>75</v>
      </c>
    </row>
    <row r="5" spans="1:6" x14ac:dyDescent="0.2">
      <c r="A5">
        <v>69</v>
      </c>
    </row>
    <row r="6" spans="1:6" x14ac:dyDescent="0.2">
      <c r="A6">
        <v>83</v>
      </c>
      <c r="C6" t="s">
        <v>44</v>
      </c>
      <c r="D6">
        <f>_xlfn.MODE.SNGL(A2:A81)</f>
        <v>75</v>
      </c>
    </row>
    <row r="7" spans="1:6" x14ac:dyDescent="0.2">
      <c r="A7">
        <v>65</v>
      </c>
    </row>
    <row r="8" spans="1:6" x14ac:dyDescent="0.2">
      <c r="A8">
        <v>73</v>
      </c>
      <c r="C8" t="s">
        <v>45</v>
      </c>
      <c r="D8">
        <f>_xlfn.STDEV.S(A2:A81)</f>
        <v>10.37462825321491</v>
      </c>
    </row>
    <row r="9" spans="1:6" x14ac:dyDescent="0.2">
      <c r="A9">
        <v>84</v>
      </c>
    </row>
    <row r="10" spans="1:6" x14ac:dyDescent="0.2">
      <c r="A10">
        <v>73</v>
      </c>
      <c r="C10" t="s">
        <v>46</v>
      </c>
      <c r="D10">
        <f>_xlfn.VAR.S(A2:A81)</f>
        <v>107.63291139240506</v>
      </c>
    </row>
    <row r="11" spans="1:6" x14ac:dyDescent="0.2">
      <c r="A11">
        <v>62</v>
      </c>
    </row>
    <row r="12" spans="1:6" x14ac:dyDescent="0.2">
      <c r="A12">
        <v>74</v>
      </c>
      <c r="C12" t="s">
        <v>47</v>
      </c>
      <c r="D12">
        <f>(D8/D2)*100</f>
        <v>13.786881399621143</v>
      </c>
    </row>
    <row r="13" spans="1:6" x14ac:dyDescent="0.2">
      <c r="A13">
        <v>71</v>
      </c>
    </row>
    <row r="14" spans="1:6" x14ac:dyDescent="0.2">
      <c r="A14">
        <v>80</v>
      </c>
      <c r="C14" t="s">
        <v>48</v>
      </c>
      <c r="D14">
        <f>(D2-D6)/D8</f>
        <v>2.4097248971068387E-2</v>
      </c>
    </row>
    <row r="15" spans="1:6" x14ac:dyDescent="0.2">
      <c r="A15">
        <v>81</v>
      </c>
    </row>
    <row r="16" spans="1:6" x14ac:dyDescent="0.2">
      <c r="A16">
        <v>75</v>
      </c>
      <c r="C16" t="s">
        <v>49</v>
      </c>
      <c r="D16">
        <f>3*(D2-D4)/D8</f>
        <v>7.2291746913205154E-2</v>
      </c>
    </row>
    <row r="17" spans="1:4" x14ac:dyDescent="0.2">
      <c r="A17">
        <v>60</v>
      </c>
    </row>
    <row r="18" spans="1:4" x14ac:dyDescent="0.2">
      <c r="A18">
        <v>95</v>
      </c>
    </row>
    <row r="19" spans="1:4" x14ac:dyDescent="0.2">
      <c r="A19">
        <v>68</v>
      </c>
    </row>
    <row r="20" spans="1:4" x14ac:dyDescent="0.2">
      <c r="A20">
        <v>79</v>
      </c>
    </row>
    <row r="21" spans="1:4" x14ac:dyDescent="0.2">
      <c r="A21">
        <v>73</v>
      </c>
    </row>
    <row r="22" spans="1:4" x14ac:dyDescent="0.2">
      <c r="A22">
        <v>72</v>
      </c>
    </row>
    <row r="23" spans="1:4" x14ac:dyDescent="0.2">
      <c r="A23">
        <v>82</v>
      </c>
    </row>
    <row r="24" spans="1:4" x14ac:dyDescent="0.2">
      <c r="A24">
        <v>93</v>
      </c>
    </row>
    <row r="25" spans="1:4" x14ac:dyDescent="0.2">
      <c r="A25">
        <v>78</v>
      </c>
      <c r="C25" t="s">
        <v>4</v>
      </c>
      <c r="D25">
        <f>MAX(A2:A81)-MIN(A2:A81)</f>
        <v>44</v>
      </c>
    </row>
    <row r="26" spans="1:4" x14ac:dyDescent="0.2">
      <c r="A26">
        <v>60</v>
      </c>
      <c r="C26" t="s">
        <v>50</v>
      </c>
      <c r="D26">
        <f>((MAX(A2:A81)-MIN(A2:A81))/(MAX(A2:A81)+MIN(A2:A81)))</f>
        <v>0.29333333333333333</v>
      </c>
    </row>
    <row r="27" spans="1:4" x14ac:dyDescent="0.2">
      <c r="A27">
        <v>62</v>
      </c>
      <c r="C27" t="s">
        <v>51</v>
      </c>
      <c r="D27">
        <f>_xlfn.QUARTILE.INC(A2:A81,1)</f>
        <v>67.75</v>
      </c>
    </row>
    <row r="28" spans="1:4" x14ac:dyDescent="0.2">
      <c r="A28">
        <v>57</v>
      </c>
      <c r="C28" t="s">
        <v>52</v>
      </c>
      <c r="D28">
        <f>_xlfn.QUARTILE.INC(A2:A81,2)</f>
        <v>75</v>
      </c>
    </row>
    <row r="29" spans="1:4" x14ac:dyDescent="0.2">
      <c r="A29">
        <v>63</v>
      </c>
      <c r="C29" t="s">
        <v>53</v>
      </c>
      <c r="D29">
        <f>_xlfn.QUARTILE.INC(A2:A81,3)</f>
        <v>82</v>
      </c>
    </row>
    <row r="30" spans="1:4" x14ac:dyDescent="0.2">
      <c r="A30">
        <v>68</v>
      </c>
      <c r="C30" t="s">
        <v>54</v>
      </c>
      <c r="D30">
        <f>D29-D27</f>
        <v>14.25</v>
      </c>
    </row>
    <row r="31" spans="1:4" x14ac:dyDescent="0.2">
      <c r="A31">
        <v>71</v>
      </c>
      <c r="C31" t="s">
        <v>55</v>
      </c>
      <c r="D31">
        <f>(D29-D27)/(D29+D27)</f>
        <v>9.515859766277128E-2</v>
      </c>
    </row>
    <row r="32" spans="1:4" x14ac:dyDescent="0.2">
      <c r="A32">
        <v>63</v>
      </c>
      <c r="C32" t="s">
        <v>56</v>
      </c>
      <c r="D32">
        <f>(D29-2*D28+D27)/(D29-D27)</f>
        <v>-1.7543859649122806E-2</v>
      </c>
    </row>
    <row r="33" spans="1:4" x14ac:dyDescent="0.2">
      <c r="A33">
        <v>96</v>
      </c>
    </row>
    <row r="34" spans="1:4" x14ac:dyDescent="0.2">
      <c r="A34">
        <v>67</v>
      </c>
      <c r="C34" t="s">
        <v>57</v>
      </c>
      <c r="D34">
        <f>_xlfn.PERCENTILE.INC(A2:A81,0.1)</f>
        <v>61.9</v>
      </c>
    </row>
    <row r="35" spans="1:4" x14ac:dyDescent="0.2">
      <c r="A35">
        <v>88</v>
      </c>
      <c r="C35" t="s">
        <v>58</v>
      </c>
      <c r="D35">
        <f>_xlfn.PERCENTILE.INC(A2:A81,0.9)</f>
        <v>89.100000000000009</v>
      </c>
    </row>
    <row r="36" spans="1:4" x14ac:dyDescent="0.2">
      <c r="A36">
        <v>76</v>
      </c>
    </row>
    <row r="37" spans="1:4" x14ac:dyDescent="0.2">
      <c r="A37">
        <v>90</v>
      </c>
      <c r="C37" t="s">
        <v>59</v>
      </c>
      <c r="D37">
        <f>(0.5*(D29-D27))/(D35-D34)</f>
        <v>0.26194852941176461</v>
      </c>
    </row>
    <row r="38" spans="1:4" x14ac:dyDescent="0.2">
      <c r="A38">
        <v>59</v>
      </c>
    </row>
    <row r="39" spans="1:4" x14ac:dyDescent="0.2">
      <c r="A39">
        <v>72</v>
      </c>
    </row>
    <row r="40" spans="1:4" x14ac:dyDescent="0.2">
      <c r="A40">
        <v>78</v>
      </c>
    </row>
    <row r="41" spans="1:4" x14ac:dyDescent="0.2">
      <c r="A41">
        <v>97</v>
      </c>
    </row>
    <row r="42" spans="1:4" x14ac:dyDescent="0.2">
      <c r="A42">
        <v>78</v>
      </c>
    </row>
    <row r="43" spans="1:4" x14ac:dyDescent="0.2">
      <c r="A43">
        <v>75</v>
      </c>
    </row>
    <row r="44" spans="1:4" x14ac:dyDescent="0.2">
      <c r="A44">
        <v>62</v>
      </c>
    </row>
    <row r="45" spans="1:4" x14ac:dyDescent="0.2">
      <c r="A45">
        <v>85</v>
      </c>
    </row>
    <row r="46" spans="1:4" x14ac:dyDescent="0.2">
      <c r="A46">
        <v>66</v>
      </c>
    </row>
    <row r="47" spans="1:4" x14ac:dyDescent="0.2">
      <c r="A47">
        <v>89</v>
      </c>
    </row>
    <row r="48" spans="1:4" x14ac:dyDescent="0.2">
      <c r="A48">
        <v>78</v>
      </c>
    </row>
    <row r="49" spans="1:1" x14ac:dyDescent="0.2">
      <c r="A49">
        <v>62</v>
      </c>
    </row>
    <row r="50" spans="1:1" x14ac:dyDescent="0.2">
      <c r="A50">
        <v>85</v>
      </c>
    </row>
    <row r="51" spans="1:1" x14ac:dyDescent="0.2">
      <c r="A51">
        <v>88</v>
      </c>
    </row>
    <row r="52" spans="1:1" x14ac:dyDescent="0.2">
      <c r="A52">
        <v>75</v>
      </c>
    </row>
    <row r="53" spans="1:1" x14ac:dyDescent="0.2">
      <c r="A53">
        <v>78</v>
      </c>
    </row>
    <row r="54" spans="1:1" x14ac:dyDescent="0.2">
      <c r="A54">
        <v>61</v>
      </c>
    </row>
    <row r="55" spans="1:1" x14ac:dyDescent="0.2">
      <c r="A55">
        <v>85</v>
      </c>
    </row>
    <row r="56" spans="1:1" x14ac:dyDescent="0.2">
      <c r="A56">
        <v>76</v>
      </c>
    </row>
    <row r="57" spans="1:1" x14ac:dyDescent="0.2">
      <c r="A57">
        <v>77</v>
      </c>
    </row>
    <row r="58" spans="1:1" x14ac:dyDescent="0.2">
      <c r="A58">
        <v>76</v>
      </c>
    </row>
    <row r="59" spans="1:1" x14ac:dyDescent="0.2">
      <c r="A59">
        <v>61</v>
      </c>
    </row>
    <row r="60" spans="1:1" x14ac:dyDescent="0.2">
      <c r="A60">
        <v>82</v>
      </c>
    </row>
    <row r="61" spans="1:1" x14ac:dyDescent="0.2">
      <c r="A61">
        <v>75</v>
      </c>
    </row>
    <row r="62" spans="1:1" x14ac:dyDescent="0.2">
      <c r="A62">
        <v>76</v>
      </c>
    </row>
    <row r="63" spans="1:1" x14ac:dyDescent="0.2">
      <c r="A63">
        <v>53</v>
      </c>
    </row>
    <row r="64" spans="1:1" x14ac:dyDescent="0.2">
      <c r="A64">
        <v>93</v>
      </c>
    </row>
    <row r="65" spans="1:1" x14ac:dyDescent="0.2">
      <c r="A65">
        <v>65</v>
      </c>
    </row>
    <row r="66" spans="1:1" x14ac:dyDescent="0.2">
      <c r="A66">
        <v>75</v>
      </c>
    </row>
    <row r="67" spans="1:1" x14ac:dyDescent="0.2">
      <c r="A67">
        <v>95</v>
      </c>
    </row>
    <row r="68" spans="1:1" x14ac:dyDescent="0.2">
      <c r="A68">
        <v>65</v>
      </c>
    </row>
    <row r="69" spans="1:1" x14ac:dyDescent="0.2">
      <c r="A69">
        <v>74</v>
      </c>
    </row>
    <row r="70" spans="1:1" x14ac:dyDescent="0.2">
      <c r="A70">
        <v>73</v>
      </c>
    </row>
    <row r="71" spans="1:1" x14ac:dyDescent="0.2">
      <c r="A71">
        <v>75</v>
      </c>
    </row>
    <row r="72" spans="1:1" x14ac:dyDescent="0.2">
      <c r="A72">
        <v>94</v>
      </c>
    </row>
    <row r="73" spans="1:1" x14ac:dyDescent="0.2">
      <c r="A73">
        <v>60</v>
      </c>
    </row>
    <row r="74" spans="1:1" x14ac:dyDescent="0.2">
      <c r="A74">
        <v>71</v>
      </c>
    </row>
    <row r="75" spans="1:1" x14ac:dyDescent="0.2">
      <c r="A75">
        <v>86</v>
      </c>
    </row>
    <row r="76" spans="1:1" x14ac:dyDescent="0.2">
      <c r="A76">
        <v>79</v>
      </c>
    </row>
    <row r="77" spans="1:1" x14ac:dyDescent="0.2">
      <c r="A77">
        <v>87</v>
      </c>
    </row>
    <row r="78" spans="1:1" x14ac:dyDescent="0.2">
      <c r="A78">
        <v>77</v>
      </c>
    </row>
    <row r="79" spans="1:1" x14ac:dyDescent="0.2">
      <c r="A79">
        <v>79</v>
      </c>
    </row>
    <row r="80" spans="1:1" x14ac:dyDescent="0.2">
      <c r="A80">
        <v>75</v>
      </c>
    </row>
    <row r="81" spans="1:1" x14ac:dyDescent="0.2">
      <c r="A81">
        <v>67</v>
      </c>
    </row>
  </sheetData>
  <printOptions headings="1" gridLines="1"/>
  <pageMargins left="0.7" right="0.7" top="0.75" bottom="0.75" header="0.3" footer="0.3"/>
  <pageSetup scale="75" orientation="portrait" r:id="rId1"/>
  <headerFooter>
    <oddHeader>&amp;CRichina Pradhan
Symbol:000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C12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13.1640625" bestFit="1" customWidth="1"/>
    <col min="2" max="2" width="15.5" bestFit="1" customWidth="1"/>
    <col min="3" max="3" width="16.5" bestFit="1" customWidth="1"/>
  </cols>
  <sheetData>
    <row r="3" spans="1:3" x14ac:dyDescent="0.2">
      <c r="A3" s="2" t="s">
        <v>20</v>
      </c>
      <c r="B3" t="s">
        <v>31</v>
      </c>
      <c r="C3" t="s">
        <v>32</v>
      </c>
    </row>
    <row r="4" spans="1:3" x14ac:dyDescent="0.2">
      <c r="A4" s="3" t="s">
        <v>22</v>
      </c>
      <c r="B4">
        <v>2</v>
      </c>
      <c r="C4" s="4">
        <v>2.5000000000000001E-2</v>
      </c>
    </row>
    <row r="5" spans="1:3" x14ac:dyDescent="0.2">
      <c r="A5" s="3" t="s">
        <v>23</v>
      </c>
      <c r="B5">
        <v>12</v>
      </c>
      <c r="C5" s="4">
        <v>0.15</v>
      </c>
    </row>
    <row r="6" spans="1:3" x14ac:dyDescent="0.2">
      <c r="A6" s="3" t="s">
        <v>24</v>
      </c>
      <c r="B6">
        <v>10</v>
      </c>
      <c r="C6" s="4">
        <v>0.125</v>
      </c>
    </row>
    <row r="7" spans="1:3" x14ac:dyDescent="0.2">
      <c r="A7" s="3" t="s">
        <v>25</v>
      </c>
      <c r="B7">
        <v>19</v>
      </c>
      <c r="C7" s="4">
        <v>0.23749999999999999</v>
      </c>
    </row>
    <row r="8" spans="1:3" x14ac:dyDescent="0.2">
      <c r="A8" s="3" t="s">
        <v>26</v>
      </c>
      <c r="B8">
        <v>16</v>
      </c>
      <c r="C8" s="4">
        <v>0.2</v>
      </c>
    </row>
    <row r="9" spans="1:3" x14ac:dyDescent="0.2">
      <c r="A9" s="3" t="s">
        <v>27</v>
      </c>
      <c r="B9">
        <v>9</v>
      </c>
      <c r="C9" s="4">
        <v>0.1125</v>
      </c>
    </row>
    <row r="10" spans="1:3" x14ac:dyDescent="0.2">
      <c r="A10" s="3" t="s">
        <v>28</v>
      </c>
      <c r="B10">
        <v>7</v>
      </c>
      <c r="C10" s="4">
        <v>8.7499999999999994E-2</v>
      </c>
    </row>
    <row r="11" spans="1:3" x14ac:dyDescent="0.2">
      <c r="A11" s="3" t="s">
        <v>15</v>
      </c>
      <c r="B11">
        <v>5</v>
      </c>
      <c r="C11" s="4">
        <v>6.25E-2</v>
      </c>
    </row>
    <row r="12" spans="1:3" x14ac:dyDescent="0.2">
      <c r="A12" s="3" t="s">
        <v>21</v>
      </c>
      <c r="B12">
        <v>80</v>
      </c>
      <c r="C12" s="4">
        <v>1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32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18.5" customWidth="1"/>
    <col min="2" max="2" width="23.1640625" customWidth="1"/>
    <col min="3" max="3" width="13" customWidth="1"/>
    <col min="4" max="4" width="12" customWidth="1"/>
    <col min="5" max="5" width="10.5" customWidth="1"/>
    <col min="6" max="6" width="21" bestFit="1" customWidth="1"/>
  </cols>
  <sheetData>
    <row r="2" spans="1:7" x14ac:dyDescent="0.2">
      <c r="A2" s="5" t="s">
        <v>60</v>
      </c>
      <c r="B2" s="5" t="s">
        <v>61</v>
      </c>
      <c r="C2" s="5" t="s">
        <v>62</v>
      </c>
      <c r="D2" s="5" t="s">
        <v>63</v>
      </c>
      <c r="E2" s="5" t="s">
        <v>64</v>
      </c>
      <c r="F2" s="5" t="s">
        <v>65</v>
      </c>
    </row>
    <row r="3" spans="1:7" x14ac:dyDescent="0.2">
      <c r="A3" s="5" t="s">
        <v>8</v>
      </c>
      <c r="B3" s="5">
        <v>2</v>
      </c>
      <c r="C3" s="5">
        <f>AVERAGE(52,58)</f>
        <v>55</v>
      </c>
      <c r="D3" s="5">
        <f>B3*C3</f>
        <v>110</v>
      </c>
      <c r="E3" s="5">
        <f>B3*C3*C3</f>
        <v>6050</v>
      </c>
      <c r="F3" s="5">
        <f>B3</f>
        <v>2</v>
      </c>
    </row>
    <row r="4" spans="1:7" x14ac:dyDescent="0.2">
      <c r="A4" s="5" t="s">
        <v>9</v>
      </c>
      <c r="B4" s="5">
        <v>12</v>
      </c>
      <c r="C4" s="5">
        <f>C3+6</f>
        <v>61</v>
      </c>
      <c r="D4" s="5">
        <f t="shared" ref="D4:D10" si="0">B4*C4</f>
        <v>732</v>
      </c>
      <c r="E4" s="5">
        <f t="shared" ref="E4:E10" si="1">B4*C4*C4</f>
        <v>44652</v>
      </c>
      <c r="F4" s="5">
        <f>F3+B4</f>
        <v>14</v>
      </c>
    </row>
    <row r="5" spans="1:7" x14ac:dyDescent="0.2">
      <c r="A5" s="5" t="s">
        <v>10</v>
      </c>
      <c r="B5" s="5">
        <v>10</v>
      </c>
      <c r="C5" s="5">
        <f t="shared" ref="C5:C10" si="2">C4+6</f>
        <v>67</v>
      </c>
      <c r="D5" s="5">
        <f t="shared" si="0"/>
        <v>670</v>
      </c>
      <c r="E5" s="5">
        <f t="shared" si="1"/>
        <v>44890</v>
      </c>
      <c r="F5" s="5">
        <f t="shared" ref="F5:F10" si="3">F4+B5</f>
        <v>24</v>
      </c>
    </row>
    <row r="6" spans="1:7" x14ac:dyDescent="0.2">
      <c r="A6" s="5" t="s">
        <v>11</v>
      </c>
      <c r="B6" s="5">
        <v>19</v>
      </c>
      <c r="C6" s="5">
        <f t="shared" si="2"/>
        <v>73</v>
      </c>
      <c r="D6" s="5">
        <f t="shared" si="0"/>
        <v>1387</v>
      </c>
      <c r="E6" s="5">
        <f t="shared" si="1"/>
        <v>101251</v>
      </c>
      <c r="F6" s="5">
        <f t="shared" si="3"/>
        <v>43</v>
      </c>
    </row>
    <row r="7" spans="1:7" x14ac:dyDescent="0.2">
      <c r="A7" s="5" t="s">
        <v>12</v>
      </c>
      <c r="B7" s="5">
        <v>16</v>
      </c>
      <c r="C7" s="5">
        <f t="shared" si="2"/>
        <v>79</v>
      </c>
      <c r="D7" s="5">
        <f t="shared" si="0"/>
        <v>1264</v>
      </c>
      <c r="E7" s="5">
        <f t="shared" si="1"/>
        <v>99856</v>
      </c>
      <c r="F7" s="5">
        <f t="shared" si="3"/>
        <v>59</v>
      </c>
    </row>
    <row r="8" spans="1:7" x14ac:dyDescent="0.2">
      <c r="A8" s="5" t="s">
        <v>13</v>
      </c>
      <c r="B8" s="5">
        <v>9</v>
      </c>
      <c r="C8" s="5">
        <f t="shared" si="2"/>
        <v>85</v>
      </c>
      <c r="D8" s="5">
        <f t="shared" si="0"/>
        <v>765</v>
      </c>
      <c r="E8" s="5">
        <f t="shared" si="1"/>
        <v>65025</v>
      </c>
      <c r="F8" s="5">
        <f t="shared" si="3"/>
        <v>68</v>
      </c>
    </row>
    <row r="9" spans="1:7" x14ac:dyDescent="0.2">
      <c r="A9" s="5" t="s">
        <v>14</v>
      </c>
      <c r="B9" s="5">
        <v>7</v>
      </c>
      <c r="C9" s="5">
        <f t="shared" si="2"/>
        <v>91</v>
      </c>
      <c r="D9" s="5">
        <f t="shared" si="0"/>
        <v>637</v>
      </c>
      <c r="E9" s="5">
        <f t="shared" si="1"/>
        <v>57967</v>
      </c>
      <c r="F9" s="5">
        <f t="shared" si="3"/>
        <v>75</v>
      </c>
    </row>
    <row r="10" spans="1:7" x14ac:dyDescent="0.2">
      <c r="A10" s="5" t="s">
        <v>15</v>
      </c>
      <c r="B10" s="5">
        <v>5</v>
      </c>
      <c r="C10" s="5">
        <f t="shared" si="2"/>
        <v>97</v>
      </c>
      <c r="D10" s="5">
        <f t="shared" si="0"/>
        <v>485</v>
      </c>
      <c r="E10" s="5">
        <f t="shared" si="1"/>
        <v>47045</v>
      </c>
      <c r="F10" s="5">
        <f t="shared" si="3"/>
        <v>80</v>
      </c>
    </row>
    <row r="11" spans="1:7" x14ac:dyDescent="0.2">
      <c r="A11" s="5"/>
      <c r="B11" s="5">
        <f>SUM(B3:B10)</f>
        <v>80</v>
      </c>
      <c r="C11" s="5"/>
      <c r="D11" s="5">
        <f>SUM(D3:D10)</f>
        <v>6050</v>
      </c>
      <c r="E11" s="5">
        <f>SUM(E3:E10)</f>
        <v>466736</v>
      </c>
      <c r="F11" s="5"/>
    </row>
    <row r="13" spans="1:7" x14ac:dyDescent="0.2">
      <c r="A13" s="7" t="s">
        <v>42</v>
      </c>
    </row>
    <row r="14" spans="1:7" x14ac:dyDescent="0.2">
      <c r="A14" t="s">
        <v>42</v>
      </c>
      <c r="B14">
        <f>D11/B11</f>
        <v>75.625</v>
      </c>
      <c r="F14" s="7" t="s">
        <v>69</v>
      </c>
    </row>
    <row r="15" spans="1:7" x14ac:dyDescent="0.2">
      <c r="F15" t="s">
        <v>66</v>
      </c>
      <c r="G15">
        <f>10*B11/100</f>
        <v>8</v>
      </c>
    </row>
    <row r="16" spans="1:7" x14ac:dyDescent="0.2">
      <c r="A16" t="s">
        <v>43</v>
      </c>
      <c r="B16">
        <f>B11/2</f>
        <v>40</v>
      </c>
      <c r="F16" t="s">
        <v>70</v>
      </c>
      <c r="G16" t="s">
        <v>9</v>
      </c>
    </row>
    <row r="17" spans="1:7" x14ac:dyDescent="0.2">
      <c r="A17" t="s">
        <v>66</v>
      </c>
      <c r="B17" t="s">
        <v>11</v>
      </c>
      <c r="F17" t="s">
        <v>71</v>
      </c>
      <c r="G17">
        <f>58+((G15-F3)/B4)*6</f>
        <v>61</v>
      </c>
    </row>
    <row r="18" spans="1:7" x14ac:dyDescent="0.2">
      <c r="A18" t="s">
        <v>67</v>
      </c>
      <c r="B18" s="6">
        <f>70+((B16-F5)/B6)*6</f>
        <v>75.05263157894737</v>
      </c>
    </row>
    <row r="19" spans="1:7" x14ac:dyDescent="0.2">
      <c r="F19" s="7" t="s">
        <v>72</v>
      </c>
    </row>
    <row r="20" spans="1:7" x14ac:dyDescent="0.2">
      <c r="A20" t="s">
        <v>45</v>
      </c>
      <c r="B20">
        <f>SQRT((E11-B11*B14^2)/(B11-1))</f>
        <v>10.794249523927549</v>
      </c>
      <c r="F20" t="s">
        <v>66</v>
      </c>
      <c r="G20">
        <f>25*B11/100</f>
        <v>20</v>
      </c>
    </row>
    <row r="21" spans="1:7" x14ac:dyDescent="0.2">
      <c r="F21" t="s">
        <v>73</v>
      </c>
      <c r="G21" t="s">
        <v>10</v>
      </c>
    </row>
    <row r="22" spans="1:7" x14ac:dyDescent="0.2">
      <c r="A22" t="s">
        <v>68</v>
      </c>
      <c r="B22">
        <f>3*(B14-B18)/B20</f>
        <v>0.15907592828492553</v>
      </c>
      <c r="F22" t="s">
        <v>74</v>
      </c>
      <c r="G22">
        <f>64+((G20-F4)/B5)*6</f>
        <v>67.599999999999994</v>
      </c>
    </row>
    <row r="24" spans="1:7" x14ac:dyDescent="0.2">
      <c r="F24" t="s">
        <v>75</v>
      </c>
    </row>
    <row r="25" spans="1:7" x14ac:dyDescent="0.2">
      <c r="F25" t="s">
        <v>66</v>
      </c>
      <c r="G25">
        <f>90*B11/100</f>
        <v>72</v>
      </c>
    </row>
    <row r="26" spans="1:7" x14ac:dyDescent="0.2">
      <c r="F26" t="s">
        <v>76</v>
      </c>
      <c r="G26" t="s">
        <v>14</v>
      </c>
    </row>
    <row r="27" spans="1:7" x14ac:dyDescent="0.2">
      <c r="F27" t="s">
        <v>77</v>
      </c>
      <c r="G27">
        <f>88+((G25-F8)/B9)*6</f>
        <v>91.428571428571431</v>
      </c>
    </row>
    <row r="29" spans="1:7" x14ac:dyDescent="0.2">
      <c r="F29" t="s">
        <v>78</v>
      </c>
    </row>
    <row r="30" spans="1:7" x14ac:dyDescent="0.2">
      <c r="F30" t="s">
        <v>66</v>
      </c>
      <c r="G30">
        <v>60</v>
      </c>
    </row>
    <row r="31" spans="1:7" x14ac:dyDescent="0.2">
      <c r="F31" t="s">
        <v>79</v>
      </c>
      <c r="G31" t="s">
        <v>13</v>
      </c>
    </row>
    <row r="32" spans="1:7" x14ac:dyDescent="0.2">
      <c r="F32" t="s">
        <v>80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23"/>
  <sheetViews>
    <sheetView workbookViewId="0">
      <selection activeCell="C23" sqref="C23"/>
    </sheetView>
  </sheetViews>
  <sheetFormatPr baseColWidth="10" defaultColWidth="8.83203125" defaultRowHeight="15" x14ac:dyDescent="0.2"/>
  <cols>
    <col min="3" max="3" width="11.83203125" customWidth="1"/>
  </cols>
  <sheetData>
    <row r="1" spans="2:6" x14ac:dyDescent="0.2">
      <c r="B1" t="s">
        <v>81</v>
      </c>
      <c r="C1" t="s">
        <v>83</v>
      </c>
    </row>
    <row r="2" spans="2:6" x14ac:dyDescent="0.2">
      <c r="B2" t="s">
        <v>82</v>
      </c>
      <c r="C2" t="s">
        <v>84</v>
      </c>
    </row>
    <row r="4" spans="2:6" x14ac:dyDescent="0.2">
      <c r="B4" s="5" t="s">
        <v>82</v>
      </c>
      <c r="C4" s="5" t="s">
        <v>81</v>
      </c>
      <c r="D4" s="5" t="s">
        <v>85</v>
      </c>
      <c r="E4" s="5" t="s">
        <v>86</v>
      </c>
      <c r="F4" s="5" t="s">
        <v>87</v>
      </c>
    </row>
    <row r="5" spans="2:6" x14ac:dyDescent="0.2">
      <c r="B5" s="5">
        <v>14</v>
      </c>
      <c r="C5" s="5">
        <v>31</v>
      </c>
      <c r="D5" s="5">
        <f>B5*B5</f>
        <v>196</v>
      </c>
      <c r="E5" s="5">
        <f>C5*C5</f>
        <v>961</v>
      </c>
      <c r="F5" s="5">
        <f>B5*C5</f>
        <v>434</v>
      </c>
    </row>
    <row r="6" spans="2:6" x14ac:dyDescent="0.2">
      <c r="B6" s="5">
        <v>19</v>
      </c>
      <c r="C6" s="5">
        <v>36</v>
      </c>
      <c r="D6" s="5">
        <f t="shared" ref="D6:D13" si="0">B6*B6</f>
        <v>361</v>
      </c>
      <c r="E6" s="5">
        <f t="shared" ref="E6:E13" si="1">C6*C6</f>
        <v>1296</v>
      </c>
      <c r="F6" s="5">
        <f t="shared" ref="F6:F13" si="2">B6*C6</f>
        <v>684</v>
      </c>
    </row>
    <row r="7" spans="2:6" x14ac:dyDescent="0.2">
      <c r="B7" s="5">
        <v>24</v>
      </c>
      <c r="C7" s="5">
        <v>48</v>
      </c>
      <c r="D7" s="5">
        <f t="shared" si="0"/>
        <v>576</v>
      </c>
      <c r="E7" s="5">
        <f t="shared" si="1"/>
        <v>2304</v>
      </c>
      <c r="F7" s="5">
        <f t="shared" si="2"/>
        <v>1152</v>
      </c>
    </row>
    <row r="8" spans="2:6" x14ac:dyDescent="0.2">
      <c r="B8" s="5">
        <v>21</v>
      </c>
      <c r="C8" s="5">
        <v>37</v>
      </c>
      <c r="D8" s="5">
        <f t="shared" si="0"/>
        <v>441</v>
      </c>
      <c r="E8" s="5">
        <f t="shared" si="1"/>
        <v>1369</v>
      </c>
      <c r="F8" s="5">
        <f t="shared" si="2"/>
        <v>777</v>
      </c>
    </row>
    <row r="9" spans="2:6" x14ac:dyDescent="0.2">
      <c r="B9" s="5">
        <v>26</v>
      </c>
      <c r="C9" s="5">
        <v>50</v>
      </c>
      <c r="D9" s="5">
        <f t="shared" si="0"/>
        <v>676</v>
      </c>
      <c r="E9" s="5">
        <f t="shared" si="1"/>
        <v>2500</v>
      </c>
      <c r="F9" s="5">
        <f t="shared" si="2"/>
        <v>1300</v>
      </c>
    </row>
    <row r="10" spans="2:6" x14ac:dyDescent="0.2">
      <c r="B10" s="5">
        <v>22</v>
      </c>
      <c r="C10" s="5">
        <v>45</v>
      </c>
      <c r="D10" s="5">
        <f t="shared" si="0"/>
        <v>484</v>
      </c>
      <c r="E10" s="5">
        <f t="shared" si="1"/>
        <v>2025</v>
      </c>
      <c r="F10" s="5">
        <f t="shared" si="2"/>
        <v>990</v>
      </c>
    </row>
    <row r="11" spans="2:6" x14ac:dyDescent="0.2">
      <c r="B11" s="5">
        <v>15</v>
      </c>
      <c r="C11" s="5">
        <v>33</v>
      </c>
      <c r="D11" s="5">
        <f t="shared" si="0"/>
        <v>225</v>
      </c>
      <c r="E11" s="5">
        <f t="shared" si="1"/>
        <v>1089</v>
      </c>
      <c r="F11" s="5">
        <f t="shared" si="2"/>
        <v>495</v>
      </c>
    </row>
    <row r="12" spans="2:6" x14ac:dyDescent="0.2">
      <c r="B12" s="5">
        <v>20</v>
      </c>
      <c r="C12" s="5">
        <v>41</v>
      </c>
      <c r="D12" s="5">
        <f t="shared" si="0"/>
        <v>400</v>
      </c>
      <c r="E12" s="5">
        <f t="shared" si="1"/>
        <v>1681</v>
      </c>
      <c r="F12" s="5">
        <f t="shared" si="2"/>
        <v>820</v>
      </c>
    </row>
    <row r="13" spans="2:6" x14ac:dyDescent="0.2">
      <c r="B13" s="5">
        <v>19</v>
      </c>
      <c r="C13" s="5">
        <v>39</v>
      </c>
      <c r="D13" s="5">
        <f t="shared" si="0"/>
        <v>361</v>
      </c>
      <c r="E13" s="5">
        <f t="shared" si="1"/>
        <v>1521</v>
      </c>
      <c r="F13" s="5">
        <f t="shared" si="2"/>
        <v>741</v>
      </c>
    </row>
    <row r="14" spans="2:6" x14ac:dyDescent="0.2">
      <c r="B14" s="8">
        <f>SUM(B5:B13)</f>
        <v>180</v>
      </c>
      <c r="C14" s="8">
        <f t="shared" ref="C14:F14" si="3">SUM(C5:C13)</f>
        <v>360</v>
      </c>
      <c r="D14" s="8">
        <f t="shared" si="3"/>
        <v>3720</v>
      </c>
      <c r="E14" s="8">
        <f t="shared" si="3"/>
        <v>14746</v>
      </c>
      <c r="F14" s="8">
        <f t="shared" si="3"/>
        <v>7393</v>
      </c>
    </row>
    <row r="16" spans="2:6" x14ac:dyDescent="0.2">
      <c r="B16" t="s">
        <v>88</v>
      </c>
      <c r="C16">
        <v>9</v>
      </c>
    </row>
    <row r="17" spans="2:3" x14ac:dyDescent="0.2">
      <c r="B17" s="9" t="s">
        <v>89</v>
      </c>
      <c r="C17">
        <v>180</v>
      </c>
    </row>
    <row r="18" spans="2:3" x14ac:dyDescent="0.2">
      <c r="B18" t="s">
        <v>90</v>
      </c>
      <c r="C18">
        <v>360</v>
      </c>
    </row>
    <row r="19" spans="2:3" x14ac:dyDescent="0.2">
      <c r="B19" t="s">
        <v>91</v>
      </c>
      <c r="C19">
        <v>3720</v>
      </c>
    </row>
    <row r="20" spans="2:3" x14ac:dyDescent="0.2">
      <c r="B20" t="s">
        <v>93</v>
      </c>
      <c r="C20">
        <v>14746</v>
      </c>
    </row>
    <row r="21" spans="2:3" x14ac:dyDescent="0.2">
      <c r="B21" t="s">
        <v>92</v>
      </c>
      <c r="C21">
        <v>7393</v>
      </c>
    </row>
    <row r="23" spans="2:3" x14ac:dyDescent="0.2">
      <c r="B23" t="s">
        <v>94</v>
      </c>
      <c r="C23">
        <f>((C16*C21)-(C17*C18))/((SQRT(C16*C19-C17^2)*SQRT(C16*C20-C18^2)))</f>
        <v>0.94717153217778638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G20"/>
  <sheetViews>
    <sheetView workbookViewId="0">
      <selection activeCell="E5" sqref="E5"/>
    </sheetView>
  </sheetViews>
  <sheetFormatPr baseColWidth="10" defaultColWidth="8.83203125" defaultRowHeight="15" x14ac:dyDescent="0.2"/>
  <cols>
    <col min="3" max="3" width="15" customWidth="1"/>
  </cols>
  <sheetData>
    <row r="1" spans="2:7" x14ac:dyDescent="0.2">
      <c r="B1" t="s">
        <v>82</v>
      </c>
      <c r="C1" t="s">
        <v>95</v>
      </c>
      <c r="F1" t="s">
        <v>97</v>
      </c>
      <c r="G1" t="s">
        <v>99</v>
      </c>
    </row>
    <row r="2" spans="2:7" x14ac:dyDescent="0.2">
      <c r="B2" t="s">
        <v>81</v>
      </c>
      <c r="C2" t="s">
        <v>96</v>
      </c>
      <c r="F2" t="s">
        <v>98</v>
      </c>
      <c r="G2" t="s">
        <v>100</v>
      </c>
    </row>
    <row r="4" spans="2:7" x14ac:dyDescent="0.2">
      <c r="B4" s="5" t="s">
        <v>82</v>
      </c>
      <c r="C4" s="5" t="s">
        <v>81</v>
      </c>
      <c r="D4" s="5" t="s">
        <v>97</v>
      </c>
      <c r="E4" s="5" t="s">
        <v>98</v>
      </c>
      <c r="F4" s="5" t="s">
        <v>101</v>
      </c>
      <c r="G4" s="5" t="s">
        <v>102</v>
      </c>
    </row>
    <row r="5" spans="2:7" x14ac:dyDescent="0.2">
      <c r="B5" s="5">
        <v>57</v>
      </c>
      <c r="C5" s="5">
        <v>83</v>
      </c>
      <c r="D5" s="5">
        <f>_xlfn.RANK.AVG(B5,$B$5:$B$14,1)</f>
        <v>3</v>
      </c>
      <c r="E5" s="5">
        <f>_xlfn.RANK.AVG(C5,$C$5:$C$14,1)</f>
        <v>7</v>
      </c>
      <c r="F5" s="5">
        <f>D5-E5</f>
        <v>-4</v>
      </c>
      <c r="G5" s="5">
        <f>F5*F5</f>
        <v>16</v>
      </c>
    </row>
    <row r="6" spans="2:7" x14ac:dyDescent="0.2">
      <c r="B6" s="5">
        <v>45</v>
      </c>
      <c r="C6" s="5">
        <v>37</v>
      </c>
      <c r="D6" s="5">
        <f t="shared" ref="D6:D14" si="0">_xlfn.RANK.AVG(B6,$B$5:$B$14,1)</f>
        <v>1</v>
      </c>
      <c r="E6" s="5">
        <f t="shared" ref="E6:E14" si="1">_xlfn.RANK.AVG(C6,$C$5:$C$14,1)</f>
        <v>1</v>
      </c>
      <c r="F6" s="5">
        <f t="shared" ref="F6:F14" si="2">D6-E6</f>
        <v>0</v>
      </c>
      <c r="G6" s="5">
        <f t="shared" ref="G6:G14" si="3">F6*F6</f>
        <v>0</v>
      </c>
    </row>
    <row r="7" spans="2:7" x14ac:dyDescent="0.2">
      <c r="B7" s="5">
        <v>72</v>
      </c>
      <c r="C7" s="5">
        <v>41</v>
      </c>
      <c r="D7" s="5">
        <f t="shared" si="0"/>
        <v>7</v>
      </c>
      <c r="E7" s="5">
        <f t="shared" si="1"/>
        <v>2</v>
      </c>
      <c r="F7" s="5">
        <f t="shared" si="2"/>
        <v>5</v>
      </c>
      <c r="G7" s="5">
        <f t="shared" si="3"/>
        <v>25</v>
      </c>
    </row>
    <row r="8" spans="2:7" x14ac:dyDescent="0.2">
      <c r="B8" s="5">
        <v>78</v>
      </c>
      <c r="C8" s="5">
        <v>84</v>
      </c>
      <c r="D8" s="5">
        <f t="shared" si="0"/>
        <v>8</v>
      </c>
      <c r="E8" s="5">
        <f t="shared" si="1"/>
        <v>8</v>
      </c>
      <c r="F8" s="5">
        <f t="shared" si="2"/>
        <v>0</v>
      </c>
      <c r="G8" s="5">
        <f t="shared" si="3"/>
        <v>0</v>
      </c>
    </row>
    <row r="9" spans="2:7" x14ac:dyDescent="0.2">
      <c r="B9" s="5">
        <v>53</v>
      </c>
      <c r="C9" s="5">
        <v>56</v>
      </c>
      <c r="D9" s="5">
        <f t="shared" si="0"/>
        <v>2</v>
      </c>
      <c r="E9" s="5">
        <f t="shared" si="1"/>
        <v>3</v>
      </c>
      <c r="F9" s="5">
        <f t="shared" si="2"/>
        <v>-1</v>
      </c>
      <c r="G9" s="5">
        <f t="shared" si="3"/>
        <v>1</v>
      </c>
    </row>
    <row r="10" spans="2:7" x14ac:dyDescent="0.2">
      <c r="B10" s="5">
        <v>63</v>
      </c>
      <c r="C10" s="5">
        <v>85</v>
      </c>
      <c r="D10" s="5">
        <f t="shared" si="0"/>
        <v>5</v>
      </c>
      <c r="E10" s="5">
        <f t="shared" si="1"/>
        <v>9</v>
      </c>
      <c r="F10" s="5">
        <f t="shared" si="2"/>
        <v>-4</v>
      </c>
      <c r="G10" s="5">
        <f t="shared" si="3"/>
        <v>16</v>
      </c>
    </row>
    <row r="11" spans="2:7" x14ac:dyDescent="0.2">
      <c r="B11" s="5">
        <v>86</v>
      </c>
      <c r="C11" s="5">
        <v>77</v>
      </c>
      <c r="D11" s="5">
        <f t="shared" si="0"/>
        <v>9</v>
      </c>
      <c r="E11" s="5">
        <f t="shared" si="1"/>
        <v>6</v>
      </c>
      <c r="F11" s="5">
        <f t="shared" si="2"/>
        <v>3</v>
      </c>
      <c r="G11" s="5">
        <f t="shared" si="3"/>
        <v>9</v>
      </c>
    </row>
    <row r="12" spans="2:7" x14ac:dyDescent="0.2">
      <c r="B12" s="5">
        <v>98</v>
      </c>
      <c r="C12" s="5">
        <v>87</v>
      </c>
      <c r="D12" s="5">
        <f t="shared" si="0"/>
        <v>10</v>
      </c>
      <c r="E12" s="5">
        <f t="shared" si="1"/>
        <v>10</v>
      </c>
      <c r="F12" s="5">
        <f t="shared" si="2"/>
        <v>0</v>
      </c>
      <c r="G12" s="5">
        <f t="shared" si="3"/>
        <v>0</v>
      </c>
    </row>
    <row r="13" spans="2:7" x14ac:dyDescent="0.2">
      <c r="B13" s="5">
        <v>59</v>
      </c>
      <c r="C13" s="5">
        <v>70</v>
      </c>
      <c r="D13" s="5">
        <f t="shared" si="0"/>
        <v>4</v>
      </c>
      <c r="E13" s="5">
        <f t="shared" si="1"/>
        <v>5</v>
      </c>
      <c r="F13" s="5">
        <f t="shared" si="2"/>
        <v>-1</v>
      </c>
      <c r="G13" s="5">
        <f t="shared" si="3"/>
        <v>1</v>
      </c>
    </row>
    <row r="14" spans="2:7" x14ac:dyDescent="0.2">
      <c r="B14" s="5">
        <v>71</v>
      </c>
      <c r="C14" s="5">
        <v>59</v>
      </c>
      <c r="D14" s="5">
        <f t="shared" si="0"/>
        <v>6</v>
      </c>
      <c r="E14" s="5">
        <f t="shared" si="1"/>
        <v>4</v>
      </c>
      <c r="F14" s="5">
        <f t="shared" si="2"/>
        <v>2</v>
      </c>
      <c r="G14" s="5">
        <f t="shared" si="3"/>
        <v>4</v>
      </c>
    </row>
    <row r="15" spans="2:7" x14ac:dyDescent="0.2">
      <c r="B15" s="5"/>
      <c r="C15" s="5"/>
      <c r="D15" s="5"/>
      <c r="E15" s="5"/>
      <c r="F15" s="5"/>
      <c r="G15" s="8">
        <f>SUM(G5:G14)</f>
        <v>72</v>
      </c>
    </row>
    <row r="17" spans="2:3" x14ac:dyDescent="0.2">
      <c r="B17" t="s">
        <v>103</v>
      </c>
      <c r="C17">
        <v>10</v>
      </c>
    </row>
    <row r="18" spans="2:3" x14ac:dyDescent="0.2">
      <c r="B18" s="9" t="s">
        <v>104</v>
      </c>
      <c r="C18">
        <v>72</v>
      </c>
    </row>
    <row r="20" spans="2:3" x14ac:dyDescent="0.2">
      <c r="B20" t="s">
        <v>105</v>
      </c>
      <c r="C20">
        <f>1-((6*C18)/(C17*(C17^2-1)))</f>
        <v>0.56363636363636371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73"/>
  <sheetViews>
    <sheetView topLeftCell="A51" workbookViewId="0">
      <selection activeCell="C53" sqref="C53"/>
    </sheetView>
  </sheetViews>
  <sheetFormatPr baseColWidth="10" defaultColWidth="8.83203125" defaultRowHeight="15" x14ac:dyDescent="0.2"/>
  <cols>
    <col min="2" max="2" width="14.33203125" customWidth="1"/>
    <col min="8" max="8" width="12" bestFit="1" customWidth="1"/>
  </cols>
  <sheetData>
    <row r="1" spans="2:9" x14ac:dyDescent="0.2">
      <c r="B1" t="s">
        <v>82</v>
      </c>
      <c r="C1" t="s">
        <v>106</v>
      </c>
    </row>
    <row r="2" spans="2:9" x14ac:dyDescent="0.2">
      <c r="B2" t="s">
        <v>81</v>
      </c>
      <c r="C2" t="s">
        <v>83</v>
      </c>
    </row>
    <row r="4" spans="2:9" x14ac:dyDescent="0.2">
      <c r="B4" s="5" t="s">
        <v>82</v>
      </c>
      <c r="C4" s="5" t="s">
        <v>81</v>
      </c>
      <c r="D4" s="5" t="s">
        <v>85</v>
      </c>
      <c r="E4" s="5" t="s">
        <v>86</v>
      </c>
      <c r="F4" s="5" t="s">
        <v>87</v>
      </c>
      <c r="G4" s="5" t="s">
        <v>114</v>
      </c>
      <c r="H4" s="5" t="s">
        <v>115</v>
      </c>
      <c r="I4" s="5" t="s">
        <v>116</v>
      </c>
    </row>
    <row r="5" spans="2:9" x14ac:dyDescent="0.2">
      <c r="B5" s="5">
        <v>14</v>
      </c>
      <c r="C5" s="5">
        <v>31</v>
      </c>
      <c r="D5" s="5">
        <f>B5*B5</f>
        <v>196</v>
      </c>
      <c r="E5" s="5">
        <f>C5*C5</f>
        <v>961</v>
      </c>
      <c r="F5" s="5">
        <f>B5*C5</f>
        <v>434</v>
      </c>
      <c r="G5" s="5">
        <f>$C$25+$C$22*B5</f>
        <v>30.349999999999994</v>
      </c>
      <c r="H5" s="10">
        <f>C5-G5</f>
        <v>0.65000000000000568</v>
      </c>
      <c r="I5" s="11">
        <f>H5*H5</f>
        <v>0.42250000000000737</v>
      </c>
    </row>
    <row r="6" spans="2:9" x14ac:dyDescent="0.2">
      <c r="B6" s="5">
        <v>19</v>
      </c>
      <c r="C6" s="5">
        <v>36</v>
      </c>
      <c r="D6" s="5">
        <f t="shared" ref="D6:E13" si="0">B6*B6</f>
        <v>361</v>
      </c>
      <c r="E6" s="5">
        <f t="shared" si="0"/>
        <v>1296</v>
      </c>
      <c r="F6" s="5">
        <f t="shared" ref="F6:F13" si="1">B6*C6</f>
        <v>684</v>
      </c>
      <c r="G6" s="5">
        <f t="shared" ref="G6:G13" si="2">$C$25+$C$22*B6</f>
        <v>38.391666666666666</v>
      </c>
      <c r="H6" s="10">
        <f t="shared" ref="H6:H13" si="3">C6-G6</f>
        <v>-2.3916666666666657</v>
      </c>
      <c r="I6" s="11">
        <f t="shared" ref="I6:I13" si="4">H6*H6</f>
        <v>5.72006944444444</v>
      </c>
    </row>
    <row r="7" spans="2:9" x14ac:dyDescent="0.2">
      <c r="B7" s="5">
        <v>24</v>
      </c>
      <c r="C7" s="5">
        <v>48</v>
      </c>
      <c r="D7" s="5">
        <f t="shared" si="0"/>
        <v>576</v>
      </c>
      <c r="E7" s="5">
        <f t="shared" si="0"/>
        <v>2304</v>
      </c>
      <c r="F7" s="5">
        <f t="shared" si="1"/>
        <v>1152</v>
      </c>
      <c r="G7" s="5">
        <f t="shared" si="2"/>
        <v>46.43333333333333</v>
      </c>
      <c r="H7" s="10">
        <f t="shared" si="3"/>
        <v>1.56666666666667</v>
      </c>
      <c r="I7" s="11">
        <f t="shared" si="4"/>
        <v>2.4544444444444546</v>
      </c>
    </row>
    <row r="8" spans="2:9" x14ac:dyDescent="0.2">
      <c r="B8" s="5">
        <v>21</v>
      </c>
      <c r="C8" s="5">
        <v>37</v>
      </c>
      <c r="D8" s="5">
        <f t="shared" si="0"/>
        <v>441</v>
      </c>
      <c r="E8" s="5">
        <f t="shared" si="0"/>
        <v>1369</v>
      </c>
      <c r="F8" s="5">
        <f t="shared" si="1"/>
        <v>777</v>
      </c>
      <c r="G8" s="5">
        <f t="shared" si="2"/>
        <v>41.608333333333327</v>
      </c>
      <c r="H8" s="10">
        <f t="shared" si="3"/>
        <v>-4.6083333333333272</v>
      </c>
      <c r="I8" s="11">
        <f t="shared" si="4"/>
        <v>21.236736111111053</v>
      </c>
    </row>
    <row r="9" spans="2:9" x14ac:dyDescent="0.2">
      <c r="B9" s="5">
        <v>26</v>
      </c>
      <c r="C9" s="5">
        <v>50</v>
      </c>
      <c r="D9" s="5">
        <f t="shared" si="0"/>
        <v>676</v>
      </c>
      <c r="E9" s="5">
        <f t="shared" si="0"/>
        <v>2500</v>
      </c>
      <c r="F9" s="5">
        <f t="shared" si="1"/>
        <v>1300</v>
      </c>
      <c r="G9" s="5">
        <f t="shared" si="2"/>
        <v>49.65</v>
      </c>
      <c r="H9" s="10">
        <f t="shared" si="3"/>
        <v>0.35000000000000142</v>
      </c>
      <c r="I9" s="11">
        <f t="shared" si="4"/>
        <v>0.122500000000001</v>
      </c>
    </row>
    <row r="10" spans="2:9" x14ac:dyDescent="0.2">
      <c r="B10" s="5">
        <v>22</v>
      </c>
      <c r="C10" s="5">
        <v>45</v>
      </c>
      <c r="D10" s="5">
        <f t="shared" si="0"/>
        <v>484</v>
      </c>
      <c r="E10" s="5">
        <f t="shared" si="0"/>
        <v>2025</v>
      </c>
      <c r="F10" s="5">
        <f t="shared" si="1"/>
        <v>990</v>
      </c>
      <c r="G10" s="5">
        <f t="shared" si="2"/>
        <v>43.216666666666661</v>
      </c>
      <c r="H10" s="10">
        <f t="shared" si="3"/>
        <v>1.7833333333333385</v>
      </c>
      <c r="I10" s="11">
        <f t="shared" si="4"/>
        <v>3.1802777777777962</v>
      </c>
    </row>
    <row r="11" spans="2:9" x14ac:dyDescent="0.2">
      <c r="B11" s="5">
        <v>15</v>
      </c>
      <c r="C11" s="5">
        <v>33</v>
      </c>
      <c r="D11" s="5">
        <f t="shared" si="0"/>
        <v>225</v>
      </c>
      <c r="E11" s="5">
        <f t="shared" si="0"/>
        <v>1089</v>
      </c>
      <c r="F11" s="5">
        <f t="shared" si="1"/>
        <v>495</v>
      </c>
      <c r="G11" s="5">
        <f t="shared" si="2"/>
        <v>31.958333333333329</v>
      </c>
      <c r="H11" s="10">
        <f t="shared" si="3"/>
        <v>1.0416666666666714</v>
      </c>
      <c r="I11" s="11">
        <f t="shared" si="4"/>
        <v>1.0850694444444544</v>
      </c>
    </row>
    <row r="12" spans="2:9" x14ac:dyDescent="0.2">
      <c r="B12" s="5">
        <v>20</v>
      </c>
      <c r="C12" s="5">
        <v>41</v>
      </c>
      <c r="D12" s="5">
        <f t="shared" si="0"/>
        <v>400</v>
      </c>
      <c r="E12" s="5">
        <f t="shared" si="0"/>
        <v>1681</v>
      </c>
      <c r="F12" s="5">
        <f t="shared" si="1"/>
        <v>820</v>
      </c>
      <c r="G12" s="5">
        <f t="shared" si="2"/>
        <v>40</v>
      </c>
      <c r="H12" s="10">
        <f t="shared" si="3"/>
        <v>1</v>
      </c>
      <c r="I12" s="11">
        <f t="shared" si="4"/>
        <v>1</v>
      </c>
    </row>
    <row r="13" spans="2:9" x14ac:dyDescent="0.2">
      <c r="B13" s="5">
        <v>19</v>
      </c>
      <c r="C13" s="5">
        <v>39</v>
      </c>
      <c r="D13" s="5">
        <f t="shared" si="0"/>
        <v>361</v>
      </c>
      <c r="E13" s="5">
        <f t="shared" si="0"/>
        <v>1521</v>
      </c>
      <c r="F13" s="5">
        <f t="shared" si="1"/>
        <v>741</v>
      </c>
      <c r="G13" s="5">
        <f t="shared" si="2"/>
        <v>38.391666666666666</v>
      </c>
      <c r="H13" s="10">
        <f t="shared" si="3"/>
        <v>0.60833333333333428</v>
      </c>
      <c r="I13" s="11">
        <f t="shared" si="4"/>
        <v>0.37006944444444562</v>
      </c>
    </row>
    <row r="14" spans="2:9" x14ac:dyDescent="0.2">
      <c r="B14" s="8">
        <f>SUM(B5:B13)</f>
        <v>180</v>
      </c>
      <c r="C14" s="8">
        <f t="shared" ref="C14:F14" si="5">SUM(C5:C13)</f>
        <v>360</v>
      </c>
      <c r="D14" s="8">
        <f t="shared" si="5"/>
        <v>3720</v>
      </c>
      <c r="E14" s="8">
        <f t="shared" si="5"/>
        <v>14746</v>
      </c>
      <c r="F14" s="8">
        <f t="shared" si="5"/>
        <v>7393</v>
      </c>
      <c r="G14" s="8">
        <f>SUM(G5:G13)</f>
        <v>359.99999999999994</v>
      </c>
      <c r="H14" s="12">
        <f>SUM(H5:H13)</f>
        <v>2.8421709430404007E-14</v>
      </c>
      <c r="I14" s="11">
        <f>SUM(I5:I13)</f>
        <v>35.591666666666661</v>
      </c>
    </row>
    <row r="17" spans="2:3" x14ac:dyDescent="0.2">
      <c r="B17" t="s">
        <v>107</v>
      </c>
    </row>
    <row r="18" spans="2:3" x14ac:dyDescent="0.2">
      <c r="B18" t="s">
        <v>94</v>
      </c>
      <c r="C18">
        <f>((9*F14)-(B14*C14))/((SQRT(9*D14-B14^2))*(SQRT(9*E14-C14^2)))</f>
        <v>0.94717153217778638</v>
      </c>
    </row>
    <row r="22" spans="2:3" x14ac:dyDescent="0.2">
      <c r="B22" t="s">
        <v>108</v>
      </c>
      <c r="C22">
        <f>((9*F14)-(B14*C14))/((9*D14-B14^2))</f>
        <v>1.6083333333333334</v>
      </c>
    </row>
    <row r="23" spans="2:3" x14ac:dyDescent="0.2">
      <c r="B23" t="s">
        <v>109</v>
      </c>
      <c r="C23">
        <f>B14/9</f>
        <v>20</v>
      </c>
    </row>
    <row r="24" spans="2:3" x14ac:dyDescent="0.2">
      <c r="B24" t="s">
        <v>110</v>
      </c>
      <c r="C24">
        <f>C14/9</f>
        <v>40</v>
      </c>
    </row>
    <row r="25" spans="2:3" x14ac:dyDescent="0.2">
      <c r="B25" t="s">
        <v>111</v>
      </c>
      <c r="C25">
        <f>C24-C23*C22</f>
        <v>7.8333333333333286</v>
      </c>
    </row>
    <row r="39" spans="2:3" x14ac:dyDescent="0.2">
      <c r="B39" t="s">
        <v>112</v>
      </c>
    </row>
    <row r="40" spans="2:3" x14ac:dyDescent="0.2">
      <c r="B40" t="s">
        <v>113</v>
      </c>
      <c r="C40">
        <f>C18*C18</f>
        <v>0.89713391136801546</v>
      </c>
    </row>
    <row r="49" spans="2:3" x14ac:dyDescent="0.2">
      <c r="B49" t="s">
        <v>117</v>
      </c>
    </row>
    <row r="50" spans="2:3" x14ac:dyDescent="0.2">
      <c r="B50" t="s">
        <v>118</v>
      </c>
      <c r="C50">
        <f>SQRT(I14/(9-2))</f>
        <v>2.2548888685529067</v>
      </c>
    </row>
    <row r="52" spans="2:3" x14ac:dyDescent="0.2">
      <c r="B52" t="s">
        <v>120</v>
      </c>
    </row>
    <row r="53" spans="2:3" x14ac:dyDescent="0.2">
      <c r="B53" t="s">
        <v>121</v>
      </c>
      <c r="C53" t="s">
        <v>122</v>
      </c>
    </row>
    <row r="54" spans="2:3" x14ac:dyDescent="0.2">
      <c r="B54" t="s">
        <v>119</v>
      </c>
      <c r="C54">
        <f>C25+C22*25</f>
        <v>48.041666666666664</v>
      </c>
    </row>
    <row r="60" spans="2:3" x14ac:dyDescent="0.2">
      <c r="B60" t="s">
        <v>123</v>
      </c>
    </row>
    <row r="61" spans="2:3" x14ac:dyDescent="0.2">
      <c r="B61" t="s">
        <v>124</v>
      </c>
      <c r="C61">
        <f>((9*F14)-(B14*C14))/(9*E14-C14^2)</f>
        <v>0.55780346820809246</v>
      </c>
    </row>
    <row r="62" spans="2:3" x14ac:dyDescent="0.2">
      <c r="B62" t="s">
        <v>111</v>
      </c>
      <c r="C62">
        <f>C23-C61*C24</f>
        <v>-2.3121387283236992</v>
      </c>
    </row>
    <row r="70" spans="2:3" x14ac:dyDescent="0.2">
      <c r="B70" t="s">
        <v>125</v>
      </c>
    </row>
    <row r="71" spans="2:3" x14ac:dyDescent="0.2">
      <c r="B71" t="s">
        <v>126</v>
      </c>
    </row>
    <row r="72" spans="2:3" x14ac:dyDescent="0.2">
      <c r="B72" t="s">
        <v>128</v>
      </c>
    </row>
    <row r="73" spans="2:3" x14ac:dyDescent="0.2">
      <c r="B73" t="s">
        <v>127</v>
      </c>
      <c r="C73">
        <f>C62+(C61*30)</f>
        <v>14.421965317919074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G16"/>
  <sheetViews>
    <sheetView workbookViewId="0">
      <selection activeCell="C13" sqref="C13"/>
    </sheetView>
  </sheetViews>
  <sheetFormatPr baseColWidth="10" defaultColWidth="8.83203125" defaultRowHeight="15" x14ac:dyDescent="0.2"/>
  <cols>
    <col min="2" max="2" width="12" customWidth="1"/>
    <col min="3" max="3" width="16.5" customWidth="1"/>
    <col min="4" max="4" width="16" customWidth="1"/>
    <col min="7" max="7" width="15.6640625" customWidth="1"/>
  </cols>
  <sheetData>
    <row r="2" spans="1:7" x14ac:dyDescent="0.2">
      <c r="B2" t="s">
        <v>129</v>
      </c>
      <c r="C2" t="s">
        <v>130</v>
      </c>
      <c r="D2" t="s">
        <v>131</v>
      </c>
    </row>
    <row r="3" spans="1:7" x14ac:dyDescent="0.2">
      <c r="B3" t="s">
        <v>132</v>
      </c>
      <c r="C3" t="s">
        <v>133</v>
      </c>
      <c r="D3" t="s">
        <v>131</v>
      </c>
      <c r="F3" t="s">
        <v>82</v>
      </c>
      <c r="G3" t="s">
        <v>145</v>
      </c>
    </row>
    <row r="4" spans="1:7" x14ac:dyDescent="0.2">
      <c r="B4" t="s">
        <v>88</v>
      </c>
      <c r="C4" t="s">
        <v>135</v>
      </c>
      <c r="D4">
        <v>12</v>
      </c>
      <c r="F4">
        <v>0</v>
      </c>
      <c r="G4" s="13">
        <f>_xlfn.BINOM.DIST(F4,$D$4,$D$5,FALSE)</f>
        <v>4.0959999999999933E-9</v>
      </c>
    </row>
    <row r="5" spans="1:7" x14ac:dyDescent="0.2">
      <c r="B5" t="s">
        <v>134</v>
      </c>
      <c r="C5" t="s">
        <v>136</v>
      </c>
      <c r="D5">
        <v>0.8</v>
      </c>
      <c r="F5">
        <v>1</v>
      </c>
      <c r="G5" s="13">
        <f t="shared" ref="G5:G16" si="0">_xlfn.BINOM.DIST(F5,$D$4,$D$5,FALSE)</f>
        <v>1.9660799999999993E-7</v>
      </c>
    </row>
    <row r="6" spans="1:7" x14ac:dyDescent="0.2">
      <c r="F6">
        <v>2</v>
      </c>
      <c r="G6" s="13">
        <f t="shared" si="0"/>
        <v>4.3253759999999791E-6</v>
      </c>
    </row>
    <row r="7" spans="1:7" x14ac:dyDescent="0.2">
      <c r="A7" t="s">
        <v>137</v>
      </c>
      <c r="B7" t="s">
        <v>138</v>
      </c>
      <c r="C7">
        <f>_xlfn.BINOM.DIST(8,D4,D5,FALSE)</f>
        <v>0.13287555071999999</v>
      </c>
      <c r="F7">
        <v>3</v>
      </c>
      <c r="G7" s="13">
        <f t="shared" si="0"/>
        <v>5.7671679999999842E-5</v>
      </c>
    </row>
    <row r="8" spans="1:7" x14ac:dyDescent="0.2">
      <c r="F8">
        <v>4</v>
      </c>
      <c r="G8" s="13">
        <f t="shared" si="0"/>
        <v>5.1904511999999951E-4</v>
      </c>
    </row>
    <row r="9" spans="1:7" x14ac:dyDescent="0.2">
      <c r="A9" t="s">
        <v>139</v>
      </c>
      <c r="B9" t="s">
        <v>140</v>
      </c>
      <c r="C9">
        <f>1-_xlfn.BINOM.DIST(9,D4,D5,TRUE)</f>
        <v>0.55834574848000007</v>
      </c>
      <c r="F9">
        <v>5</v>
      </c>
      <c r="G9" s="13">
        <f t="shared" si="0"/>
        <v>3.3218887679999937E-3</v>
      </c>
    </row>
    <row r="10" spans="1:7" x14ac:dyDescent="0.2">
      <c r="F10">
        <v>6</v>
      </c>
      <c r="G10" s="13">
        <f t="shared" si="0"/>
        <v>1.550214758399999E-2</v>
      </c>
    </row>
    <row r="11" spans="1:7" x14ac:dyDescent="0.2">
      <c r="A11" t="s">
        <v>141</v>
      </c>
      <c r="B11" t="s">
        <v>142</v>
      </c>
      <c r="C11">
        <f>_xlfn.BINOM.DIST(5,D4,D5,TRUE)</f>
        <v>3.9031316479999959E-3</v>
      </c>
      <c r="F11">
        <v>7</v>
      </c>
      <c r="G11" s="13">
        <f t="shared" si="0"/>
        <v>5.3150220287999962E-2</v>
      </c>
    </row>
    <row r="12" spans="1:7" x14ac:dyDescent="0.2">
      <c r="F12">
        <v>8</v>
      </c>
      <c r="G12" s="13">
        <f t="shared" si="0"/>
        <v>0.13287555071999999</v>
      </c>
    </row>
    <row r="13" spans="1:7" x14ac:dyDescent="0.2">
      <c r="A13" t="s">
        <v>143</v>
      </c>
      <c r="B13" t="s">
        <v>144</v>
      </c>
      <c r="C13">
        <f>_xlfn.BINOM.DIST(10,D4,D5,TRUE)-_xlfn.BINOM.DIST(7,D4,D5,TRUE)</f>
        <v>0.65256659353599977</v>
      </c>
      <c r="F13">
        <v>9</v>
      </c>
      <c r="G13" s="13">
        <f t="shared" si="0"/>
        <v>0.23622320127999991</v>
      </c>
    </row>
    <row r="14" spans="1:7" x14ac:dyDescent="0.2">
      <c r="F14">
        <v>10</v>
      </c>
      <c r="G14" s="13">
        <f t="shared" si="0"/>
        <v>0.28346784153600002</v>
      </c>
    </row>
    <row r="15" spans="1:7" x14ac:dyDescent="0.2">
      <c r="F15">
        <v>11</v>
      </c>
      <c r="G15" s="13">
        <f t="shared" si="0"/>
        <v>0.20615843020800007</v>
      </c>
    </row>
    <row r="16" spans="1:7" x14ac:dyDescent="0.2">
      <c r="F16">
        <v>12</v>
      </c>
      <c r="G16" s="13">
        <f t="shared" si="0"/>
        <v>6.871947673600004E-2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2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2" max="2" width="13" customWidth="1"/>
    <col min="3" max="3" width="13.5" customWidth="1"/>
  </cols>
  <sheetData>
    <row r="1" spans="1:3" x14ac:dyDescent="0.2">
      <c r="B1" t="s">
        <v>146</v>
      </c>
      <c r="C1" t="s">
        <v>147</v>
      </c>
    </row>
    <row r="2" spans="1:3" x14ac:dyDescent="0.2">
      <c r="B2" s="9" t="s">
        <v>148</v>
      </c>
      <c r="C2" t="s">
        <v>149</v>
      </c>
    </row>
    <row r="3" spans="1:3" x14ac:dyDescent="0.2">
      <c r="B3" s="6"/>
      <c r="C3">
        <v>5</v>
      </c>
    </row>
    <row r="4" spans="1:3" x14ac:dyDescent="0.2">
      <c r="A4" t="s">
        <v>151</v>
      </c>
      <c r="B4" t="s">
        <v>153</v>
      </c>
      <c r="C4">
        <f>_xlfn.POISSON.DIST(7,5,FALSE)</f>
        <v>0.104444862957054</v>
      </c>
    </row>
    <row r="6" spans="1:3" x14ac:dyDescent="0.2">
      <c r="A6" t="s">
        <v>152</v>
      </c>
      <c r="B6" t="s">
        <v>150</v>
      </c>
      <c r="C6">
        <f>_xlfn.POISSON.DIST(0,5,FALSE)</f>
        <v>6.737946999085467E-3</v>
      </c>
    </row>
    <row r="8" spans="1:3" x14ac:dyDescent="0.2">
      <c r="A8" t="s">
        <v>154</v>
      </c>
      <c r="B8" t="s">
        <v>155</v>
      </c>
      <c r="C8">
        <f>1-_xlfn.POISSON.DIST(9,5,TRUE)</f>
        <v>3.182805730620486E-2</v>
      </c>
    </row>
    <row r="10" spans="1:3" x14ac:dyDescent="0.2">
      <c r="A10" t="s">
        <v>156</v>
      </c>
      <c r="B10" t="s">
        <v>157</v>
      </c>
      <c r="C10">
        <f>_xlfn.POISSON.DIST(4,5,TRUE)</f>
        <v>0.44049328506521235</v>
      </c>
    </row>
    <row r="12" spans="1:3" x14ac:dyDescent="0.2">
      <c r="A12" t="s">
        <v>158</v>
      </c>
      <c r="B12" t="s">
        <v>159</v>
      </c>
      <c r="C12">
        <f>_xlfn.POISSON.DIST(8,5,TRUE)-_xlfn.POISSON.DIST(3,5,TRUE)</f>
        <v>0.66688044998078966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F16"/>
  <sheetViews>
    <sheetView workbookViewId="0">
      <selection activeCell="C16" sqref="C16"/>
    </sheetView>
  </sheetViews>
  <sheetFormatPr baseColWidth="10" defaultColWidth="8.83203125" defaultRowHeight="15" x14ac:dyDescent="0.2"/>
  <sheetData>
    <row r="2" spans="2:6" x14ac:dyDescent="0.2">
      <c r="B2" t="s">
        <v>82</v>
      </c>
      <c r="C2" t="s">
        <v>37</v>
      </c>
      <c r="D2" t="s">
        <v>160</v>
      </c>
      <c r="E2" t="s">
        <v>161</v>
      </c>
      <c r="F2" t="s">
        <v>162</v>
      </c>
    </row>
    <row r="3" spans="2:6" x14ac:dyDescent="0.2">
      <c r="B3">
        <v>0</v>
      </c>
      <c r="C3">
        <v>56</v>
      </c>
      <c r="D3">
        <f>B3*C3</f>
        <v>0</v>
      </c>
      <c r="E3">
        <f>_xlfn.POISSON.DIST(B3,$C$16,FALSE)</f>
        <v>0.12565455677893742</v>
      </c>
      <c r="F3">
        <f>$C$12*E3</f>
        <v>64.335133070815957</v>
      </c>
    </row>
    <row r="4" spans="2:6" x14ac:dyDescent="0.2">
      <c r="B4">
        <v>1</v>
      </c>
      <c r="C4">
        <v>156</v>
      </c>
      <c r="D4">
        <f t="shared" ref="D4:D11" si="0">B4*C4</f>
        <v>156</v>
      </c>
      <c r="E4">
        <f t="shared" ref="E4:E10" si="1">_xlfn.POISSON.DIST(B4,$C$16,FALSE)</f>
        <v>0.26063503769381158</v>
      </c>
      <c r="F4">
        <f t="shared" ref="F4:F11" si="2">$C$12*E4</f>
        <v>133.44513929923153</v>
      </c>
    </row>
    <row r="5" spans="2:6" x14ac:dyDescent="0.2">
      <c r="B5">
        <v>2</v>
      </c>
      <c r="C5">
        <v>132</v>
      </c>
      <c r="D5">
        <f t="shared" si="0"/>
        <v>264</v>
      </c>
      <c r="E5">
        <f t="shared" si="1"/>
        <v>0.27030704104573039</v>
      </c>
      <c r="F5">
        <f t="shared" si="2"/>
        <v>138.39720501541396</v>
      </c>
    </row>
    <row r="6" spans="2:6" x14ac:dyDescent="0.2">
      <c r="B6">
        <v>3</v>
      </c>
      <c r="C6">
        <v>92</v>
      </c>
      <c r="D6">
        <f t="shared" si="0"/>
        <v>276</v>
      </c>
      <c r="E6">
        <f t="shared" si="1"/>
        <v>0.18689197759802456</v>
      </c>
      <c r="F6">
        <f t="shared" si="2"/>
        <v>95.688692530188575</v>
      </c>
    </row>
    <row r="7" spans="2:6" x14ac:dyDescent="0.2">
      <c r="B7">
        <v>4</v>
      </c>
      <c r="C7">
        <v>37</v>
      </c>
      <c r="D7">
        <f t="shared" si="0"/>
        <v>148</v>
      </c>
      <c r="E7">
        <f t="shared" si="1"/>
        <v>9.6913711039600628E-2</v>
      </c>
      <c r="F7">
        <f t="shared" si="2"/>
        <v>49.619820052275522</v>
      </c>
    </row>
    <row r="8" spans="2:6" x14ac:dyDescent="0.2">
      <c r="B8">
        <v>5</v>
      </c>
      <c r="C8">
        <v>22</v>
      </c>
      <c r="D8">
        <f t="shared" si="0"/>
        <v>110</v>
      </c>
      <c r="E8">
        <f t="shared" si="1"/>
        <v>4.0204047314084328E-2</v>
      </c>
      <c r="F8">
        <f t="shared" si="2"/>
        <v>20.584472224811176</v>
      </c>
    </row>
    <row r="9" spans="2:6" x14ac:dyDescent="0.2">
      <c r="B9">
        <v>6</v>
      </c>
      <c r="C9">
        <v>12</v>
      </c>
      <c r="D9">
        <f t="shared" si="0"/>
        <v>72</v>
      </c>
      <c r="E9">
        <f t="shared" si="1"/>
        <v>1.3898664794126811E-2</v>
      </c>
      <c r="F9">
        <f t="shared" si="2"/>
        <v>7.1161163745929272</v>
      </c>
    </row>
    <row r="10" spans="2:6" x14ac:dyDescent="0.2">
      <c r="B10">
        <v>7</v>
      </c>
      <c r="C10">
        <v>4</v>
      </c>
      <c r="D10">
        <f t="shared" si="0"/>
        <v>28</v>
      </c>
      <c r="E10">
        <f t="shared" si="1"/>
        <v>4.1184101594203921E-3</v>
      </c>
      <c r="F10">
        <f t="shared" si="2"/>
        <v>2.1086260016232408</v>
      </c>
    </row>
    <row r="11" spans="2:6" x14ac:dyDescent="0.2">
      <c r="B11">
        <v>8</v>
      </c>
      <c r="C11">
        <v>1</v>
      </c>
      <c r="D11">
        <f t="shared" si="0"/>
        <v>8</v>
      </c>
      <c r="E11">
        <f>1-(SUM(E3:E10))</f>
        <v>1.3765535762638725E-3</v>
      </c>
      <c r="F11">
        <f t="shared" si="2"/>
        <v>0.70479543104710274</v>
      </c>
    </row>
    <row r="12" spans="2:6" x14ac:dyDescent="0.2">
      <c r="C12">
        <f>SUM(C3:C11)</f>
        <v>512</v>
      </c>
      <c r="D12">
        <f>SUM(D3:D11)</f>
        <v>1062</v>
      </c>
      <c r="E12">
        <f>SUM(E3:E11)</f>
        <v>1</v>
      </c>
      <c r="F12">
        <f>SUM(F3:F11)</f>
        <v>512</v>
      </c>
    </row>
    <row r="16" spans="2:6" x14ac:dyDescent="0.2">
      <c r="B16" s="9" t="s">
        <v>148</v>
      </c>
      <c r="C16">
        <f>D12/C12</f>
        <v>2.07421875</v>
      </c>
    </row>
  </sheetData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E14"/>
  <sheetViews>
    <sheetView workbookViewId="0">
      <selection activeCell="C6" sqref="C6"/>
    </sheetView>
  </sheetViews>
  <sheetFormatPr baseColWidth="10" defaultColWidth="8.83203125" defaultRowHeight="15" x14ac:dyDescent="0.2"/>
  <cols>
    <col min="2" max="2" width="12.83203125" customWidth="1"/>
    <col min="3" max="3" width="17.5" customWidth="1"/>
  </cols>
  <sheetData>
    <row r="2" spans="1:5" x14ac:dyDescent="0.2">
      <c r="B2" t="s">
        <v>82</v>
      </c>
      <c r="C2" t="s">
        <v>164</v>
      </c>
    </row>
    <row r="3" spans="1:5" x14ac:dyDescent="0.2">
      <c r="B3" s="9" t="s">
        <v>163</v>
      </c>
      <c r="C3" t="s">
        <v>165</v>
      </c>
      <c r="D3">
        <v>115</v>
      </c>
    </row>
    <row r="4" spans="1:5" x14ac:dyDescent="0.2">
      <c r="B4" s="9" t="s">
        <v>167</v>
      </c>
      <c r="C4" t="s">
        <v>166</v>
      </c>
      <c r="D4">
        <v>8</v>
      </c>
    </row>
    <row r="6" spans="1:5" x14ac:dyDescent="0.2">
      <c r="A6" t="s">
        <v>151</v>
      </c>
      <c r="B6" t="s">
        <v>168</v>
      </c>
      <c r="C6">
        <f>1-(_xlfn.NORM.DIST(130,D3,D4,TRUE))</f>
        <v>3.0396361765261393E-2</v>
      </c>
      <c r="E6">
        <f>1-_xlfn.NORM.DIST(129,D3,D4,TRUE)</f>
        <v>4.0059156863817114E-2</v>
      </c>
    </row>
    <row r="8" spans="1:5" x14ac:dyDescent="0.2">
      <c r="A8" t="s">
        <v>152</v>
      </c>
      <c r="B8" t="s">
        <v>169</v>
      </c>
      <c r="C8">
        <f>_xlfn.NORM.DIST(90,D3,D4,TRUE)</f>
        <v>8.8902529910843192E-4</v>
      </c>
    </row>
    <row r="10" spans="1:5" x14ac:dyDescent="0.2">
      <c r="A10" t="s">
        <v>154</v>
      </c>
      <c r="B10" t="s">
        <v>170</v>
      </c>
      <c r="C10">
        <f>_xlfn.NORM.DIST(120,D3,D4,TRUE)-_xlfn.NORM.DIST(100,D3,D4,TRUE)</f>
        <v>0.70361810918603807</v>
      </c>
    </row>
    <row r="12" spans="1:5" x14ac:dyDescent="0.2">
      <c r="A12" t="s">
        <v>156</v>
      </c>
      <c r="B12" t="s">
        <v>82</v>
      </c>
      <c r="C12">
        <f>_xlfn.NORM.INV(0.8,D3,D4)</f>
        <v>121.73296986858333</v>
      </c>
    </row>
    <row r="14" spans="1:5" x14ac:dyDescent="0.2">
      <c r="A14" t="s">
        <v>158</v>
      </c>
      <c r="B14" t="s">
        <v>82</v>
      </c>
      <c r="C14">
        <f>_xlfn.NORM.INV(0.05,D3,D4)</f>
        <v>101.84117098438821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Sheet6</vt:lpstr>
      <vt:lpstr>Sheet5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Microsoft Office User</cp:lastModifiedBy>
  <cp:lastPrinted>2025-02-18T07:54:39Z</cp:lastPrinted>
  <dcterms:created xsi:type="dcterms:W3CDTF">2025-01-07T07:20:48Z</dcterms:created>
  <dcterms:modified xsi:type="dcterms:W3CDTF">2025-06-26T17:57:09Z</dcterms:modified>
</cp:coreProperties>
</file>