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\Capstone project briefs and datasets\Propelling Eurotruck's Decarbonisation\"/>
    </mc:Choice>
  </mc:AlternateContent>
  <xr:revisionPtr revIDLastSave="0" documentId="13_ncr:1_{58388FD7-14E2-415B-9223-A9AF8E1D0866}" xr6:coauthVersionLast="47" xr6:coauthVersionMax="47" xr10:uidLastSave="{00000000-0000-0000-0000-000000000000}"/>
  <bookViews>
    <workbookView xWindow="-108" yWindow="-108" windowWidth="23256" windowHeight="12456" activeTab="1" xr2:uid="{85487355-0E05-4F7B-91A8-56E5B8039976}"/>
  </bookViews>
  <sheets>
    <sheet name="5Y Plan " sheetId="16" r:id="rId1"/>
    <sheet name="Z8 and E3 Comparison with 2022" sheetId="9" r:id="rId2"/>
    <sheet name="Z8 and E3 Vs 2022 and 5Y Plan" sheetId="5" r:id="rId3"/>
    <sheet name="Swapping to Z8 and E3" sheetId="4" r:id="rId4"/>
    <sheet name="Z8 and E5 Comparison with 2022" sheetId="8" r:id="rId5"/>
    <sheet name="Z8 and E5 Vs 2022 and 5Y Plan" sheetId="7" r:id="rId6"/>
    <sheet name="Swapping to Z8 and E5" sheetId="6" r:id="rId7"/>
    <sheet name="Z5 and E5 Comparison with 2022" sheetId="11" r:id="rId8"/>
    <sheet name="Z5 and E5 Vs 2022 and 5Y Plan" sheetId="12" r:id="rId9"/>
    <sheet name="Swapping to Z5 and E5" sheetId="10" r:id="rId10"/>
    <sheet name="Z5 and E3 Comparison with 2022" sheetId="15" r:id="rId11"/>
    <sheet name="Z5 and E3 Vs 2022 and 5Y Plan" sheetId="14" r:id="rId12"/>
    <sheet name="Swapping to Z5 and E3" sheetId="13" r:id="rId13"/>
    <sheet name="Euro_Truck_SalesTransactions_w" sheetId="3" r:id="rId14"/>
    <sheet name="Euro_Truck_SalesTransactions" sheetId="1" r:id="rId15"/>
    <sheet name="Product Mapping" sheetId="2" r:id="rId16"/>
  </sheets>
  <definedNames>
    <definedName name="_xlnm._FilterDatabase" localSheetId="12" hidden="1">'Swapping to Z5 and E3'!$F$2:$L$24</definedName>
    <definedName name="_xlnm._FilterDatabase" localSheetId="9" hidden="1">'Swapping to Z5 and E5'!$F$2:$L$24</definedName>
    <definedName name="_xlnm._FilterDatabase" localSheetId="3" hidden="1">'Swapping to Z8 and E3'!$F$2:$L$24</definedName>
    <definedName name="_xlnm._FilterDatabase" localSheetId="6" hidden="1">'Swapping to Z8 and E5'!$F$2:$L$24</definedName>
    <definedName name="_xlnm._FilterDatabase" localSheetId="10" hidden="1">'Z5 and E3 Comparison with 2022'!$A$1:$V$1</definedName>
    <definedName name="_xlnm._FilterDatabase" localSheetId="11" hidden="1">'Z5 and E3 Vs 2022 and 5Y Plan'!$A$1:$V$1</definedName>
    <definedName name="_xlnm._FilterDatabase" localSheetId="7" hidden="1">'Z5 and E5 Comparison with 2022'!$A$1:$V$1</definedName>
    <definedName name="_xlnm._FilterDatabase" localSheetId="8" hidden="1">'Z5 and E5 Vs 2022 and 5Y Plan'!$A$1:$V$1</definedName>
    <definedName name="_xlnm._FilterDatabase" localSheetId="1" hidden="1">'Z8 and E3 Comparison with 2022'!$A$1:$V$1</definedName>
    <definedName name="_xlnm._FilterDatabase" localSheetId="2" hidden="1">'Z8 and E3 Vs 2022 and 5Y Plan'!#REF!</definedName>
    <definedName name="_xlnm._FilterDatabase" localSheetId="4" hidden="1">'Z8 and E5 Comparison with 2022'!$A$1:$U$1</definedName>
    <definedName name="_xlnm._FilterDatabase" localSheetId="5" hidden="1">'Z8 and E5 Vs 2022 and 5Y Plan'!$A$1:$U$1</definedName>
  </definedNames>
  <calcPr calcId="191028"/>
  <pivotCaches>
    <pivotCache cacheId="0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5" l="1"/>
  <c r="Q9" i="5" s="1"/>
  <c r="Q4" i="5"/>
  <c r="Q5" i="5"/>
  <c r="Q6" i="5"/>
  <c r="Q7" i="5"/>
  <c r="Q8" i="5"/>
  <c r="Q2" i="5"/>
  <c r="P3" i="15"/>
  <c r="P4" i="15"/>
  <c r="P5" i="15"/>
  <c r="P6" i="15"/>
  <c r="P7" i="15"/>
  <c r="P8" i="15"/>
  <c r="P2" i="15"/>
  <c r="V2" i="15" s="1"/>
  <c r="P3" i="14"/>
  <c r="P4" i="14"/>
  <c r="P5" i="14"/>
  <c r="P6" i="14"/>
  <c r="P7" i="14"/>
  <c r="P8" i="14"/>
  <c r="P2" i="14"/>
  <c r="V2" i="12"/>
  <c r="F17" i="12"/>
  <c r="Q8" i="15"/>
  <c r="S8" i="15" s="1"/>
  <c r="O8" i="15"/>
  <c r="T8" i="15" s="1"/>
  <c r="N8" i="15"/>
  <c r="Q7" i="15"/>
  <c r="S7" i="15" s="1"/>
  <c r="O7" i="15"/>
  <c r="T7" i="15" s="1"/>
  <c r="N7" i="15"/>
  <c r="Q6" i="15"/>
  <c r="S6" i="15" s="1"/>
  <c r="O6" i="15"/>
  <c r="T6" i="15" s="1"/>
  <c r="N6" i="15"/>
  <c r="Q5" i="15"/>
  <c r="R5" i="15" s="1"/>
  <c r="O5" i="15"/>
  <c r="V5" i="15" s="1"/>
  <c r="N5" i="15"/>
  <c r="Q4" i="15"/>
  <c r="S4" i="15" s="1"/>
  <c r="O4" i="15"/>
  <c r="T4" i="15" s="1"/>
  <c r="N4" i="15"/>
  <c r="Q3" i="15"/>
  <c r="S3" i="15" s="1"/>
  <c r="O3" i="15"/>
  <c r="N3" i="15"/>
  <c r="Q2" i="15"/>
  <c r="O2" i="15"/>
  <c r="T2" i="15" s="1"/>
  <c r="N2" i="15"/>
  <c r="T3" i="14"/>
  <c r="T4" i="14"/>
  <c r="T5" i="14"/>
  <c r="T6" i="14"/>
  <c r="T7" i="14"/>
  <c r="T8" i="14"/>
  <c r="T2" i="14"/>
  <c r="B20" i="14"/>
  <c r="L7" i="13"/>
  <c r="L10" i="13"/>
  <c r="L13" i="13"/>
  <c r="L16" i="13"/>
  <c r="L19" i="13"/>
  <c r="L22" i="13"/>
  <c r="L4" i="13"/>
  <c r="K7" i="13"/>
  <c r="K10" i="13"/>
  <c r="K13" i="13"/>
  <c r="K16" i="13"/>
  <c r="K19" i="13"/>
  <c r="K22" i="13"/>
  <c r="K4" i="13"/>
  <c r="I25" i="14"/>
  <c r="F23" i="14"/>
  <c r="E23" i="14"/>
  <c r="D23" i="14"/>
  <c r="C23" i="14"/>
  <c r="B23" i="14"/>
  <c r="F22" i="14"/>
  <c r="E22" i="14"/>
  <c r="D22" i="14"/>
  <c r="C22" i="14"/>
  <c r="B22" i="14"/>
  <c r="O9" i="14"/>
  <c r="N9" i="14"/>
  <c r="Q8" i="14"/>
  <c r="S8" i="14" s="1"/>
  <c r="O8" i="14"/>
  <c r="N8" i="14"/>
  <c r="Q7" i="14"/>
  <c r="S7" i="14" s="1"/>
  <c r="O7" i="14"/>
  <c r="N7" i="14"/>
  <c r="Q6" i="14"/>
  <c r="S6" i="14" s="1"/>
  <c r="U6" i="14" s="1"/>
  <c r="O6" i="14"/>
  <c r="N6" i="14"/>
  <c r="Q5" i="14"/>
  <c r="O5" i="14"/>
  <c r="N5" i="14"/>
  <c r="S4" i="14"/>
  <c r="U4" i="14" s="1"/>
  <c r="Q4" i="14"/>
  <c r="R4" i="14" s="1"/>
  <c r="O4" i="14"/>
  <c r="N4" i="14"/>
  <c r="Q3" i="14"/>
  <c r="S3" i="14" s="1"/>
  <c r="O3" i="14"/>
  <c r="N3" i="14"/>
  <c r="Q2" i="14"/>
  <c r="S2" i="14" s="1"/>
  <c r="O2" i="14"/>
  <c r="B19" i="14" s="1"/>
  <c r="B25" i="14" s="1"/>
  <c r="N2" i="14"/>
  <c r="I25" i="12"/>
  <c r="F23" i="12"/>
  <c r="E23" i="12"/>
  <c r="D23" i="12"/>
  <c r="C23" i="12"/>
  <c r="B23" i="12"/>
  <c r="F22" i="12"/>
  <c r="E22" i="12"/>
  <c r="D22" i="12"/>
  <c r="C22" i="12"/>
  <c r="B22" i="12"/>
  <c r="B19" i="12"/>
  <c r="B25" i="12" s="1"/>
  <c r="N9" i="12"/>
  <c r="Q8" i="12"/>
  <c r="S8" i="12" s="1"/>
  <c r="O8" i="12"/>
  <c r="T8" i="12" s="1"/>
  <c r="N8" i="12"/>
  <c r="Q7" i="12"/>
  <c r="R7" i="12" s="1"/>
  <c r="P7" i="12"/>
  <c r="O7" i="12"/>
  <c r="T7" i="12" s="1"/>
  <c r="N7" i="12"/>
  <c r="Q6" i="12"/>
  <c r="S6" i="12" s="1"/>
  <c r="U6" i="12" s="1"/>
  <c r="O6" i="12"/>
  <c r="T6" i="12" s="1"/>
  <c r="N6" i="12"/>
  <c r="Q5" i="12"/>
  <c r="O5" i="12"/>
  <c r="T5" i="12" s="1"/>
  <c r="N5" i="12"/>
  <c r="T4" i="12"/>
  <c r="S4" i="12"/>
  <c r="U4" i="12" s="1"/>
  <c r="Q4" i="12"/>
  <c r="R4" i="12" s="1"/>
  <c r="O4" i="12"/>
  <c r="P4" i="12" s="1"/>
  <c r="V4" i="12" s="1"/>
  <c r="N4" i="12"/>
  <c r="Q3" i="12"/>
  <c r="S3" i="12" s="1"/>
  <c r="O3" i="12"/>
  <c r="N3" i="12"/>
  <c r="T2" i="12"/>
  <c r="B20" i="12" s="1"/>
  <c r="S2" i="12"/>
  <c r="U2" i="12" s="1"/>
  <c r="R2" i="12"/>
  <c r="Q2" i="12"/>
  <c r="O2" i="12"/>
  <c r="P2" i="12" s="1"/>
  <c r="N2" i="12"/>
  <c r="U9" i="7"/>
  <c r="M24" i="10"/>
  <c r="S3" i="11"/>
  <c r="U3" i="11" s="1"/>
  <c r="S4" i="11"/>
  <c r="U4" i="11" s="1"/>
  <c r="S5" i="11"/>
  <c r="U5" i="11" s="1"/>
  <c r="S6" i="11"/>
  <c r="U6" i="11" s="1"/>
  <c r="S7" i="11"/>
  <c r="U7" i="11" s="1"/>
  <c r="S8" i="11"/>
  <c r="U8" i="11" s="1"/>
  <c r="S2" i="11"/>
  <c r="R3" i="11"/>
  <c r="R4" i="11"/>
  <c r="R5" i="11"/>
  <c r="R6" i="11"/>
  <c r="Q3" i="11"/>
  <c r="Q4" i="11"/>
  <c r="Q5" i="11"/>
  <c r="Q6" i="11"/>
  <c r="Q7" i="11"/>
  <c r="R7" i="11" s="1"/>
  <c r="Q8" i="11"/>
  <c r="R8" i="11" s="1"/>
  <c r="Q2" i="11"/>
  <c r="R2" i="11" s="1"/>
  <c r="O3" i="11"/>
  <c r="T3" i="11" s="1"/>
  <c r="O4" i="11"/>
  <c r="O5" i="11"/>
  <c r="T5" i="11" s="1"/>
  <c r="O6" i="11"/>
  <c r="T6" i="11" s="1"/>
  <c r="O7" i="11"/>
  <c r="T7" i="11" s="1"/>
  <c r="O8" i="11"/>
  <c r="T8" i="11" s="1"/>
  <c r="T2" i="8"/>
  <c r="S8" i="8"/>
  <c r="T8" i="8" s="1"/>
  <c r="P8" i="8"/>
  <c r="U8" i="8" s="1"/>
  <c r="N8" i="8"/>
  <c r="S7" i="8"/>
  <c r="T7" i="8" s="1"/>
  <c r="P7" i="8"/>
  <c r="U7" i="8" s="1"/>
  <c r="N7" i="8"/>
  <c r="S6" i="8"/>
  <c r="T6" i="8" s="1"/>
  <c r="P6" i="8"/>
  <c r="U6" i="8" s="1"/>
  <c r="N6" i="8"/>
  <c r="S5" i="8"/>
  <c r="T5" i="8" s="1"/>
  <c r="P5" i="8"/>
  <c r="U5" i="8" s="1"/>
  <c r="N5" i="8"/>
  <c r="S4" i="8"/>
  <c r="T4" i="8" s="1"/>
  <c r="P4" i="8"/>
  <c r="U4" i="8" s="1"/>
  <c r="N4" i="8"/>
  <c r="S3" i="8"/>
  <c r="T3" i="8" s="1"/>
  <c r="P3" i="8"/>
  <c r="U3" i="8" s="1"/>
  <c r="N3" i="8"/>
  <c r="S2" i="8"/>
  <c r="P2" i="8"/>
  <c r="U2" i="8" s="1"/>
  <c r="N2" i="8"/>
  <c r="U2" i="7"/>
  <c r="T9" i="7"/>
  <c r="T3" i="7"/>
  <c r="T4" i="7"/>
  <c r="T5" i="7"/>
  <c r="T6" i="7"/>
  <c r="T7" i="7"/>
  <c r="T8" i="7"/>
  <c r="T2" i="7"/>
  <c r="O2" i="11"/>
  <c r="P2" i="11" s="1"/>
  <c r="V2" i="11" s="1"/>
  <c r="N8" i="11"/>
  <c r="N7" i="11"/>
  <c r="N6" i="11"/>
  <c r="N5" i="11"/>
  <c r="T4" i="11"/>
  <c r="P4" i="11"/>
  <c r="V4" i="11" s="1"/>
  <c r="N4" i="11"/>
  <c r="N3" i="11"/>
  <c r="N2" i="11"/>
  <c r="P2" i="7"/>
  <c r="S2" i="7"/>
  <c r="J22" i="10"/>
  <c r="J19" i="10"/>
  <c r="J16" i="10"/>
  <c r="J13" i="10"/>
  <c r="J10" i="10"/>
  <c r="J7" i="10"/>
  <c r="J4" i="10"/>
  <c r="J4" i="13"/>
  <c r="G20" i="13"/>
  <c r="F20" i="13"/>
  <c r="G14" i="13"/>
  <c r="F14" i="13"/>
  <c r="J19" i="13"/>
  <c r="G8" i="13"/>
  <c r="F8" i="13"/>
  <c r="J13" i="13"/>
  <c r="J7" i="13"/>
  <c r="G23" i="13"/>
  <c r="F23" i="13"/>
  <c r="G17" i="13"/>
  <c r="F17" i="13"/>
  <c r="J22" i="13"/>
  <c r="G11" i="13"/>
  <c r="F11" i="13"/>
  <c r="J16" i="13"/>
  <c r="G5" i="13"/>
  <c r="F5" i="13"/>
  <c r="J10" i="13"/>
  <c r="V4" i="14" l="1"/>
  <c r="S5" i="15"/>
  <c r="T5" i="15"/>
  <c r="T3" i="15"/>
  <c r="U3" i="15" s="1"/>
  <c r="U6" i="15"/>
  <c r="U7" i="15"/>
  <c r="U8" i="15"/>
  <c r="U4" i="15"/>
  <c r="R3" i="15"/>
  <c r="V3" i="15" s="1"/>
  <c r="R8" i="15"/>
  <c r="R6" i="15"/>
  <c r="R4" i="15"/>
  <c r="R2" i="15"/>
  <c r="S2" i="15"/>
  <c r="R7" i="15"/>
  <c r="U7" i="14"/>
  <c r="B35" i="14"/>
  <c r="B36" i="14" s="1"/>
  <c r="B33" i="14"/>
  <c r="B34" i="14" s="1"/>
  <c r="U2" i="14"/>
  <c r="S9" i="14"/>
  <c r="R7" i="14"/>
  <c r="U8" i="14"/>
  <c r="Q9" i="14"/>
  <c r="S5" i="14"/>
  <c r="U5" i="14" s="1"/>
  <c r="R5" i="14"/>
  <c r="R2" i="14"/>
  <c r="V2" i="14"/>
  <c r="V7" i="14"/>
  <c r="D19" i="14"/>
  <c r="D25" i="14" s="1"/>
  <c r="U3" i="14"/>
  <c r="D20" i="14"/>
  <c r="R3" i="14"/>
  <c r="R8" i="14"/>
  <c r="R6" i="14"/>
  <c r="F24" i="13"/>
  <c r="G24" i="13"/>
  <c r="I5" i="13"/>
  <c r="H5" i="13"/>
  <c r="I11" i="13"/>
  <c r="H11" i="13"/>
  <c r="I17" i="13"/>
  <c r="H17" i="13"/>
  <c r="I23" i="13"/>
  <c r="H23" i="13"/>
  <c r="I8" i="13"/>
  <c r="H8" i="13"/>
  <c r="I14" i="13"/>
  <c r="H14" i="13"/>
  <c r="H20" i="13"/>
  <c r="I20" i="13"/>
  <c r="J24" i="13"/>
  <c r="U2" i="11"/>
  <c r="T2" i="11"/>
  <c r="B35" i="12"/>
  <c r="B36" i="12" s="1"/>
  <c r="B33" i="12"/>
  <c r="B34" i="12" s="1"/>
  <c r="T3" i="12"/>
  <c r="C20" i="12" s="1"/>
  <c r="P3" i="12"/>
  <c r="V7" i="12"/>
  <c r="S7" i="12"/>
  <c r="U7" i="12" s="1"/>
  <c r="U8" i="12"/>
  <c r="O9" i="12"/>
  <c r="Q9" i="12"/>
  <c r="P5" i="12"/>
  <c r="S5" i="12"/>
  <c r="U5" i="12" s="1"/>
  <c r="R5" i="12"/>
  <c r="R3" i="12"/>
  <c r="R9" i="12" s="1"/>
  <c r="P8" i="12"/>
  <c r="P6" i="12"/>
  <c r="R8" i="12"/>
  <c r="R6" i="12"/>
  <c r="P5" i="11"/>
  <c r="V5" i="11" s="1"/>
  <c r="P6" i="11"/>
  <c r="V6" i="11" s="1"/>
  <c r="P7" i="11"/>
  <c r="V7" i="11" s="1"/>
  <c r="P8" i="11"/>
  <c r="V8" i="11" s="1"/>
  <c r="P3" i="11"/>
  <c r="V3" i="11" s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5" i="10"/>
  <c r="V8" i="9"/>
  <c r="N8" i="9"/>
  <c r="V7" i="9"/>
  <c r="N7" i="9"/>
  <c r="V6" i="9"/>
  <c r="N6" i="9"/>
  <c r="V5" i="9"/>
  <c r="N5" i="9"/>
  <c r="V4" i="9"/>
  <c r="N4" i="9"/>
  <c r="V3" i="9"/>
  <c r="N3" i="9"/>
  <c r="V2" i="9"/>
  <c r="N2" i="9"/>
  <c r="C20" i="7"/>
  <c r="B20" i="7"/>
  <c r="B19" i="7"/>
  <c r="B25" i="7"/>
  <c r="S9" i="7"/>
  <c r="F20" i="7" s="1"/>
  <c r="F26" i="7" s="1"/>
  <c r="F28" i="7" s="1"/>
  <c r="F29" i="7" s="1"/>
  <c r="S3" i="7"/>
  <c r="S4" i="7"/>
  <c r="S5" i="7"/>
  <c r="S6" i="7"/>
  <c r="S7" i="7"/>
  <c r="S8" i="7"/>
  <c r="O9" i="7"/>
  <c r="P3" i="7"/>
  <c r="P4" i="7"/>
  <c r="P5" i="7"/>
  <c r="P6" i="7"/>
  <c r="P7" i="7"/>
  <c r="P8" i="7"/>
  <c r="D19" i="7"/>
  <c r="D25" i="7" s="1"/>
  <c r="I25" i="7"/>
  <c r="F23" i="7"/>
  <c r="E23" i="7"/>
  <c r="D23" i="7"/>
  <c r="C23" i="7"/>
  <c r="B23" i="7"/>
  <c r="F22" i="7"/>
  <c r="E22" i="7"/>
  <c r="D22" i="7"/>
  <c r="C22" i="7"/>
  <c r="B22" i="7"/>
  <c r="D20" i="7"/>
  <c r="D26" i="7" s="1"/>
  <c r="D28" i="7" s="1"/>
  <c r="D29" i="7" s="1"/>
  <c r="F17" i="7"/>
  <c r="E17" i="7"/>
  <c r="D17" i="7"/>
  <c r="C17" i="7"/>
  <c r="F16" i="7"/>
  <c r="E16" i="7"/>
  <c r="D16" i="7"/>
  <c r="C16" i="7"/>
  <c r="B16" i="7"/>
  <c r="F15" i="7"/>
  <c r="E15" i="7"/>
  <c r="D15" i="7"/>
  <c r="C15" i="7"/>
  <c r="B15" i="7"/>
  <c r="B17" i="7" s="1"/>
  <c r="N9" i="7"/>
  <c r="U8" i="7"/>
  <c r="N8" i="7"/>
  <c r="U7" i="7"/>
  <c r="N7" i="7"/>
  <c r="U6" i="7"/>
  <c r="N6" i="7"/>
  <c r="U5" i="7"/>
  <c r="N5" i="7"/>
  <c r="U4" i="7"/>
  <c r="N4" i="7"/>
  <c r="U3" i="7"/>
  <c r="N3" i="7"/>
  <c r="N2" i="7"/>
  <c r="F17" i="5"/>
  <c r="E17" i="5"/>
  <c r="D17" i="5"/>
  <c r="C17" i="5"/>
  <c r="B17" i="5"/>
  <c r="F21" i="5"/>
  <c r="E21" i="5"/>
  <c r="E27" i="5" s="1"/>
  <c r="D21" i="5"/>
  <c r="D27" i="5" s="1"/>
  <c r="C21" i="5"/>
  <c r="C27" i="5" s="1"/>
  <c r="B21" i="5"/>
  <c r="F20" i="5"/>
  <c r="E20" i="5"/>
  <c r="D20" i="5"/>
  <c r="C20" i="5"/>
  <c r="B20" i="5"/>
  <c r="B23" i="5"/>
  <c r="C23" i="5"/>
  <c r="D23" i="5"/>
  <c r="F23" i="5"/>
  <c r="E23" i="5"/>
  <c r="F24" i="5"/>
  <c r="E24" i="5"/>
  <c r="D24" i="5"/>
  <c r="C24" i="5"/>
  <c r="B24" i="5"/>
  <c r="O9" i="5"/>
  <c r="L7" i="6"/>
  <c r="L10" i="6"/>
  <c r="L13" i="6"/>
  <c r="L16" i="6"/>
  <c r="L19" i="6"/>
  <c r="L22" i="6"/>
  <c r="L4" i="6"/>
  <c r="K7" i="6"/>
  <c r="K10" i="6"/>
  <c r="K13" i="6"/>
  <c r="K16" i="6"/>
  <c r="K19" i="6"/>
  <c r="K22" i="6"/>
  <c r="K4" i="6"/>
  <c r="I26" i="5"/>
  <c r="C16" i="5"/>
  <c r="C18" i="5" s="1"/>
  <c r="D16" i="5"/>
  <c r="D18" i="5" s="1"/>
  <c r="E16" i="5"/>
  <c r="F16" i="5"/>
  <c r="B16" i="5"/>
  <c r="B18" i="5" s="1"/>
  <c r="E18" i="5"/>
  <c r="G23" i="10"/>
  <c r="G20" i="10"/>
  <c r="G17" i="10"/>
  <c r="G14" i="10"/>
  <c r="G11" i="10"/>
  <c r="G8" i="10"/>
  <c r="G5" i="10"/>
  <c r="F17" i="10"/>
  <c r="F23" i="10"/>
  <c r="F14" i="10"/>
  <c r="F8" i="10"/>
  <c r="F5" i="10"/>
  <c r="F20" i="10"/>
  <c r="F11" i="10"/>
  <c r="G17" i="6"/>
  <c r="F17" i="6"/>
  <c r="G8" i="6"/>
  <c r="F8" i="6"/>
  <c r="F23" i="6"/>
  <c r="F14" i="6"/>
  <c r="F5" i="6"/>
  <c r="J13" i="6"/>
  <c r="J4" i="6"/>
  <c r="F20" i="6"/>
  <c r="F11" i="6"/>
  <c r="J19" i="6"/>
  <c r="J10" i="6"/>
  <c r="J16" i="6"/>
  <c r="J7" i="6"/>
  <c r="G23" i="6"/>
  <c r="G14" i="6"/>
  <c r="G5" i="6"/>
  <c r="J22" i="6"/>
  <c r="G20" i="6"/>
  <c r="G11" i="6"/>
  <c r="B26" i="5" l="1"/>
  <c r="U5" i="15"/>
  <c r="V7" i="15"/>
  <c r="U2" i="15"/>
  <c r="V4" i="15"/>
  <c r="V6" i="15"/>
  <c r="V8" i="15"/>
  <c r="D33" i="14"/>
  <c r="D34" i="14" s="1"/>
  <c r="V3" i="14"/>
  <c r="C19" i="14"/>
  <c r="C25" i="14" s="1"/>
  <c r="P9" i="14"/>
  <c r="C20" i="14"/>
  <c r="T9" i="14"/>
  <c r="R9" i="14"/>
  <c r="V5" i="14"/>
  <c r="F16" i="14"/>
  <c r="E16" i="14"/>
  <c r="D16" i="14"/>
  <c r="D26" i="14" s="1"/>
  <c r="D28" i="14" s="1"/>
  <c r="D29" i="14" s="1"/>
  <c r="C16" i="14"/>
  <c r="B16" i="14"/>
  <c r="B26" i="14" s="1"/>
  <c r="B28" i="14" s="1"/>
  <c r="B29" i="14" s="1"/>
  <c r="U9" i="14"/>
  <c r="V6" i="14"/>
  <c r="V8" i="14"/>
  <c r="K24" i="13"/>
  <c r="L24" i="13"/>
  <c r="H24" i="13"/>
  <c r="I24" i="13"/>
  <c r="F15" i="12"/>
  <c r="E15" i="12"/>
  <c r="E17" i="12" s="1"/>
  <c r="D15" i="12"/>
  <c r="D17" i="12" s="1"/>
  <c r="C15" i="12"/>
  <c r="C17" i="12" s="1"/>
  <c r="B15" i="12"/>
  <c r="B17" i="12" s="1"/>
  <c r="B30" i="12" s="1"/>
  <c r="B31" i="12" s="1"/>
  <c r="B32" i="12" s="1"/>
  <c r="V3" i="12"/>
  <c r="C19" i="12"/>
  <c r="C25" i="12" s="1"/>
  <c r="D19" i="12"/>
  <c r="D25" i="12" s="1"/>
  <c r="P9" i="12"/>
  <c r="V6" i="12"/>
  <c r="V8" i="12"/>
  <c r="U3" i="12"/>
  <c r="U9" i="12" s="1"/>
  <c r="T9" i="12"/>
  <c r="S9" i="12"/>
  <c r="V5" i="12"/>
  <c r="D20" i="12"/>
  <c r="J24" i="10"/>
  <c r="L4" i="10"/>
  <c r="K4" i="10"/>
  <c r="L22" i="10"/>
  <c r="K22" i="10"/>
  <c r="F24" i="10"/>
  <c r="K13" i="10"/>
  <c r="L13" i="10"/>
  <c r="G24" i="10"/>
  <c r="L7" i="10"/>
  <c r="K7" i="10"/>
  <c r="L16" i="10"/>
  <c r="K16" i="10"/>
  <c r="K10" i="10"/>
  <c r="L10" i="10"/>
  <c r="L19" i="10"/>
  <c r="K19" i="10"/>
  <c r="E20" i="7"/>
  <c r="E26" i="7" s="1"/>
  <c r="E28" i="7" s="1"/>
  <c r="E29" i="7" s="1"/>
  <c r="B26" i="7"/>
  <c r="B28" i="7" s="1"/>
  <c r="B29" i="7" s="1"/>
  <c r="C26" i="7"/>
  <c r="C28" i="7" s="1"/>
  <c r="C29" i="7" s="1"/>
  <c r="C19" i="7"/>
  <c r="C25" i="7" s="1"/>
  <c r="P9" i="7"/>
  <c r="B33" i="7"/>
  <c r="B34" i="7" s="1"/>
  <c r="B35" i="7"/>
  <c r="B36" i="7" s="1"/>
  <c r="B30" i="7"/>
  <c r="B31" i="7" s="1"/>
  <c r="B32" i="7" s="1"/>
  <c r="C35" i="7"/>
  <c r="C36" i="7" s="1"/>
  <c r="C33" i="7"/>
  <c r="C34" i="7" s="1"/>
  <c r="C30" i="7"/>
  <c r="C31" i="7" s="1"/>
  <c r="C32" i="7" s="1"/>
  <c r="D35" i="7"/>
  <c r="D36" i="7" s="1"/>
  <c r="D30" i="7"/>
  <c r="D31" i="7" s="1"/>
  <c r="D32" i="7" s="1"/>
  <c r="D33" i="7"/>
  <c r="D34" i="7" s="1"/>
  <c r="H11" i="6"/>
  <c r="I11" i="6"/>
  <c r="I20" i="6"/>
  <c r="H20" i="6"/>
  <c r="I5" i="6"/>
  <c r="H5" i="6"/>
  <c r="G24" i="6"/>
  <c r="I14" i="6"/>
  <c r="H14" i="6"/>
  <c r="H23" i="6"/>
  <c r="I23" i="6"/>
  <c r="J24" i="6"/>
  <c r="F24" i="6"/>
  <c r="H8" i="6"/>
  <c r="I8" i="6"/>
  <c r="H17" i="6"/>
  <c r="I17" i="6"/>
  <c r="F18" i="5"/>
  <c r="F26" i="5" s="1"/>
  <c r="F31" i="5" s="1"/>
  <c r="E26" i="5"/>
  <c r="E31" i="5" s="1"/>
  <c r="C26" i="5"/>
  <c r="C31" i="5" s="1"/>
  <c r="D26" i="5"/>
  <c r="D31" i="5" s="1"/>
  <c r="D29" i="5"/>
  <c r="D30" i="5" s="1"/>
  <c r="E29" i="5"/>
  <c r="E30" i="5" s="1"/>
  <c r="F27" i="5"/>
  <c r="F29" i="5" s="1"/>
  <c r="F30" i="5" s="1"/>
  <c r="B27" i="5"/>
  <c r="B29" i="5" s="1"/>
  <c r="B30" i="5" s="1"/>
  <c r="C29" i="5"/>
  <c r="C30" i="5" s="1"/>
  <c r="B31" i="5" l="1"/>
  <c r="C26" i="14"/>
  <c r="C28" i="14" s="1"/>
  <c r="C29" i="14" s="1"/>
  <c r="F15" i="14"/>
  <c r="F17" i="14" s="1"/>
  <c r="E15" i="14"/>
  <c r="E17" i="14" s="1"/>
  <c r="D15" i="14"/>
  <c r="D17" i="14" s="1"/>
  <c r="D30" i="14" s="1"/>
  <c r="D31" i="14" s="1"/>
  <c r="D32" i="14" s="1"/>
  <c r="C15" i="14"/>
  <c r="C17" i="14" s="1"/>
  <c r="B15" i="14"/>
  <c r="B17" i="14" s="1"/>
  <c r="B30" i="14" s="1"/>
  <c r="B31" i="14" s="1"/>
  <c r="B32" i="14" s="1"/>
  <c r="F20" i="14"/>
  <c r="F26" i="14" s="1"/>
  <c r="F28" i="14" s="1"/>
  <c r="F29" i="14" s="1"/>
  <c r="E20" i="14"/>
  <c r="E26" i="14" s="1"/>
  <c r="E28" i="14" s="1"/>
  <c r="E29" i="14" s="1"/>
  <c r="F19" i="14"/>
  <c r="F25" i="14" s="1"/>
  <c r="V9" i="14"/>
  <c r="E19" i="14"/>
  <c r="E25" i="14" s="1"/>
  <c r="C35" i="14"/>
  <c r="C36" i="14" s="1"/>
  <c r="C33" i="14"/>
  <c r="C34" i="14" s="1"/>
  <c r="C30" i="14"/>
  <c r="C31" i="14" s="1"/>
  <c r="C32" i="14" s="1"/>
  <c r="D35" i="14"/>
  <c r="D36" i="14" s="1"/>
  <c r="M24" i="13"/>
  <c r="D35" i="12"/>
  <c r="D36" i="12" s="1"/>
  <c r="D30" i="12"/>
  <c r="D31" i="12" s="1"/>
  <c r="D32" i="12" s="1"/>
  <c r="D33" i="12"/>
  <c r="D34" i="12" s="1"/>
  <c r="C35" i="12"/>
  <c r="C36" i="12" s="1"/>
  <c r="C33" i="12"/>
  <c r="C34" i="12" s="1"/>
  <c r="C30" i="12"/>
  <c r="C31" i="12" s="1"/>
  <c r="C32" i="12" s="1"/>
  <c r="F16" i="12"/>
  <c r="F26" i="12" s="1"/>
  <c r="F28" i="12" s="1"/>
  <c r="F29" i="12" s="1"/>
  <c r="E16" i="12"/>
  <c r="E26" i="12" s="1"/>
  <c r="E28" i="12" s="1"/>
  <c r="E29" i="12" s="1"/>
  <c r="D16" i="12"/>
  <c r="D26" i="12" s="1"/>
  <c r="D28" i="12" s="1"/>
  <c r="D29" i="12" s="1"/>
  <c r="C16" i="12"/>
  <c r="C26" i="12" s="1"/>
  <c r="C28" i="12" s="1"/>
  <c r="C29" i="12" s="1"/>
  <c r="B16" i="12"/>
  <c r="B26" i="12" s="1"/>
  <c r="B28" i="12" s="1"/>
  <c r="B29" i="12" s="1"/>
  <c r="F20" i="12"/>
  <c r="E20" i="12"/>
  <c r="F19" i="12"/>
  <c r="F25" i="12" s="1"/>
  <c r="V9" i="12"/>
  <c r="E19" i="12"/>
  <c r="E25" i="12" s="1"/>
  <c r="K24" i="10"/>
  <c r="I24" i="10"/>
  <c r="H24" i="10"/>
  <c r="L24" i="10"/>
  <c r="E19" i="7"/>
  <c r="E25" i="7" s="1"/>
  <c r="F19" i="7"/>
  <c r="F25" i="7" s="1"/>
  <c r="H24" i="6"/>
  <c r="I24" i="6"/>
  <c r="K24" i="6"/>
  <c r="L24" i="6"/>
  <c r="F36" i="5"/>
  <c r="F37" i="5" s="1"/>
  <c r="E36" i="5"/>
  <c r="E37" i="5" s="1"/>
  <c r="C36" i="5"/>
  <c r="C37" i="5" s="1"/>
  <c r="D36" i="5"/>
  <c r="D37" i="5" s="1"/>
  <c r="E35" i="14" l="1"/>
  <c r="E36" i="14" s="1"/>
  <c r="E30" i="14"/>
  <c r="E31" i="14" s="1"/>
  <c r="E32" i="14" s="1"/>
  <c r="E33" i="14"/>
  <c r="E34" i="14" s="1"/>
  <c r="F35" i="14"/>
  <c r="F36" i="14" s="1"/>
  <c r="F30" i="14"/>
  <c r="F31" i="14" s="1"/>
  <c r="F32" i="14" s="1"/>
  <c r="F33" i="14"/>
  <c r="F34" i="14" s="1"/>
  <c r="E35" i="12"/>
  <c r="E36" i="12" s="1"/>
  <c r="E30" i="12"/>
  <c r="E31" i="12" s="1"/>
  <c r="E32" i="12" s="1"/>
  <c r="E33" i="12"/>
  <c r="E34" i="12" s="1"/>
  <c r="F35" i="12"/>
  <c r="F36" i="12" s="1"/>
  <c r="F30" i="12"/>
  <c r="F31" i="12" s="1"/>
  <c r="F32" i="12" s="1"/>
  <c r="F33" i="12"/>
  <c r="F34" i="12" s="1"/>
  <c r="F35" i="7"/>
  <c r="F36" i="7" s="1"/>
  <c r="F30" i="7"/>
  <c r="F31" i="7" s="1"/>
  <c r="F32" i="7" s="1"/>
  <c r="F33" i="7"/>
  <c r="F34" i="7" s="1"/>
  <c r="E35" i="7"/>
  <c r="E36" i="7" s="1"/>
  <c r="E30" i="7"/>
  <c r="E31" i="7" s="1"/>
  <c r="E32" i="7" s="1"/>
  <c r="E33" i="7"/>
  <c r="E34" i="7" s="1"/>
  <c r="V9" i="5"/>
  <c r="N9" i="5"/>
  <c r="B34" i="5" s="1"/>
  <c r="V7" i="5"/>
  <c r="N7" i="5"/>
  <c r="V6" i="5"/>
  <c r="N6" i="5"/>
  <c r="V8" i="5"/>
  <c r="N8" i="5"/>
  <c r="V5" i="5"/>
  <c r="N5" i="5"/>
  <c r="V3" i="5"/>
  <c r="N3" i="5"/>
  <c r="V2" i="5"/>
  <c r="N2" i="5"/>
  <c r="V4" i="5"/>
  <c r="N4" i="5"/>
  <c r="B35" i="5" l="1"/>
  <c r="B32" i="5"/>
  <c r="B33" i="5" s="1"/>
  <c r="B36" i="5"/>
  <c r="B37" i="5" s="1"/>
  <c r="F32" i="5"/>
  <c r="F33" i="5" s="1"/>
  <c r="F34" i="5"/>
  <c r="F35" i="5" s="1"/>
  <c r="D34" i="5"/>
  <c r="D35" i="5" s="1"/>
  <c r="E32" i="5"/>
  <c r="E33" i="5" s="1"/>
  <c r="E34" i="5"/>
  <c r="E35" i="5" s="1"/>
  <c r="C34" i="5"/>
  <c r="C35" i="5" s="1"/>
  <c r="C32" i="5"/>
  <c r="C33" i="5" s="1"/>
  <c r="D32" i="5"/>
  <c r="D33" i="5" s="1"/>
  <c r="L7" i="4"/>
  <c r="L10" i="4"/>
  <c r="L13" i="4"/>
  <c r="L16" i="4"/>
  <c r="L19" i="4"/>
  <c r="L22" i="4"/>
  <c r="L4" i="4"/>
  <c r="I8" i="4"/>
  <c r="I11" i="4"/>
  <c r="I14" i="4"/>
  <c r="I17" i="4"/>
  <c r="I20" i="4"/>
  <c r="I23" i="4"/>
  <c r="I5" i="4"/>
  <c r="I24" i="4" s="1"/>
  <c r="J22" i="4"/>
  <c r="J19" i="4"/>
  <c r="J16" i="4"/>
  <c r="J13" i="4"/>
  <c r="J10" i="4"/>
  <c r="J7" i="4"/>
  <c r="J4" i="4"/>
  <c r="G5" i="4"/>
  <c r="G20" i="4"/>
  <c r="G23" i="4"/>
  <c r="G17" i="4"/>
  <c r="G14" i="4"/>
  <c r="G11" i="4"/>
  <c r="G8" i="4"/>
  <c r="F23" i="4"/>
  <c r="F20" i="4"/>
  <c r="F17" i="4"/>
  <c r="F14" i="4"/>
  <c r="F11" i="4"/>
  <c r="F8" i="4"/>
  <c r="F5" i="4"/>
  <c r="L24" i="4" l="1"/>
  <c r="H8" i="4"/>
  <c r="H11" i="4"/>
  <c r="H14" i="4"/>
  <c r="H17" i="4"/>
  <c r="H23" i="4"/>
  <c r="H20" i="4"/>
  <c r="H5" i="4"/>
  <c r="K4" i="4"/>
  <c r="K7" i="4"/>
  <c r="K10" i="4"/>
  <c r="K13" i="4"/>
  <c r="K16" i="4"/>
  <c r="K19" i="4"/>
  <c r="K22" i="4"/>
  <c r="J24" i="4"/>
  <c r="G24" i="4"/>
  <c r="K24" i="4" l="1"/>
  <c r="H24" i="4"/>
  <c r="F24" i="4"/>
  <c r="N2" i="3" l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M19" i="3" l="1" a="1"/>
  <c r="M19" i="3" s="1"/>
  <c r="M20" i="3" a="1"/>
  <c r="M20" i="3" s="1"/>
  <c r="M21" i="3" a="1"/>
  <c r="M21" i="3" s="1"/>
  <c r="M22" i="3" a="1"/>
  <c r="M22" i="3" s="1"/>
  <c r="M23" i="3" a="1"/>
  <c r="M23" i="3" s="1"/>
  <c r="M24" i="3" a="1"/>
  <c r="M24" i="3" s="1"/>
  <c r="M25" i="3" a="1"/>
  <c r="M25" i="3" s="1"/>
  <c r="M26" i="3" a="1"/>
  <c r="M26" i="3" s="1"/>
  <c r="M27" i="3" a="1"/>
  <c r="M27" i="3" s="1"/>
  <c r="M28" i="3" a="1"/>
  <c r="M28" i="3" s="1"/>
  <c r="M29" i="3" a="1"/>
  <c r="M29" i="3" s="1"/>
  <c r="M30" i="3" a="1"/>
  <c r="M30" i="3" s="1"/>
  <c r="M31" i="3" a="1"/>
  <c r="M31" i="3" s="1"/>
  <c r="M32" i="3" a="1"/>
  <c r="M32" i="3" s="1"/>
  <c r="M33" i="3" a="1"/>
  <c r="M33" i="3" s="1"/>
  <c r="M34" i="3" a="1"/>
  <c r="M34" i="3" s="1"/>
  <c r="M35" i="3" a="1"/>
  <c r="M35" i="3" s="1"/>
  <c r="M36" i="3" a="1"/>
  <c r="M36" i="3" s="1"/>
  <c r="M37" i="3" a="1"/>
  <c r="M37" i="3" s="1"/>
  <c r="M38" i="3" a="1"/>
  <c r="M38" i="3" s="1"/>
  <c r="M39" i="3" a="1"/>
  <c r="M39" i="3" s="1"/>
  <c r="M40" i="3" a="1"/>
  <c r="M40" i="3" s="1"/>
  <c r="M41" i="3" a="1"/>
  <c r="M41" i="3" s="1"/>
  <c r="M42" i="3" a="1"/>
  <c r="M42" i="3"/>
  <c r="M43" i="3" a="1"/>
  <c r="M43" i="3" s="1"/>
  <c r="M44" i="3" a="1"/>
  <c r="M44" i="3" s="1"/>
  <c r="M45" i="3" a="1"/>
  <c r="M45" i="3" s="1"/>
  <c r="M46" i="3" a="1"/>
  <c r="M46" i="3" s="1"/>
  <c r="M47" i="3" a="1"/>
  <c r="M47" i="3" s="1"/>
  <c r="M48" i="3" a="1"/>
  <c r="M48" i="3" s="1"/>
  <c r="M49" i="3" a="1"/>
  <c r="M49" i="3" s="1"/>
  <c r="M50" i="3" a="1"/>
  <c r="M50" i="3"/>
  <c r="M51" i="3" a="1"/>
  <c r="M51" i="3" s="1"/>
  <c r="M52" i="3" a="1"/>
  <c r="M52" i="3" s="1"/>
  <c r="M53" i="3" a="1"/>
  <c r="M53" i="3"/>
  <c r="M54" i="3" a="1"/>
  <c r="M54" i="3" s="1"/>
  <c r="M55" i="3" a="1"/>
  <c r="M55" i="3" s="1"/>
  <c r="M56" i="3" a="1"/>
  <c r="M56" i="3" s="1"/>
  <c r="M57" i="3" a="1"/>
  <c r="M57" i="3" s="1"/>
  <c r="M58" i="3" a="1"/>
  <c r="M58" i="3" s="1"/>
  <c r="M59" i="3" a="1"/>
  <c r="M59" i="3" s="1"/>
  <c r="M60" i="3" a="1"/>
  <c r="M60" i="3" s="1"/>
  <c r="M61" i="3" a="1"/>
  <c r="M61" i="3" s="1"/>
  <c r="M62" i="3" a="1"/>
  <c r="M62" i="3" s="1"/>
  <c r="M63" i="3" a="1"/>
  <c r="M63" i="3" s="1"/>
  <c r="M64" i="3" a="1"/>
  <c r="M64" i="3" s="1"/>
  <c r="M65" i="3" a="1"/>
  <c r="M65" i="3" s="1"/>
  <c r="M66" i="3" a="1"/>
  <c r="M66" i="3" s="1"/>
  <c r="M67" i="3" a="1"/>
  <c r="M67" i="3" s="1"/>
  <c r="M68" i="3" a="1"/>
  <c r="M68" i="3" s="1"/>
  <c r="M69" i="3" a="1"/>
  <c r="M69" i="3" s="1"/>
  <c r="M70" i="3" a="1"/>
  <c r="M70" i="3" s="1"/>
  <c r="M71" i="3" a="1"/>
  <c r="M71" i="3" s="1"/>
  <c r="M72" i="3" a="1"/>
  <c r="M72" i="3" s="1"/>
  <c r="M73" i="3" a="1"/>
  <c r="M73" i="3" s="1"/>
  <c r="M74" i="3" a="1"/>
  <c r="M74" i="3" s="1"/>
  <c r="M75" i="3" a="1"/>
  <c r="M75" i="3" s="1"/>
  <c r="M76" i="3" a="1"/>
  <c r="M76" i="3" s="1"/>
  <c r="M77" i="3" a="1"/>
  <c r="M77" i="3" s="1"/>
  <c r="M78" i="3" a="1"/>
  <c r="M78" i="3" s="1"/>
  <c r="M79" i="3" a="1"/>
  <c r="M79" i="3" s="1"/>
  <c r="M80" i="3" a="1"/>
  <c r="M80" i="3" s="1"/>
  <c r="M81" i="3" a="1"/>
  <c r="M81" i="3"/>
  <c r="M82" i="3" a="1"/>
  <c r="M82" i="3" s="1"/>
  <c r="M83" i="3" a="1"/>
  <c r="M83" i="3" s="1"/>
  <c r="M84" i="3" a="1"/>
  <c r="M84" i="3" s="1"/>
  <c r="M85" i="3" a="1"/>
  <c r="M85" i="3" s="1"/>
  <c r="M86" i="3" a="1"/>
  <c r="M86" i="3" s="1"/>
  <c r="M87" i="3" a="1"/>
  <c r="M87" i="3" s="1"/>
  <c r="M88" i="3" a="1"/>
  <c r="M88" i="3" s="1"/>
  <c r="M89" i="3" a="1"/>
  <c r="M89" i="3" s="1"/>
  <c r="M90" i="3" a="1"/>
  <c r="M90" i="3" s="1"/>
  <c r="M91" i="3" a="1"/>
  <c r="M91" i="3" s="1"/>
  <c r="M92" i="3" a="1"/>
  <c r="M92" i="3" s="1"/>
  <c r="M93" i="3" a="1"/>
  <c r="M93" i="3" s="1"/>
  <c r="M94" i="3" a="1"/>
  <c r="M94" i="3"/>
  <c r="M95" i="3" a="1"/>
  <c r="M95" i="3" s="1"/>
  <c r="M96" i="3" a="1"/>
  <c r="M96" i="3" s="1"/>
  <c r="M97" i="3" a="1"/>
  <c r="M97" i="3"/>
  <c r="M98" i="3" a="1"/>
  <c r="M98" i="3" s="1"/>
  <c r="M99" i="3" a="1"/>
  <c r="M99" i="3" s="1"/>
  <c r="M100" i="3" a="1"/>
  <c r="M100" i="3" s="1"/>
  <c r="M101" i="3" a="1"/>
  <c r="M101" i="3" s="1"/>
  <c r="M102" i="3" a="1"/>
  <c r="M102" i="3" s="1"/>
  <c r="M103" i="3" a="1"/>
  <c r="M103" i="3" s="1"/>
  <c r="M104" i="3" a="1"/>
  <c r="M104" i="3" s="1"/>
  <c r="M105" i="3" a="1"/>
  <c r="M105" i="3"/>
  <c r="M106" i="3" a="1"/>
  <c r="M106" i="3" s="1"/>
  <c r="M107" i="3" a="1"/>
  <c r="M107" i="3" s="1"/>
  <c r="M108" i="3" a="1"/>
  <c r="M108" i="3" s="1"/>
  <c r="M109" i="3" a="1"/>
  <c r="M109" i="3" s="1"/>
  <c r="M110" i="3" a="1"/>
  <c r="M110" i="3" s="1"/>
  <c r="M111" i="3" a="1"/>
  <c r="M111" i="3" s="1"/>
  <c r="M112" i="3" a="1"/>
  <c r="M112" i="3" s="1"/>
  <c r="M113" i="3" a="1"/>
  <c r="M113" i="3" s="1"/>
  <c r="M114" i="3" a="1"/>
  <c r="M114" i="3" s="1"/>
  <c r="M115" i="3" a="1"/>
  <c r="M115" i="3" s="1"/>
  <c r="M116" i="3" a="1"/>
  <c r="M116" i="3"/>
  <c r="M117" i="3" a="1"/>
  <c r="M117" i="3" s="1"/>
  <c r="M118" i="3" a="1"/>
  <c r="M118" i="3" s="1"/>
  <c r="M119" i="3" a="1"/>
  <c r="M119" i="3" s="1"/>
  <c r="M120" i="3" a="1"/>
  <c r="M120" i="3"/>
  <c r="M121" i="3" a="1"/>
  <c r="M121" i="3" s="1"/>
  <c r="M122" i="3" a="1"/>
  <c r="M122" i="3" s="1"/>
  <c r="M123" i="3" a="1"/>
  <c r="M123" i="3" s="1"/>
  <c r="M124" i="3" a="1"/>
  <c r="M124" i="3" s="1"/>
  <c r="M125" i="3" a="1"/>
  <c r="M125" i="3" s="1"/>
  <c r="M126" i="3" a="1"/>
  <c r="M126" i="3" s="1"/>
  <c r="M127" i="3" a="1"/>
  <c r="M127" i="3" s="1"/>
  <c r="M128" i="3" a="1"/>
  <c r="M128" i="3" s="1"/>
  <c r="M129" i="3" a="1"/>
  <c r="M129" i="3" s="1"/>
  <c r="M130" i="3" a="1"/>
  <c r="M130" i="3" s="1"/>
  <c r="M131" i="3" a="1"/>
  <c r="M131" i="3" s="1"/>
  <c r="M132" i="3" a="1"/>
  <c r="M132" i="3" s="1"/>
  <c r="M133" i="3" a="1"/>
  <c r="M133" i="3" s="1"/>
  <c r="M134" i="3" a="1"/>
  <c r="M134" i="3" s="1"/>
  <c r="M135" i="3" a="1"/>
  <c r="M135" i="3" s="1"/>
  <c r="M136" i="3" a="1"/>
  <c r="M136" i="3" s="1"/>
  <c r="M137" i="3" a="1"/>
  <c r="M137" i="3"/>
  <c r="M138" i="3" a="1"/>
  <c r="M138" i="3" s="1"/>
  <c r="M139" i="3" a="1"/>
  <c r="M139" i="3" s="1"/>
  <c r="M140" i="3" a="1"/>
  <c r="M140" i="3" s="1"/>
  <c r="M141" i="3" a="1"/>
  <c r="M141" i="3" s="1"/>
  <c r="M142" i="3" a="1"/>
  <c r="M142" i="3" s="1"/>
  <c r="M143" i="3" a="1"/>
  <c r="M143" i="3" s="1"/>
  <c r="M144" i="3" a="1"/>
  <c r="M144" i="3" s="1"/>
  <c r="M145" i="3" a="1"/>
  <c r="M145" i="3" s="1"/>
  <c r="M146" i="3" a="1"/>
  <c r="M146" i="3" s="1"/>
  <c r="M147" i="3" a="1"/>
  <c r="M147" i="3" s="1"/>
  <c r="M148" i="3" a="1"/>
  <c r="M148" i="3" s="1"/>
  <c r="M149" i="3" a="1"/>
  <c r="M149" i="3" s="1"/>
  <c r="M150" i="3" a="1"/>
  <c r="M150" i="3" s="1"/>
  <c r="M151" i="3" a="1"/>
  <c r="M151" i="3" s="1"/>
  <c r="M152" i="3" a="1"/>
  <c r="M152" i="3"/>
  <c r="M153" i="3" a="1"/>
  <c r="M153" i="3" s="1"/>
  <c r="M154" i="3" a="1"/>
  <c r="M154" i="3" s="1"/>
  <c r="M155" i="3" a="1"/>
  <c r="M155" i="3" s="1"/>
  <c r="L20" i="3" a="1"/>
  <c r="L20" i="3" s="1"/>
  <c r="L21" i="3" a="1"/>
  <c r="L21" i="3"/>
  <c r="L22" i="3" a="1"/>
  <c r="L22" i="3" s="1"/>
  <c r="L23" i="3" a="1"/>
  <c r="L23" i="3" s="1"/>
  <c r="L24" i="3" a="1"/>
  <c r="L24" i="3" s="1"/>
  <c r="L25" i="3" a="1"/>
  <c r="L25" i="3"/>
  <c r="L26" i="3" a="1"/>
  <c r="L26" i="3" s="1"/>
  <c r="L27" i="3" a="1"/>
  <c r="L27" i="3"/>
  <c r="L28" i="3" a="1"/>
  <c r="L28" i="3" s="1"/>
  <c r="L29" i="3" a="1"/>
  <c r="L29" i="3" s="1"/>
  <c r="L30" i="3" a="1"/>
  <c r="L30" i="3" s="1"/>
  <c r="L31" i="3" a="1"/>
  <c r="L31" i="3" s="1"/>
  <c r="L32" i="3" a="1"/>
  <c r="L32" i="3" s="1"/>
  <c r="L33" i="3" a="1"/>
  <c r="L33" i="3" s="1"/>
  <c r="L34" i="3" a="1"/>
  <c r="L34" i="3" s="1"/>
  <c r="L35" i="3" a="1"/>
  <c r="L35" i="3" s="1"/>
  <c r="L36" i="3" a="1"/>
  <c r="L36" i="3" s="1"/>
  <c r="L37" i="3" a="1"/>
  <c r="L37" i="3" s="1"/>
  <c r="L38" i="3" a="1"/>
  <c r="L38" i="3" s="1"/>
  <c r="L39" i="3" a="1"/>
  <c r="L39" i="3" s="1"/>
  <c r="L40" i="3" a="1"/>
  <c r="L40" i="3"/>
  <c r="L41" i="3" a="1"/>
  <c r="L41" i="3" s="1"/>
  <c r="L42" i="3" a="1"/>
  <c r="L42" i="3" s="1"/>
  <c r="L43" i="3" a="1"/>
  <c r="L43" i="3" s="1"/>
  <c r="L44" i="3" a="1"/>
  <c r="L44" i="3" s="1"/>
  <c r="L45" i="3" a="1"/>
  <c r="L45" i="3" s="1"/>
  <c r="L46" i="3" a="1"/>
  <c r="L46" i="3"/>
  <c r="L47" i="3" a="1"/>
  <c r="L47" i="3" s="1"/>
  <c r="L48" i="3" a="1"/>
  <c r="L48" i="3"/>
  <c r="L49" i="3" a="1"/>
  <c r="L49" i="3" s="1"/>
  <c r="L50" i="3" a="1"/>
  <c r="L50" i="3" s="1"/>
  <c r="L51" i="3" a="1"/>
  <c r="L51" i="3"/>
  <c r="L52" i="3" a="1"/>
  <c r="L52" i="3" s="1"/>
  <c r="L53" i="3" a="1"/>
  <c r="L53" i="3" s="1"/>
  <c r="L54" i="3" a="1"/>
  <c r="L54" i="3" s="1"/>
  <c r="L55" i="3" a="1"/>
  <c r="L55" i="3" s="1"/>
  <c r="L56" i="3" a="1"/>
  <c r="L56" i="3"/>
  <c r="L57" i="3" a="1"/>
  <c r="L57" i="3"/>
  <c r="L58" i="3" a="1"/>
  <c r="L58" i="3"/>
  <c r="L59" i="3" a="1"/>
  <c r="L59" i="3" s="1"/>
  <c r="L60" i="3" a="1"/>
  <c r="L60" i="3" s="1"/>
  <c r="L61" i="3" a="1"/>
  <c r="L61" i="3" s="1"/>
  <c r="L62" i="3" a="1"/>
  <c r="L62" i="3" s="1"/>
  <c r="L63" i="3" a="1"/>
  <c r="L63" i="3" s="1"/>
  <c r="L64" i="3" a="1"/>
  <c r="L64" i="3" s="1"/>
  <c r="L65" i="3" a="1"/>
  <c r="L65" i="3" s="1"/>
  <c r="L66" i="3" a="1"/>
  <c r="L66" i="3" s="1"/>
  <c r="L67" i="3" a="1"/>
  <c r="L67" i="3" s="1"/>
  <c r="L68" i="3" a="1"/>
  <c r="L68" i="3"/>
  <c r="L69" i="3" a="1"/>
  <c r="L69" i="3"/>
  <c r="L70" i="3" a="1"/>
  <c r="L70" i="3" s="1"/>
  <c r="L71" i="3" a="1"/>
  <c r="L71" i="3"/>
  <c r="L72" i="3" a="1"/>
  <c r="L72" i="3" s="1"/>
  <c r="L73" i="3" a="1"/>
  <c r="L73" i="3" s="1"/>
  <c r="L74" i="3" a="1"/>
  <c r="L74" i="3" s="1"/>
  <c r="L75" i="3" a="1"/>
  <c r="L75" i="3" s="1"/>
  <c r="L76" i="3" a="1"/>
  <c r="L76" i="3" s="1"/>
  <c r="L77" i="3" a="1"/>
  <c r="L77" i="3" s="1"/>
  <c r="L78" i="3" a="1"/>
  <c r="L78" i="3" s="1"/>
  <c r="L79" i="3" a="1"/>
  <c r="L79" i="3" s="1"/>
  <c r="L80" i="3" a="1"/>
  <c r="L80" i="3" s="1"/>
  <c r="L81" i="3" a="1"/>
  <c r="L81" i="3" s="1"/>
  <c r="L82" i="3" a="1"/>
  <c r="L82" i="3"/>
  <c r="L83" i="3" a="1"/>
  <c r="L83" i="3" s="1"/>
  <c r="L84" i="3" a="1"/>
  <c r="L84" i="3" s="1"/>
  <c r="L85" i="3" a="1"/>
  <c r="L85" i="3" s="1"/>
  <c r="L86" i="3" a="1"/>
  <c r="L86" i="3" s="1"/>
  <c r="L87" i="3" a="1"/>
  <c r="L87" i="3"/>
  <c r="L88" i="3" a="1"/>
  <c r="L88" i="3" s="1"/>
  <c r="L89" i="3" a="1"/>
  <c r="L89" i="3" s="1"/>
  <c r="L90" i="3" a="1"/>
  <c r="L90" i="3" s="1"/>
  <c r="L91" i="3" a="1"/>
  <c r="L91" i="3" s="1"/>
  <c r="L92" i="3" a="1"/>
  <c r="L92" i="3" s="1"/>
  <c r="L93" i="3" a="1"/>
  <c r="L93" i="3" s="1"/>
  <c r="L94" i="3" a="1"/>
  <c r="L94" i="3" s="1"/>
  <c r="L95" i="3" a="1"/>
  <c r="L95" i="3" s="1"/>
  <c r="L96" i="3" a="1"/>
  <c r="L96" i="3" s="1"/>
  <c r="L97" i="3" a="1"/>
  <c r="L97" i="3" s="1"/>
  <c r="L98" i="3" a="1"/>
  <c r="L98" i="3" s="1"/>
  <c r="L99" i="3" a="1"/>
  <c r="L99" i="3" s="1"/>
  <c r="L100" i="3" a="1"/>
  <c r="L100" i="3"/>
  <c r="L101" i="3" a="1"/>
  <c r="L101" i="3" s="1"/>
  <c r="L102" i="3" a="1"/>
  <c r="L102" i="3" s="1"/>
  <c r="L103" i="3" a="1"/>
  <c r="L103" i="3" s="1"/>
  <c r="L104" i="3" a="1"/>
  <c r="L104" i="3" s="1"/>
  <c r="L105" i="3" a="1"/>
  <c r="L105" i="3" s="1"/>
  <c r="L106" i="3" a="1"/>
  <c r="L106" i="3"/>
  <c r="L107" i="3" a="1"/>
  <c r="L107" i="3"/>
  <c r="L108" i="3" a="1"/>
  <c r="L108" i="3" s="1"/>
  <c r="L109" i="3" a="1"/>
  <c r="L109" i="3" s="1"/>
  <c r="L110" i="3" a="1"/>
  <c r="L110" i="3" s="1"/>
  <c r="L111" i="3" a="1"/>
  <c r="L111" i="3" s="1"/>
  <c r="L112" i="3" a="1"/>
  <c r="L112" i="3" s="1"/>
  <c r="L113" i="3" a="1"/>
  <c r="L113" i="3" s="1"/>
  <c r="L114" i="3" a="1"/>
  <c r="L114" i="3" s="1"/>
  <c r="L115" i="3" a="1"/>
  <c r="L115" i="3" s="1"/>
  <c r="L116" i="3" a="1"/>
  <c r="L116" i="3" s="1"/>
  <c r="L117" i="3" a="1"/>
  <c r="L117" i="3" s="1"/>
  <c r="L118" i="3" a="1"/>
  <c r="L118" i="3" s="1"/>
  <c r="L119" i="3" a="1"/>
  <c r="L119" i="3" s="1"/>
  <c r="L120" i="3" a="1"/>
  <c r="L120" i="3" s="1"/>
  <c r="L121" i="3" a="1"/>
  <c r="L121" i="3" s="1"/>
  <c r="L122" i="3" a="1"/>
  <c r="L122" i="3"/>
  <c r="L123" i="3" a="1"/>
  <c r="L123" i="3" s="1"/>
  <c r="L124" i="3" a="1"/>
  <c r="L124" i="3" s="1"/>
  <c r="L125" i="3" a="1"/>
  <c r="L125" i="3" s="1"/>
  <c r="L126" i="3" a="1"/>
  <c r="L126" i="3" s="1"/>
  <c r="L127" i="3" a="1"/>
  <c r="L127" i="3" s="1"/>
  <c r="L128" i="3" a="1"/>
  <c r="L128" i="3" s="1"/>
  <c r="L129" i="3" a="1"/>
  <c r="L129" i="3" s="1"/>
  <c r="L130" i="3" a="1"/>
  <c r="L130" i="3" s="1"/>
  <c r="L131" i="3" a="1"/>
  <c r="L131" i="3" s="1"/>
  <c r="L132" i="3" a="1"/>
  <c r="L132" i="3" s="1"/>
  <c r="L133" i="3" a="1"/>
  <c r="L133" i="3" s="1"/>
  <c r="L134" i="3" a="1"/>
  <c r="L134" i="3" s="1"/>
  <c r="L135" i="3" a="1"/>
  <c r="L135" i="3" s="1"/>
  <c r="L136" i="3" a="1"/>
  <c r="L136" i="3" s="1"/>
  <c r="L137" i="3" a="1"/>
  <c r="L137" i="3"/>
  <c r="L138" i="3" a="1"/>
  <c r="L138" i="3" s="1"/>
  <c r="L139" i="3" a="1"/>
  <c r="L139" i="3"/>
  <c r="L140" i="3" a="1"/>
  <c r="L140" i="3" s="1"/>
  <c r="L141" i="3" a="1"/>
  <c r="L141" i="3" s="1"/>
  <c r="L142" i="3" a="1"/>
  <c r="L142" i="3" s="1"/>
  <c r="L143" i="3" a="1"/>
  <c r="L143" i="3" s="1"/>
  <c r="L144" i="3" a="1"/>
  <c r="L144" i="3" s="1"/>
  <c r="L145" i="3" a="1"/>
  <c r="L145" i="3" s="1"/>
  <c r="L146" i="3" a="1"/>
  <c r="L146" i="3" s="1"/>
  <c r="L147" i="3" a="1"/>
  <c r="L147" i="3" s="1"/>
  <c r="L148" i="3" a="1"/>
  <c r="L148" i="3" s="1"/>
  <c r="L149" i="3" a="1"/>
  <c r="L149" i="3" s="1"/>
  <c r="L150" i="3" a="1"/>
  <c r="L150" i="3" s="1"/>
  <c r="L151" i="3" a="1"/>
  <c r="L151" i="3" s="1"/>
  <c r="L152" i="3" a="1"/>
  <c r="L152" i="3" s="1"/>
  <c r="L153" i="3" a="1"/>
  <c r="L153" i="3" s="1"/>
  <c r="L154" i="3" a="1"/>
  <c r="L154" i="3" s="1"/>
  <c r="L155" i="3" a="1"/>
  <c r="L155" i="3"/>
  <c r="L19" i="3" a="1"/>
  <c r="L19" i="3" s="1"/>
  <c r="L2" i="3" a="1"/>
  <c r="L2" i="3" s="1"/>
  <c r="L3" i="3" a="1"/>
  <c r="L3" i="3" s="1"/>
  <c r="L4" i="3" a="1"/>
  <c r="L4" i="3" s="1"/>
  <c r="L5" i="3" a="1"/>
  <c r="L5" i="3" s="1"/>
  <c r="L6" i="3" a="1"/>
  <c r="L6" i="3" s="1"/>
  <c r="L7" i="3" a="1"/>
  <c r="L7" i="3" s="1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M2" i="3" a="1"/>
  <c r="M2" i="3" s="1"/>
  <c r="M3" i="3" a="1"/>
  <c r="M3" i="3" s="1"/>
  <c r="M4" i="3" a="1"/>
  <c r="M4" i="3" s="1"/>
  <c r="M5" i="3" a="1"/>
  <c r="M5" i="3" s="1"/>
  <c r="M6" i="3" a="1"/>
  <c r="M6" i="3" s="1"/>
  <c r="M7" i="3" a="1"/>
  <c r="M7" i="3" s="1"/>
  <c r="M8" i="3" a="1"/>
  <c r="M8" i="3" s="1"/>
  <c r="M9" i="3" a="1"/>
  <c r="M9" i="3" s="1"/>
  <c r="M10" i="3" a="1"/>
  <c r="M10" i="3" s="1"/>
  <c r="M11" i="3" a="1"/>
  <c r="M11" i="3" s="1"/>
  <c r="M12" i="3" a="1"/>
  <c r="M12" i="3" s="1"/>
  <c r="M13" i="3" a="1"/>
  <c r="M13" i="3" s="1"/>
  <c r="M14" i="3" a="1"/>
  <c r="M14" i="3" s="1"/>
  <c r="M15" i="3" a="1"/>
  <c r="M15" i="3" s="1"/>
  <c r="M16" i="3" a="1"/>
  <c r="M16" i="3" s="1"/>
  <c r="M17" i="3" a="1"/>
  <c r="M17" i="3" s="1"/>
  <c r="M18" i="3" a="1"/>
  <c r="M18" i="3" s="1"/>
  <c r="K2" i="3" a="1"/>
  <c r="K2" i="3" s="1"/>
  <c r="K3" i="3" a="1"/>
  <c r="K3" i="3" s="1"/>
  <c r="K4" i="3" a="1"/>
  <c r="K4" i="3" s="1"/>
  <c r="K5" i="3" a="1"/>
  <c r="K5" i="3" s="1"/>
  <c r="K6" i="3" a="1"/>
  <c r="K6" i="3" s="1"/>
  <c r="K7" i="3" a="1"/>
  <c r="K7" i="3" s="1"/>
  <c r="K8" i="3" a="1"/>
  <c r="K8" i="3" s="1"/>
  <c r="K9" i="3" a="1"/>
  <c r="K9" i="3" s="1"/>
  <c r="K10" i="3" a="1"/>
  <c r="K10" i="3" s="1"/>
  <c r="K11" i="3" a="1"/>
  <c r="K11" i="3" s="1"/>
  <c r="K12" i="3" a="1"/>
  <c r="K12" i="3" s="1"/>
  <c r="K13" i="3" a="1"/>
  <c r="K13" i="3" s="1"/>
  <c r="K14" i="3" a="1"/>
  <c r="K14" i="3" s="1"/>
  <c r="K15" i="3" a="1"/>
  <c r="K15" i="3" s="1"/>
  <c r="K16" i="3" a="1"/>
  <c r="K16" i="3" s="1"/>
  <c r="K17" i="3" a="1"/>
  <c r="K17" i="3" s="1"/>
  <c r="K18" i="3" a="1"/>
  <c r="K18" i="3" s="1"/>
  <c r="K19" i="3" a="1"/>
  <c r="K19" i="3" s="1"/>
  <c r="K20" i="3" a="1"/>
  <c r="K20" i="3" s="1"/>
  <c r="K21" i="3" a="1"/>
  <c r="K21" i="3" s="1"/>
  <c r="K22" i="3" a="1"/>
  <c r="K22" i="3" s="1"/>
  <c r="K23" i="3" a="1"/>
  <c r="K23" i="3" s="1"/>
  <c r="K24" i="3" a="1"/>
  <c r="K24" i="3" s="1"/>
  <c r="K25" i="3" a="1"/>
  <c r="K25" i="3" s="1"/>
  <c r="K26" i="3" a="1"/>
  <c r="K26" i="3" s="1"/>
  <c r="K27" i="3" a="1"/>
  <c r="K27" i="3" s="1"/>
  <c r="K28" i="3" a="1"/>
  <c r="K28" i="3" s="1"/>
  <c r="K29" i="3" a="1"/>
  <c r="K29" i="3" s="1"/>
  <c r="K30" i="3" a="1"/>
  <c r="K30" i="3" s="1"/>
  <c r="K31" i="3" a="1"/>
  <c r="K31" i="3" s="1"/>
  <c r="K32" i="3" a="1"/>
  <c r="K32" i="3" s="1"/>
  <c r="K33" i="3" a="1"/>
  <c r="K33" i="3" s="1"/>
  <c r="K34" i="3" a="1"/>
  <c r="K34" i="3" s="1"/>
  <c r="K35" i="3" a="1"/>
  <c r="K35" i="3" s="1"/>
  <c r="K36" i="3" a="1"/>
  <c r="K36" i="3" s="1"/>
  <c r="K37" i="3" a="1"/>
  <c r="K37" i="3" s="1"/>
  <c r="K38" i="3" a="1"/>
  <c r="K38" i="3" s="1"/>
  <c r="K39" i="3" a="1"/>
  <c r="K39" i="3" s="1"/>
  <c r="K40" i="3" a="1"/>
  <c r="K40" i="3" s="1"/>
  <c r="K41" i="3" a="1"/>
  <c r="K41" i="3" s="1"/>
  <c r="K42" i="3" a="1"/>
  <c r="K42" i="3" s="1"/>
  <c r="K43" i="3" a="1"/>
  <c r="K43" i="3" s="1"/>
  <c r="K44" i="3" a="1"/>
  <c r="K44" i="3" s="1"/>
  <c r="K45" i="3" a="1"/>
  <c r="K45" i="3" s="1"/>
  <c r="K46" i="3" a="1"/>
  <c r="K46" i="3" s="1"/>
  <c r="K47" i="3" a="1"/>
  <c r="K47" i="3" s="1"/>
  <c r="K48" i="3" a="1"/>
  <c r="K48" i="3" s="1"/>
  <c r="K49" i="3" a="1"/>
  <c r="K49" i="3" s="1"/>
  <c r="K50" i="3" a="1"/>
  <c r="K50" i="3" s="1"/>
  <c r="K51" i="3" a="1"/>
  <c r="K51" i="3" s="1"/>
  <c r="K52" i="3" a="1"/>
  <c r="K52" i="3" s="1"/>
  <c r="K53" i="3" a="1"/>
  <c r="K53" i="3" s="1"/>
  <c r="K54" i="3" a="1"/>
  <c r="K54" i="3" s="1"/>
  <c r="K55" i="3" a="1"/>
  <c r="K55" i="3" s="1"/>
  <c r="K56" i="3" a="1"/>
  <c r="K56" i="3" s="1"/>
  <c r="K57" i="3" a="1"/>
  <c r="K57" i="3" s="1"/>
  <c r="K58" i="3" a="1"/>
  <c r="K58" i="3" s="1"/>
  <c r="K59" i="3" a="1"/>
  <c r="K59" i="3" s="1"/>
  <c r="K60" i="3" a="1"/>
  <c r="K60" i="3" s="1"/>
  <c r="K61" i="3" a="1"/>
  <c r="K61" i="3" s="1"/>
  <c r="K62" i="3" a="1"/>
  <c r="K62" i="3" s="1"/>
  <c r="K63" i="3" a="1"/>
  <c r="K63" i="3" s="1"/>
  <c r="K64" i="3" a="1"/>
  <c r="K64" i="3" s="1"/>
  <c r="K65" i="3" a="1"/>
  <c r="K65" i="3" s="1"/>
  <c r="K66" i="3" a="1"/>
  <c r="K66" i="3" s="1"/>
  <c r="K67" i="3" a="1"/>
  <c r="K67" i="3" s="1"/>
  <c r="K68" i="3" a="1"/>
  <c r="K68" i="3" s="1"/>
  <c r="K69" i="3" a="1"/>
  <c r="K69" i="3" s="1"/>
  <c r="K70" i="3" a="1"/>
  <c r="K70" i="3" s="1"/>
  <c r="K71" i="3" a="1"/>
  <c r="K71" i="3" s="1"/>
  <c r="K72" i="3" a="1"/>
  <c r="K72" i="3" s="1"/>
  <c r="K73" i="3" a="1"/>
  <c r="K73" i="3" s="1"/>
  <c r="K74" i="3" a="1"/>
  <c r="K74" i="3" s="1"/>
  <c r="K75" i="3" a="1"/>
  <c r="K75" i="3" s="1"/>
  <c r="K76" i="3" a="1"/>
  <c r="K76" i="3" s="1"/>
  <c r="K77" i="3" a="1"/>
  <c r="K77" i="3" s="1"/>
  <c r="K78" i="3" a="1"/>
  <c r="K78" i="3" s="1"/>
  <c r="K79" i="3" a="1"/>
  <c r="K79" i="3" s="1"/>
  <c r="K80" i="3" a="1"/>
  <c r="K80" i="3" s="1"/>
  <c r="K81" i="3" a="1"/>
  <c r="K81" i="3" s="1"/>
  <c r="K82" i="3" a="1"/>
  <c r="K82" i="3" s="1"/>
  <c r="K83" i="3" a="1"/>
  <c r="K83" i="3" s="1"/>
  <c r="K84" i="3" a="1"/>
  <c r="K84" i="3" s="1"/>
  <c r="K85" i="3" a="1"/>
  <c r="K85" i="3" s="1"/>
  <c r="K86" i="3" a="1"/>
  <c r="K86" i="3" s="1"/>
  <c r="K87" i="3" a="1"/>
  <c r="K87" i="3" s="1"/>
  <c r="K88" i="3" a="1"/>
  <c r="K88" i="3" s="1"/>
  <c r="K89" i="3" a="1"/>
  <c r="K89" i="3" s="1"/>
  <c r="K90" i="3" a="1"/>
  <c r="K90" i="3" s="1"/>
  <c r="K91" i="3" a="1"/>
  <c r="K91" i="3" s="1"/>
  <c r="K92" i="3" a="1"/>
  <c r="K92" i="3" s="1"/>
  <c r="K93" i="3" a="1"/>
  <c r="K93" i="3" s="1"/>
  <c r="K94" i="3" a="1"/>
  <c r="K94" i="3" s="1"/>
  <c r="K95" i="3" a="1"/>
  <c r="K95" i="3" s="1"/>
  <c r="K96" i="3" a="1"/>
  <c r="K96" i="3" s="1"/>
  <c r="K97" i="3" a="1"/>
  <c r="K97" i="3" s="1"/>
  <c r="K98" i="3" a="1"/>
  <c r="K98" i="3" s="1"/>
  <c r="K99" i="3" a="1"/>
  <c r="K99" i="3" s="1"/>
  <c r="K100" i="3" a="1"/>
  <c r="K100" i="3" s="1"/>
  <c r="K101" i="3" a="1"/>
  <c r="K101" i="3" s="1"/>
  <c r="K102" i="3" a="1"/>
  <c r="K102" i="3" s="1"/>
  <c r="K103" i="3" a="1"/>
  <c r="K103" i="3" s="1"/>
  <c r="K104" i="3" a="1"/>
  <c r="K104" i="3" s="1"/>
  <c r="K105" i="3" a="1"/>
  <c r="K105" i="3" s="1"/>
  <c r="K106" i="3" a="1"/>
  <c r="K106" i="3" s="1"/>
  <c r="K107" i="3" a="1"/>
  <c r="K107" i="3" s="1"/>
  <c r="K108" i="3" a="1"/>
  <c r="K108" i="3" s="1"/>
  <c r="K109" i="3" a="1"/>
  <c r="K109" i="3" s="1"/>
  <c r="K110" i="3" a="1"/>
  <c r="K110" i="3" s="1"/>
  <c r="K111" i="3" a="1"/>
  <c r="K111" i="3" s="1"/>
  <c r="K112" i="3" a="1"/>
  <c r="K112" i="3" s="1"/>
  <c r="K113" i="3" a="1"/>
  <c r="K113" i="3" s="1"/>
  <c r="K114" i="3" a="1"/>
  <c r="K114" i="3" s="1"/>
  <c r="K115" i="3" a="1"/>
  <c r="K115" i="3" s="1"/>
  <c r="K116" i="3" a="1"/>
  <c r="K116" i="3" s="1"/>
  <c r="K117" i="3" a="1"/>
  <c r="K117" i="3" s="1"/>
  <c r="K118" i="3" a="1"/>
  <c r="K118" i="3" s="1"/>
  <c r="K119" i="3" a="1"/>
  <c r="K119" i="3" s="1"/>
  <c r="K120" i="3" a="1"/>
  <c r="K120" i="3" s="1"/>
  <c r="K121" i="3" a="1"/>
  <c r="K121" i="3" s="1"/>
  <c r="K122" i="3" a="1"/>
  <c r="K122" i="3" s="1"/>
  <c r="K123" i="3" a="1"/>
  <c r="K123" i="3" s="1"/>
  <c r="K124" i="3" a="1"/>
  <c r="K124" i="3" s="1"/>
  <c r="K125" i="3" a="1"/>
  <c r="K125" i="3" s="1"/>
  <c r="K126" i="3" a="1"/>
  <c r="K126" i="3" s="1"/>
  <c r="K127" i="3" a="1"/>
  <c r="K127" i="3" s="1"/>
  <c r="K128" i="3" a="1"/>
  <c r="K128" i="3" s="1"/>
  <c r="K129" i="3" a="1"/>
  <c r="K129" i="3" s="1"/>
  <c r="K130" i="3" a="1"/>
  <c r="K130" i="3" s="1"/>
  <c r="K131" i="3" a="1"/>
  <c r="K131" i="3" s="1"/>
  <c r="K132" i="3" a="1"/>
  <c r="K132" i="3" s="1"/>
  <c r="K133" i="3" a="1"/>
  <c r="K133" i="3" s="1"/>
  <c r="K134" i="3" a="1"/>
  <c r="K134" i="3" s="1"/>
  <c r="K135" i="3" a="1"/>
  <c r="K135" i="3" s="1"/>
  <c r="K136" i="3" a="1"/>
  <c r="K136" i="3" s="1"/>
  <c r="K137" i="3" a="1"/>
  <c r="K137" i="3" s="1"/>
  <c r="K138" i="3" a="1"/>
  <c r="K138" i="3" s="1"/>
  <c r="K139" i="3" a="1"/>
  <c r="K139" i="3" s="1"/>
  <c r="K140" i="3" a="1"/>
  <c r="K140" i="3" s="1"/>
  <c r="K141" i="3" a="1"/>
  <c r="K141" i="3" s="1"/>
  <c r="K142" i="3" a="1"/>
  <c r="K142" i="3" s="1"/>
  <c r="K143" i="3" a="1"/>
  <c r="K143" i="3" s="1"/>
  <c r="K144" i="3" a="1"/>
  <c r="K144" i="3" s="1"/>
  <c r="K145" i="3" a="1"/>
  <c r="K145" i="3" s="1"/>
  <c r="K146" i="3" a="1"/>
  <c r="K146" i="3" s="1"/>
  <c r="K147" i="3" a="1"/>
  <c r="K147" i="3" s="1"/>
  <c r="K148" i="3" a="1"/>
  <c r="K148" i="3" s="1"/>
  <c r="K149" i="3" a="1"/>
  <c r="K149" i="3" s="1"/>
  <c r="K150" i="3" a="1"/>
  <c r="K150" i="3" s="1"/>
  <c r="K151" i="3" a="1"/>
  <c r="K151" i="3" s="1"/>
  <c r="K152" i="3" a="1"/>
  <c r="K152" i="3" s="1"/>
  <c r="K153" i="3" a="1"/>
  <c r="K153" i="3" s="1"/>
  <c r="K154" i="3" a="1"/>
  <c r="K154" i="3" s="1"/>
  <c r="K155" i="3" a="1"/>
  <c r="K15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<sst xmlns="http://schemas.openxmlformats.org/spreadsheetml/2006/main" count="2892" uniqueCount="193">
  <si>
    <t>Date (MMYY)</t>
  </si>
  <si>
    <t>Customer Parent</t>
  </si>
  <si>
    <t>Sold to Account</t>
  </si>
  <si>
    <t>Sold TO Code</t>
  </si>
  <si>
    <t>Country</t>
  </si>
  <si>
    <t>Product Category</t>
  </si>
  <si>
    <t>Prem/Conv</t>
  </si>
  <si>
    <t>Product Name</t>
  </si>
  <si>
    <t>Product Code</t>
  </si>
  <si>
    <t>Volume (L)</t>
  </si>
  <si>
    <t>Total Carbon Emissions</t>
  </si>
  <si>
    <t>11.01.22</t>
  </si>
  <si>
    <t>Euro Truck Group ltd</t>
  </si>
  <si>
    <t>Euro Truck ENG</t>
  </si>
  <si>
    <t>England</t>
  </si>
  <si>
    <t>Lubricants</t>
  </si>
  <si>
    <t>Conventional</t>
  </si>
  <si>
    <t xml:space="preserve">Romella X1 </t>
  </si>
  <si>
    <t xml:space="preserve">Diesel </t>
  </si>
  <si>
    <t>Diesel C3X</t>
  </si>
  <si>
    <t>Euro Truck SCOT</t>
  </si>
  <si>
    <t>Scotland</t>
  </si>
  <si>
    <t xml:space="preserve">Romella X2 </t>
  </si>
  <si>
    <t>Diesel C2</t>
  </si>
  <si>
    <t>Euro Truck FRA</t>
  </si>
  <si>
    <t>France</t>
  </si>
  <si>
    <t>Euro Truck IRE</t>
  </si>
  <si>
    <t>Ireland</t>
  </si>
  <si>
    <t>Euro Truck NOR</t>
  </si>
  <si>
    <t>Norway</t>
  </si>
  <si>
    <t>Euro Truck WAL</t>
  </si>
  <si>
    <t>Wales</t>
  </si>
  <si>
    <t>Euro Truck GER</t>
  </si>
  <si>
    <t>Germany</t>
  </si>
  <si>
    <t>01.02.22</t>
  </si>
  <si>
    <t>08.03.22</t>
  </si>
  <si>
    <t>17.04.22</t>
  </si>
  <si>
    <t>19.05.22</t>
  </si>
  <si>
    <t>02.07.22</t>
  </si>
  <si>
    <t>24.08.22</t>
  </si>
  <si>
    <t>27.09.22</t>
  </si>
  <si>
    <t>30.10.22</t>
  </si>
  <si>
    <t>14.11.22</t>
  </si>
  <si>
    <t>18.12-22</t>
  </si>
  <si>
    <t>18.12.22</t>
  </si>
  <si>
    <t>Price per Litre</t>
  </si>
  <si>
    <t>Margin per Litre</t>
  </si>
  <si>
    <t>CO2 KG per Litre</t>
  </si>
  <si>
    <t>Fuel Efficiency %*</t>
  </si>
  <si>
    <t>Oil Drainage Intervall** (km)</t>
  </si>
  <si>
    <t>Avg Litre of Lubricants per Oil Change</t>
  </si>
  <si>
    <t>3000 km</t>
  </si>
  <si>
    <t>3500 km</t>
  </si>
  <si>
    <t>Romella Z5</t>
  </si>
  <si>
    <t>Premium</t>
  </si>
  <si>
    <t>7500 km</t>
  </si>
  <si>
    <t>Romella Z8</t>
  </si>
  <si>
    <t>8000 km</t>
  </si>
  <si>
    <t>n/a</t>
  </si>
  <si>
    <t>BioDiesel E3</t>
  </si>
  <si>
    <t>BioDiesel</t>
  </si>
  <si>
    <t>BioDiesel E5</t>
  </si>
  <si>
    <t>* how much % of diesel/fuel is saved per 100 litre by using a premium product</t>
  </si>
  <si>
    <t>** how often the customer needs to change oil (every x km)</t>
  </si>
  <si>
    <t>Average Fuel Consumption and KM driven by Trucks per month</t>
  </si>
  <si>
    <t>Region</t>
  </si>
  <si>
    <t>Avg nr of Trucks per country</t>
  </si>
  <si>
    <t>Fuel Consumption per km (Ltr)</t>
  </si>
  <si>
    <t>Avg KM driven of fleet per month</t>
  </si>
  <si>
    <t>EU Average</t>
  </si>
  <si>
    <t>Sales Revenue</t>
  </si>
  <si>
    <t>Sales margin</t>
  </si>
  <si>
    <t>Euro Truck IrE</t>
  </si>
  <si>
    <t>Euro Truck GeR</t>
  </si>
  <si>
    <t>Euro Truck SCoT</t>
  </si>
  <si>
    <t>Euro Truck nOR</t>
  </si>
  <si>
    <t>Euro Truck fRA</t>
  </si>
  <si>
    <t>Row Labels</t>
  </si>
  <si>
    <t>Grand Total</t>
  </si>
  <si>
    <t>Sum of Volume (L)</t>
  </si>
  <si>
    <t>Km Travelled</t>
  </si>
  <si>
    <t>Sum of Km Travelled</t>
  </si>
  <si>
    <t>Lubricant Z8 Volume (L)</t>
  </si>
  <si>
    <t>Fuel E3 Volume (L)</t>
  </si>
  <si>
    <t>Sum of Total Carbon Emissions</t>
  </si>
  <si>
    <t>Sum of Sales Revenue</t>
  </si>
  <si>
    <t>E3 CO2 Emissions</t>
  </si>
  <si>
    <t>Z8 CO2 Emissions</t>
  </si>
  <si>
    <t>Z8 Cost</t>
  </si>
  <si>
    <t>E3 Cost</t>
  </si>
  <si>
    <t>Lubricant (X1, X2) 
used Volume (L)</t>
  </si>
  <si>
    <t xml:space="preserve">Country </t>
  </si>
  <si>
    <t xml:space="preserve"> Lubricant Type </t>
  </si>
  <si>
    <t xml:space="preserve"> Fuel Type </t>
  </si>
  <si>
    <t xml:space="preserve"> Km Travelled in 2022 </t>
  </si>
  <si>
    <t xml:space="preserve"> Fuel Volume (L) 2022 </t>
  </si>
  <si>
    <t xml:space="preserve"> Fuel Sales Revenue 2022 </t>
  </si>
  <si>
    <t xml:space="preserve"> Lubricant Vol Purchased 2022 </t>
  </si>
  <si>
    <t xml:space="preserve"> Lubricant Used Volume 2022 </t>
  </si>
  <si>
    <t xml:space="preserve">  Lubricant Sales Revenue 2022 </t>
  </si>
  <si>
    <t xml:space="preserve"> CO2 Emmision Lub </t>
  </si>
  <si>
    <t xml:space="preserve"> CO2 Emission Fuel </t>
  </si>
  <si>
    <t xml:space="preserve"> Total CO2 Emission </t>
  </si>
  <si>
    <t>Conv. Expenditure</t>
  </si>
  <si>
    <t xml:space="preserve">Fuel Sales Revenue (E3) </t>
  </si>
  <si>
    <t>Lubricant Sales Revenue
Based on Used Volume</t>
  </si>
  <si>
    <t>CO2 Emissions Z8</t>
  </si>
  <si>
    <t>CO2 Emissions E3</t>
  </si>
  <si>
    <t>Total CO2 Emissions</t>
  </si>
  <si>
    <t>Z8 &amp; E3 Expenditure</t>
  </si>
  <si>
    <t xml:space="preserve"> England </t>
  </si>
  <si>
    <t xml:space="preserve"> Romella X1 </t>
  </si>
  <si>
    <t xml:space="preserve"> Diesel C3X </t>
  </si>
  <si>
    <t xml:space="preserve"> France </t>
  </si>
  <si>
    <t xml:space="preserve"> Romella X2 </t>
  </si>
  <si>
    <t xml:space="preserve"> Germany </t>
  </si>
  <si>
    <t xml:space="preserve"> Diesel C2 </t>
  </si>
  <si>
    <t xml:space="preserve"> Ireland </t>
  </si>
  <si>
    <t xml:space="preserve"> Norway </t>
  </si>
  <si>
    <t xml:space="preserve"> Scotland </t>
  </si>
  <si>
    <t xml:space="preserve"> Wales </t>
  </si>
  <si>
    <t xml:space="preserve"> Grand Total </t>
  </si>
  <si>
    <t>Fuel Volume with Efficiency</t>
  </si>
  <si>
    <t>Year 1</t>
  </si>
  <si>
    <t>Year 2</t>
  </si>
  <si>
    <t>Year 3</t>
  </si>
  <si>
    <t>Year 4</t>
  </si>
  <si>
    <t>Year 5</t>
  </si>
  <si>
    <t>Germany to E3</t>
  </si>
  <si>
    <t>Ireland to E3</t>
  </si>
  <si>
    <t>Scotland to E3</t>
  </si>
  <si>
    <t>England to E3</t>
  </si>
  <si>
    <t>All Countries Z8 Cost</t>
  </si>
  <si>
    <t>Lub(Z8) CO2</t>
  </si>
  <si>
    <t>Excess Lubricant cost reduction from 2022
(£3,768,456)</t>
  </si>
  <si>
    <t>Fuel(E3) CO2</t>
  </si>
  <si>
    <t>Other countries Fuel Cost</t>
  </si>
  <si>
    <t>Fuel(C2 and C3X) CO2</t>
  </si>
  <si>
    <t>Total Cost</t>
  </si>
  <si>
    <t>Total CO2</t>
  </si>
  <si>
    <t>CO2 Reduction</t>
  </si>
  <si>
    <t>CO2 Reduction %</t>
  </si>
  <si>
    <t>Cost increase 
 Compared to previous year</t>
  </si>
  <si>
    <t>Cost increase % 
 Comapred to previous year</t>
  </si>
  <si>
    <t>Cost increase
 Compared to 2022</t>
  </si>
  <si>
    <t>Cost increase %
 Compared to 2022</t>
  </si>
  <si>
    <t>France to E3</t>
  </si>
  <si>
    <t xml:space="preserve"> Lubricant Sales Revenue 
Based on Used Volume 2022 </t>
  </si>
  <si>
    <t>5 Year Plan</t>
  </si>
  <si>
    <t>Ireland to Biodiesel E3</t>
  </si>
  <si>
    <t>Scotland to Biodiesel E3</t>
  </si>
  <si>
    <t>England to Biodiesel E3</t>
  </si>
  <si>
    <t>Excess Lubricant 
 cost reduction from 2022</t>
  </si>
  <si>
    <t>Total Cost excluding 
Excess Lubricant cost reduction</t>
  </si>
  <si>
    <t>Switch all countries to Romella Z8
 France to Biodiesel E3</t>
  </si>
  <si>
    <t>Germany to Biodiesel E3</t>
  </si>
  <si>
    <t>Fuel E5 Volume (L)</t>
  </si>
  <si>
    <t>E5 CO2 Emissions</t>
  </si>
  <si>
    <t>E5 Cost</t>
  </si>
  <si>
    <t xml:space="preserve">Fuel Sales Revenue (E5) </t>
  </si>
  <si>
    <t>CO2 Emissions E5</t>
  </si>
  <si>
    <t>Z8 &amp; E5 Expenditure</t>
  </si>
  <si>
    <t>Germany to E5</t>
  </si>
  <si>
    <t>France to E5</t>
  </si>
  <si>
    <t>England to E5</t>
  </si>
  <si>
    <t>Ireland to E5</t>
  </si>
  <si>
    <t>Scotland to E5</t>
  </si>
  <si>
    <t>Switch all countries to Romella Z8
 France to Biodiesel E5</t>
  </si>
  <si>
    <t>Germany to Biodiesel E5</t>
  </si>
  <si>
    <t>England to Biodiesel E5</t>
  </si>
  <si>
    <t>Ireland to Biodiesel E5</t>
  </si>
  <si>
    <t>Scotland to Biodiesel E5</t>
  </si>
  <si>
    <t>Lubricant Z5 Volume (L)</t>
  </si>
  <si>
    <t>Z5 CO2 Emissions</t>
  </si>
  <si>
    <t>Z5 Cost</t>
  </si>
  <si>
    <t>CO2 Emissions Z5</t>
  </si>
  <si>
    <t>Z5 &amp; E5 Expenditure</t>
  </si>
  <si>
    <t>Z5 Volume</t>
  </si>
  <si>
    <t>Z5 &amp; E5 CO2 Emissions</t>
  </si>
  <si>
    <t>Z8 &amp; E3 CO2 Emissions</t>
  </si>
  <si>
    <t>Z8 &amp; E5 CO2 Emissions</t>
  </si>
  <si>
    <t>Z5 &amp; E3 CO2 Emissions</t>
  </si>
  <si>
    <t>Z5 &amp; E3 Expenditure</t>
  </si>
  <si>
    <t>Fuel(E5) CO2</t>
  </si>
  <si>
    <t>All Countries Z5 Cost</t>
  </si>
  <si>
    <t>Switch all countries to Romella Z5
 France to Biodiesel E3</t>
  </si>
  <si>
    <t>Switch all countries to Romella Z5
 France to Biodiesel E5</t>
  </si>
  <si>
    <t>YEAR</t>
  </si>
  <si>
    <t>CO2 (Kg) Emissions</t>
  </si>
  <si>
    <t>Cost increase %</t>
  </si>
  <si>
    <t>Cost</t>
  </si>
  <si>
    <t>N/A</t>
  </si>
  <si>
    <t>Lubricant Z8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</si>
</sst>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£&quot;#,##0.00;[Red]\-&quot;£&quot;#,##0.00"/>
    <numFmt numFmtId="43" formatCode="_-* #,##0.00_-;\-* #,##0.00_-;_-* &quot;-&quot;??_-;_-@_-"/>
    <numFmt numFmtId="164" formatCode="_-[$£-809]* #,##0.00_-;\-[$£-809]* #,##0.00_-;_-[$£-809]* &quot;-&quot;??_-;_-@_-"/>
    <numFmt numFmtId="165" formatCode="&quot;£&quot;#,##0"/>
    <numFmt numFmtId="166" formatCode="&quot;£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111111"/>
      <name val="Roboto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rgb="FFD9E1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3" borderId="1" xfId="0" applyFill="1" applyBorder="1"/>
    <xf numFmtId="0" fontId="0" fillId="0" borderId="1" xfId="0" applyBorder="1"/>
    <xf numFmtId="43" fontId="0" fillId="0" borderId="0" xfId="1" applyFont="1"/>
    <xf numFmtId="0" fontId="2" fillId="2" borderId="2" xfId="0" applyFont="1" applyFill="1" applyBorder="1"/>
    <xf numFmtId="0" fontId="0" fillId="0" borderId="3" xfId="0" applyBorder="1"/>
    <xf numFmtId="0" fontId="0" fillId="3" borderId="0" xfId="0" applyFill="1"/>
    <xf numFmtId="0" fontId="0" fillId="3" borderId="3" xfId="0" applyFill="1" applyBorder="1"/>
    <xf numFmtId="164" fontId="0" fillId="0" borderId="0" xfId="1" applyNumberFormat="1" applyFont="1"/>
    <xf numFmtId="9" fontId="0" fillId="3" borderId="0" xfId="0" applyNumberFormat="1" applyFill="1"/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14" fontId="0" fillId="0" borderId="0" xfId="0" applyNumberFormat="1"/>
    <xf numFmtId="0" fontId="4" fillId="0" borderId="0" xfId="0" applyFont="1"/>
    <xf numFmtId="43" fontId="0" fillId="0" borderId="0" xfId="0" applyNumberFormat="1"/>
    <xf numFmtId="43" fontId="0" fillId="0" borderId="0" xfId="1" applyFont="1" applyFill="1" applyBorder="1"/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" fontId="5" fillId="0" borderId="0" xfId="0" applyNumberFormat="1" applyFont="1"/>
    <xf numFmtId="0" fontId="0" fillId="0" borderId="0" xfId="0" applyAlignment="1">
      <alignment horizontal="left" indent="1"/>
    </xf>
    <xf numFmtId="2" fontId="0" fillId="0" borderId="0" xfId="0" applyNumberFormat="1"/>
    <xf numFmtId="0" fontId="5" fillId="3" borderId="3" xfId="0" applyFont="1" applyFill="1" applyBorder="1"/>
    <xf numFmtId="0" fontId="5" fillId="4" borderId="2" xfId="0" applyFont="1" applyFill="1" applyBorder="1"/>
    <xf numFmtId="0" fontId="5" fillId="4" borderId="0" xfId="0" applyFont="1" applyFill="1"/>
    <xf numFmtId="0" fontId="6" fillId="5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4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vertical="center"/>
    </xf>
    <xf numFmtId="3" fontId="7" fillId="0" borderId="0" xfId="0" applyNumberFormat="1" applyFont="1" applyAlignment="1">
      <alignment vertical="center"/>
    </xf>
    <xf numFmtId="2" fontId="5" fillId="3" borderId="2" xfId="0" applyNumberFormat="1" applyFont="1" applyFill="1" applyBorder="1" applyAlignment="1">
      <alignment wrapText="1"/>
    </xf>
    <xf numFmtId="2" fontId="5" fillId="3" borderId="3" xfId="0" applyNumberFormat="1" applyFont="1" applyFill="1" applyBorder="1"/>
    <xf numFmtId="43" fontId="0" fillId="6" borderId="4" xfId="1" applyFont="1" applyFill="1" applyBorder="1"/>
    <xf numFmtId="43" fontId="5" fillId="6" borderId="4" xfId="1" applyFont="1" applyFill="1" applyBorder="1"/>
    <xf numFmtId="43" fontId="5" fillId="7" borderId="4" xfId="1" applyFont="1" applyFill="1" applyBorder="1"/>
    <xf numFmtId="43" fontId="0" fillId="0" borderId="4" xfId="1" applyFont="1" applyBorder="1"/>
    <xf numFmtId="166" fontId="0" fillId="0" borderId="4" xfId="1" applyNumberFormat="1" applyFont="1" applyBorder="1"/>
    <xf numFmtId="43" fontId="5" fillId="8" borderId="4" xfId="1" applyFont="1" applyFill="1" applyBorder="1" applyAlignment="1">
      <alignment wrapText="1"/>
    </xf>
    <xf numFmtId="8" fontId="0" fillId="8" borderId="4" xfId="1" applyNumberFormat="1" applyFont="1" applyFill="1" applyBorder="1"/>
    <xf numFmtId="43" fontId="0" fillId="0" borderId="4" xfId="1" applyFont="1" applyBorder="1" applyAlignment="1"/>
    <xf numFmtId="166" fontId="0" fillId="0" borderId="4" xfId="1" applyNumberFormat="1" applyFont="1" applyBorder="1" applyAlignment="1">
      <alignment horizontal="right"/>
    </xf>
    <xf numFmtId="0" fontId="6" fillId="5" borderId="0" xfId="0" applyFont="1" applyFill="1" applyAlignment="1">
      <alignment vertical="center" wrapText="1"/>
    </xf>
    <xf numFmtId="4" fontId="6" fillId="5" borderId="0" xfId="0" applyNumberFormat="1" applyFont="1" applyFill="1" applyAlignment="1">
      <alignment vertical="center"/>
    </xf>
    <xf numFmtId="165" fontId="6" fillId="5" borderId="0" xfId="0" applyNumberFormat="1" applyFont="1" applyFill="1" applyAlignment="1">
      <alignment vertical="center"/>
    </xf>
    <xf numFmtId="3" fontId="6" fillId="5" borderId="0" xfId="0" applyNumberFormat="1" applyFont="1" applyFill="1" applyAlignment="1">
      <alignment vertical="center"/>
    </xf>
    <xf numFmtId="166" fontId="6" fillId="5" borderId="0" xfId="0" applyNumberFormat="1" applyFont="1" applyFill="1" applyAlignment="1">
      <alignment vertical="center"/>
    </xf>
    <xf numFmtId="166" fontId="7" fillId="0" borderId="0" xfId="0" applyNumberFormat="1" applyFont="1" applyAlignment="1">
      <alignment vertical="center"/>
    </xf>
    <xf numFmtId="166" fontId="0" fillId="0" borderId="0" xfId="0" applyNumberFormat="1"/>
    <xf numFmtId="43" fontId="5" fillId="6" borderId="0" xfId="1" applyFont="1" applyFill="1"/>
    <xf numFmtId="43" fontId="0" fillId="6" borderId="0" xfId="1" applyFont="1" applyFill="1"/>
    <xf numFmtId="43" fontId="0" fillId="0" borderId="0" xfId="1" applyFont="1" applyAlignment="1">
      <alignment wrapText="1"/>
    </xf>
    <xf numFmtId="43" fontId="0" fillId="8" borderId="0" xfId="1" applyFont="1" applyFill="1" applyAlignment="1">
      <alignment wrapText="1"/>
    </xf>
    <xf numFmtId="166" fontId="0" fillId="8" borderId="0" xfId="1" applyNumberFormat="1" applyFont="1" applyFill="1"/>
    <xf numFmtId="43" fontId="5" fillId="9" borderId="4" xfId="1" applyFont="1" applyFill="1" applyBorder="1"/>
    <xf numFmtId="9" fontId="0" fillId="9" borderId="4" xfId="2" applyFont="1" applyFill="1" applyBorder="1"/>
    <xf numFmtId="43" fontId="5" fillId="10" borderId="4" xfId="1" applyFont="1" applyFill="1" applyBorder="1" applyAlignment="1">
      <alignment wrapText="1"/>
    </xf>
    <xf numFmtId="166" fontId="0" fillId="10" borderId="4" xfId="1" applyNumberFormat="1" applyFont="1" applyFill="1" applyBorder="1"/>
    <xf numFmtId="9" fontId="0" fillId="10" borderId="4" xfId="2" applyFont="1" applyFill="1" applyBorder="1"/>
    <xf numFmtId="43" fontId="5" fillId="11" borderId="4" xfId="1" applyFont="1" applyFill="1" applyBorder="1" applyAlignment="1">
      <alignment wrapText="1"/>
    </xf>
    <xf numFmtId="166" fontId="0" fillId="11" borderId="4" xfId="1" applyNumberFormat="1" applyFont="1" applyFill="1" applyBorder="1"/>
    <xf numFmtId="9" fontId="0" fillId="11" borderId="4" xfId="2" applyFont="1" applyFill="1" applyBorder="1"/>
    <xf numFmtId="43" fontId="0" fillId="9" borderId="4" xfId="1" applyFont="1" applyFill="1" applyBorder="1"/>
    <xf numFmtId="43" fontId="5" fillId="12" borderId="4" xfId="1" applyFont="1" applyFill="1" applyBorder="1" applyAlignment="1">
      <alignment wrapText="1"/>
    </xf>
    <xf numFmtId="166" fontId="0" fillId="12" borderId="4" xfId="1" applyNumberFormat="1" applyFont="1" applyFill="1" applyBorder="1"/>
    <xf numFmtId="9" fontId="0" fillId="12" borderId="4" xfId="2" applyFont="1" applyFill="1" applyBorder="1"/>
    <xf numFmtId="165" fontId="0" fillId="0" borderId="0" xfId="0" applyNumberFormat="1"/>
    <xf numFmtId="0" fontId="0" fillId="6" borderId="0" xfId="0" applyFill="1"/>
    <xf numFmtId="1" fontId="0" fillId="6" borderId="0" xfId="0" applyNumberFormat="1" applyFill="1"/>
    <xf numFmtId="2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_-[$£-809]* #,##0.00_-;\-[$£-809]* #,##0.00_-;_-[$£-809]* &quot;-&quot;??_-;_-@_-"/>
    </dxf>
    <dxf>
      <numFmt numFmtId="35" formatCode="_-* #,##0.00_-;\-* #,##0.00_-;_-* &quot;-&quot;??_-;_-@_-"/>
    </dxf>
    <dxf>
      <numFmt numFmtId="19" formatCode="dd/mm/yyyy"/>
    </dxf>
    <dxf>
      <numFmt numFmtId="1" formatCode="0"/>
    </dxf>
    <dxf>
      <numFmt numFmtId="0" formatCode="General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9" formatCode="dd/mm/yyyy"/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16.43369351852" createdVersion="8" refreshedVersion="8" minRefreshableVersion="3" recordCount="154" xr:uid="{C916BCF1-15A3-4ADE-BA54-4EE18759F639}">
  <cacheSource type="worksheet">
    <worksheetSource name="Table14[[Customer Parent]:[Km Travelled]]"/>
  </cacheSource>
  <cacheFields count="13">
    <cacheField name="Customer Parent" numFmtId="0">
      <sharedItems/>
    </cacheField>
    <cacheField name="Sold to Account" numFmtId="0">
      <sharedItems/>
    </cacheField>
    <cacheField name="Sold TO Code" numFmtId="0">
      <sharedItems containsString="0" containsBlank="1" containsNumber="1" containsInteger="1" minValue="10204957" maxValue="10205600"/>
    </cacheField>
    <cacheField name="Country" numFmtId="0">
      <sharedItems count="7">
        <s v="England"/>
        <s v="Scotland"/>
        <s v="France"/>
        <s v="Ireland"/>
        <s v="Norway"/>
        <s v="Wales"/>
        <s v="Germany"/>
      </sharedItems>
    </cacheField>
    <cacheField name="Product Category" numFmtId="0">
      <sharedItems/>
    </cacheField>
    <cacheField name="Prem/Conv" numFmtId="0">
      <sharedItems/>
    </cacheField>
    <cacheField name="Product Name" numFmtId="0">
      <sharedItems count="4">
        <s v="Romella X1 "/>
        <s v="Diesel C3X"/>
        <s v="Romella X2 "/>
        <s v="Diesel C2"/>
      </sharedItems>
    </cacheField>
    <cacheField name="Product Code" numFmtId="0">
      <sharedItems containsSemiMixedTypes="0" containsString="0" containsNumber="1" containsInteger="1" minValue="52005002" maxValue="60022909"/>
    </cacheField>
    <cacheField name="Volume (L)" numFmtId="43">
      <sharedItems containsSemiMixedTypes="0" containsString="0" containsNumber="1" containsInteger="1" minValue="700" maxValue="30000"/>
    </cacheField>
    <cacheField name="Sales Revenue" numFmtId="0">
      <sharedItems containsSemiMixedTypes="0" containsString="0" containsNumber="1" containsInteger="1" minValue="29400" maxValue="570000"/>
    </cacheField>
    <cacheField name="Sales margin" numFmtId="164">
      <sharedItems containsSemiMixedTypes="0" containsString="0" containsNumber="1" containsInteger="1" minValue="5950" maxValue="195000"/>
    </cacheField>
    <cacheField name="Total Carbon Emissions" numFmtId="0">
      <sharedItems containsSemiMixedTypes="0" containsString="0" containsNumber="1" containsInteger="1" minValue="4060" maxValue="840000"/>
    </cacheField>
    <cacheField name="Km Travelled" numFmtId="1">
      <sharedItems containsSemiMixedTypes="0" containsString="0" containsNumber="1" containsInteger="1" minValue="1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s v="Euro Truck Group ltd"/>
    <s v="Euro Truck ENG"/>
    <n v="10204958"/>
    <x v="0"/>
    <s v="Lubricants"/>
    <s v="Conventional"/>
    <x v="0"/>
    <n v="52005002"/>
    <n v="2000"/>
    <n v="80000"/>
    <n v="14000"/>
    <n v="11000"/>
    <n v="4000"/>
  </r>
  <r>
    <s v="Euro Truck Group ltd"/>
    <s v="Euro Truck ENG"/>
    <n v="10204958"/>
    <x v="0"/>
    <s v="Diesel "/>
    <s v="Conventional"/>
    <x v="1"/>
    <n v="60022909"/>
    <n v="25000"/>
    <n v="475000"/>
    <n v="162500"/>
    <n v="700000"/>
    <n v="50000"/>
  </r>
  <r>
    <s v="Euro Truck Group ltd"/>
    <s v="Euro Truck SCOT"/>
    <n v="10205600"/>
    <x v="1"/>
    <s v="Lubricants"/>
    <s v="Conventional"/>
    <x v="2"/>
    <n v="52005050"/>
    <n v="1500"/>
    <n v="63000"/>
    <n v="12750"/>
    <n v="8700"/>
    <n v="3000"/>
  </r>
  <r>
    <s v="Euro Truck Group ltd"/>
    <s v="Euro Truck SCOT"/>
    <m/>
    <x v="1"/>
    <s v="Diesel "/>
    <s v="Conventional"/>
    <x v="3"/>
    <n v="60022300"/>
    <n v="18700"/>
    <n v="336600"/>
    <n v="112200"/>
    <n v="542300"/>
    <n v="37400"/>
  </r>
  <r>
    <s v="Euro Truck Group ltd"/>
    <s v="Euro Truck FRA"/>
    <n v="10205252"/>
    <x v="2"/>
    <s v="Lubricants"/>
    <s v="Conventional"/>
    <x v="2"/>
    <n v="52005050"/>
    <n v="2500"/>
    <n v="105000"/>
    <n v="21250"/>
    <n v="14500"/>
    <n v="5000"/>
  </r>
  <r>
    <s v="Euro Truck Group ltd"/>
    <s v="Euro Truck FRA"/>
    <n v="10205252"/>
    <x v="2"/>
    <s v="Diesel "/>
    <s v="Conventional"/>
    <x v="1"/>
    <n v="60022909"/>
    <n v="29000"/>
    <n v="551000"/>
    <n v="188500"/>
    <n v="812000"/>
    <n v="58000"/>
  </r>
  <r>
    <s v="Euro Truck Group ltd"/>
    <s v="Euro Truck IRE"/>
    <n v="10204959"/>
    <x v="3"/>
    <s v="Lubricants"/>
    <s v="Conventional"/>
    <x v="0"/>
    <n v="52005002"/>
    <n v="1200"/>
    <n v="48000"/>
    <n v="8400"/>
    <n v="6600"/>
    <n v="2400"/>
  </r>
  <r>
    <s v="Euro Truck Group ltd"/>
    <s v="Euro Truck IRE"/>
    <n v="10204959"/>
    <x v="3"/>
    <s v="Diesel "/>
    <s v="Conventional"/>
    <x v="3"/>
    <n v="60022300"/>
    <n v="22000"/>
    <n v="396000"/>
    <n v="132000"/>
    <n v="638000"/>
    <n v="44000"/>
  </r>
  <r>
    <s v="Euro Truck Group ltd"/>
    <s v="Euro Truck NOR"/>
    <n v="10205590"/>
    <x v="4"/>
    <s v="Lubricants"/>
    <s v="Conventional"/>
    <x v="2"/>
    <n v="52005050"/>
    <n v="800"/>
    <n v="33600"/>
    <n v="6800"/>
    <n v="4640"/>
    <n v="1600"/>
  </r>
  <r>
    <s v="Euro Truck Group ltd"/>
    <s v="Euro Truck NOR"/>
    <n v="10205590"/>
    <x v="4"/>
    <s v="Diesel "/>
    <s v="Conventional"/>
    <x v="1"/>
    <n v="60022909"/>
    <n v="12000"/>
    <n v="228000"/>
    <n v="78000"/>
    <n v="336000"/>
    <n v="24000"/>
  </r>
  <r>
    <s v="Euro Truck Group ltd"/>
    <s v="Euro Truck WAL"/>
    <n v="10204957"/>
    <x v="5"/>
    <s v="Lubricants"/>
    <s v="Conventional"/>
    <x v="0"/>
    <n v="52005002"/>
    <n v="1800"/>
    <n v="72000"/>
    <n v="12600"/>
    <n v="9900"/>
    <n v="3600"/>
  </r>
  <r>
    <s v="Euro Truck Group ltd"/>
    <s v="Euro Truck WAL"/>
    <n v="10204957"/>
    <x v="5"/>
    <s v="Diesel "/>
    <s v="Conventional"/>
    <x v="1"/>
    <n v="60022909"/>
    <n v="16900"/>
    <n v="321100"/>
    <n v="109850"/>
    <n v="473200"/>
    <n v="33800"/>
  </r>
  <r>
    <s v="Euro Truck Group ltd"/>
    <s v="Euro Truck GER"/>
    <n v="10204980"/>
    <x v="6"/>
    <s v="Lubricants"/>
    <s v="Conventional"/>
    <x v="0"/>
    <n v="52005002"/>
    <n v="2500"/>
    <n v="100000"/>
    <n v="17500"/>
    <n v="13750"/>
    <n v="5000"/>
  </r>
  <r>
    <s v="Euro Truck Group ltd"/>
    <s v="Euro Truck GER"/>
    <m/>
    <x v="6"/>
    <s v="Diesel "/>
    <s v="Conventional"/>
    <x v="3"/>
    <n v="60022300"/>
    <n v="28000"/>
    <n v="504000"/>
    <n v="168000"/>
    <n v="812000"/>
    <n v="56000"/>
  </r>
  <r>
    <s v="Euro Truck Group ltd"/>
    <s v="Euro Truck ENG"/>
    <n v="10204958"/>
    <x v="0"/>
    <s v="Lubricants"/>
    <s v="Conventional"/>
    <x v="0"/>
    <n v="52005002"/>
    <n v="1500"/>
    <n v="60000"/>
    <n v="10500"/>
    <n v="8250"/>
    <n v="3000"/>
  </r>
  <r>
    <s v="Euro Truck Group ltd"/>
    <s v="Euro Truck ENG"/>
    <n v="10204958"/>
    <x v="0"/>
    <s v="Diesel "/>
    <s v="Conventional"/>
    <x v="1"/>
    <n v="60022909"/>
    <n v="23000"/>
    <n v="437000"/>
    <n v="149500"/>
    <n v="644000"/>
    <n v="46000"/>
  </r>
  <r>
    <s v="Euro Truck Group ltd"/>
    <s v="Euro Truck SCOT"/>
    <n v="10205600"/>
    <x v="1"/>
    <s v="Lubricants"/>
    <s v="Conventional"/>
    <x v="2"/>
    <n v="52005050"/>
    <n v="1100"/>
    <n v="46200"/>
    <n v="9350"/>
    <n v="6380"/>
    <n v="2200"/>
  </r>
  <r>
    <s v="Euro Truck Group ltd"/>
    <s v="Euro Truck SCOT"/>
    <n v="10205600"/>
    <x v="1"/>
    <s v="Diesel "/>
    <s v="Conventional"/>
    <x v="3"/>
    <n v="60022300"/>
    <n v="19700"/>
    <n v="354600"/>
    <n v="118200"/>
    <n v="571300"/>
    <n v="39400"/>
  </r>
  <r>
    <s v="Euro Truck Group ltd"/>
    <s v="Euro Truck FRA"/>
    <n v="10205252"/>
    <x v="2"/>
    <s v="Lubricants"/>
    <s v="Conventional"/>
    <x v="2"/>
    <n v="52005050"/>
    <n v="2000"/>
    <n v="84000"/>
    <n v="17000"/>
    <n v="11600"/>
    <n v="4000"/>
  </r>
  <r>
    <s v="Euro Truck Group ltd"/>
    <s v="Euro Truck FRA"/>
    <n v="10205252"/>
    <x v="2"/>
    <s v="Diesel "/>
    <s v="Conventional"/>
    <x v="1"/>
    <n v="60022909"/>
    <n v="30000"/>
    <n v="570000"/>
    <n v="195000"/>
    <n v="840000"/>
    <n v="60000"/>
  </r>
  <r>
    <s v="Euro Truck Group ltd"/>
    <s v="Euro Truck IRE"/>
    <n v="10204959"/>
    <x v="3"/>
    <s v="Lubricants"/>
    <s v="Conventional"/>
    <x v="0"/>
    <n v="52005002"/>
    <n v="1200"/>
    <n v="48000"/>
    <n v="8400"/>
    <n v="6600"/>
    <n v="2400"/>
  </r>
  <r>
    <s v="Euro Truck Group ltd"/>
    <s v="Euro Truck IRE"/>
    <n v="10204959"/>
    <x v="3"/>
    <s v="Diesel "/>
    <s v="Conventional"/>
    <x v="3"/>
    <n v="60022300"/>
    <n v="21000"/>
    <n v="378000"/>
    <n v="126000"/>
    <n v="609000"/>
    <n v="42000"/>
  </r>
  <r>
    <s v="Euro Truck Group ltd"/>
    <s v="Euro Truck NOR"/>
    <n v="10205590"/>
    <x v="4"/>
    <s v="Lubricants"/>
    <s v="Conventional"/>
    <x v="2"/>
    <n v="52005050"/>
    <n v="700"/>
    <n v="29400"/>
    <n v="5950"/>
    <n v="4060"/>
    <n v="1400"/>
  </r>
  <r>
    <s v="Euro Truck Group ltd"/>
    <s v="Euro Truck NOR"/>
    <n v="10205590"/>
    <x v="4"/>
    <s v="Diesel "/>
    <s v="Conventional"/>
    <x v="1"/>
    <n v="60022909"/>
    <n v="13000"/>
    <n v="247000"/>
    <n v="84500"/>
    <n v="364000"/>
    <n v="26000"/>
  </r>
  <r>
    <s v="Euro Truck Group ltd"/>
    <s v="Euro Truck WAL"/>
    <n v="10204957"/>
    <x v="5"/>
    <s v="Lubricants"/>
    <s v="Conventional"/>
    <x v="0"/>
    <n v="52005002"/>
    <n v="1400"/>
    <n v="56000"/>
    <n v="9800"/>
    <n v="7700"/>
    <n v="2800"/>
  </r>
  <r>
    <s v="Euro Truck Group ltd"/>
    <s v="Euro Truck WAL"/>
    <n v="10204957"/>
    <x v="5"/>
    <s v="Diesel "/>
    <s v="Conventional"/>
    <x v="1"/>
    <n v="60022909"/>
    <n v="15900"/>
    <n v="302100"/>
    <n v="103350"/>
    <n v="445200"/>
    <n v="31800"/>
  </r>
  <r>
    <s v="Euro Truck Group ltd"/>
    <s v="Euro Truck GER"/>
    <n v="10204980"/>
    <x v="6"/>
    <s v="Lubricants"/>
    <s v="Conventional"/>
    <x v="0"/>
    <n v="52005002"/>
    <n v="2100"/>
    <n v="84000"/>
    <n v="14700"/>
    <n v="11550"/>
    <n v="4200"/>
  </r>
  <r>
    <s v="Euro Truck Group ltd"/>
    <s v="Euro Truck GER"/>
    <n v="10204980"/>
    <x v="6"/>
    <s v="Diesel "/>
    <s v="Conventional"/>
    <x v="3"/>
    <n v="60022300"/>
    <n v="28700"/>
    <n v="516600"/>
    <n v="172200"/>
    <n v="832300"/>
    <n v="57400"/>
  </r>
  <r>
    <s v="Euro Truck Group ltd"/>
    <s v="Euro Truck ENG"/>
    <n v="10204958"/>
    <x v="0"/>
    <s v="Lubricants"/>
    <s v="Conventional"/>
    <x v="0"/>
    <n v="52005002"/>
    <n v="2000"/>
    <n v="80000"/>
    <n v="14000"/>
    <n v="11000"/>
    <n v="4000"/>
  </r>
  <r>
    <s v="Euro Truck Group ltd"/>
    <s v="Euro Truck ENG"/>
    <m/>
    <x v="0"/>
    <s v="Diesel "/>
    <s v="Conventional"/>
    <x v="1"/>
    <n v="60022909"/>
    <n v="25000"/>
    <n v="475000"/>
    <n v="162500"/>
    <n v="700000"/>
    <n v="50000"/>
  </r>
  <r>
    <s v="Euro Truck Group ltd"/>
    <s v="Euro Truck SCOT"/>
    <n v="10205600"/>
    <x v="1"/>
    <s v="Lubricants"/>
    <s v="Conventional"/>
    <x v="2"/>
    <n v="52005050"/>
    <n v="1500"/>
    <n v="63000"/>
    <n v="12750"/>
    <n v="8700"/>
    <n v="3000"/>
  </r>
  <r>
    <s v="Euro Truck Group ltd"/>
    <s v="Euro Truck SCOT"/>
    <n v="10205600"/>
    <x v="1"/>
    <s v="Diesel "/>
    <s v="Conventional"/>
    <x v="3"/>
    <n v="60022300"/>
    <n v="18700"/>
    <n v="336600"/>
    <n v="112200"/>
    <n v="542300"/>
    <n v="37400"/>
  </r>
  <r>
    <s v="Euro Truck Group ltd"/>
    <s v="Euro Truck FRA"/>
    <n v="10205252"/>
    <x v="2"/>
    <s v="Lubricants"/>
    <s v="Conventional"/>
    <x v="2"/>
    <n v="52005050"/>
    <n v="2500"/>
    <n v="105000"/>
    <n v="21250"/>
    <n v="14500"/>
    <n v="5000"/>
  </r>
  <r>
    <s v="Euro Truck Group ltd"/>
    <s v="Euro Truck FRA"/>
    <m/>
    <x v="2"/>
    <s v="Diesel "/>
    <s v="Conventional"/>
    <x v="1"/>
    <n v="60022909"/>
    <n v="29000"/>
    <n v="551000"/>
    <n v="188500"/>
    <n v="812000"/>
    <n v="58000"/>
  </r>
  <r>
    <s v="Euro Truck Group ltd"/>
    <s v="Euro Truck IRE"/>
    <n v="10204959"/>
    <x v="3"/>
    <s v="Lubricants"/>
    <s v="Conventional"/>
    <x v="0"/>
    <n v="52005002"/>
    <n v="1200"/>
    <n v="48000"/>
    <n v="8400"/>
    <n v="6600"/>
    <n v="2400"/>
  </r>
  <r>
    <s v="Euro Truck Group ltd"/>
    <s v="Euro Truck IRE"/>
    <n v="10204959"/>
    <x v="3"/>
    <s v="Diesel "/>
    <s v="Conventional"/>
    <x v="3"/>
    <n v="60022300"/>
    <n v="22000"/>
    <n v="396000"/>
    <n v="132000"/>
    <n v="638000"/>
    <n v="44000"/>
  </r>
  <r>
    <s v="Euro Truck Group ltd"/>
    <s v="Euro Truck NOR"/>
    <n v="10205590"/>
    <x v="4"/>
    <s v="Lubricants"/>
    <s v="Conventional"/>
    <x v="2"/>
    <n v="52005050"/>
    <n v="800"/>
    <n v="33600"/>
    <n v="6800"/>
    <n v="4640"/>
    <n v="1600"/>
  </r>
  <r>
    <s v="Euro Truck Group ltd"/>
    <s v="Euro Truck NOR"/>
    <n v="10205590"/>
    <x v="4"/>
    <s v="Diesel "/>
    <s v="Conventional"/>
    <x v="1"/>
    <n v="60022909"/>
    <n v="12000"/>
    <n v="228000"/>
    <n v="78000"/>
    <n v="336000"/>
    <n v="24000"/>
  </r>
  <r>
    <s v="Euro Truck Group ltd"/>
    <s v="Euro Truck WAL"/>
    <n v="10204957"/>
    <x v="5"/>
    <s v="Lubricants"/>
    <s v="Conventional"/>
    <x v="0"/>
    <n v="52005002"/>
    <n v="1800"/>
    <n v="72000"/>
    <n v="12600"/>
    <n v="9900"/>
    <n v="3600"/>
  </r>
  <r>
    <s v="Euro Truck Group ltd"/>
    <s v="Euro Truck WAL"/>
    <n v="10204957"/>
    <x v="5"/>
    <s v="Diesel "/>
    <s v="Conventional"/>
    <x v="1"/>
    <n v="60022909"/>
    <n v="16900"/>
    <n v="321100"/>
    <n v="109850"/>
    <n v="473200"/>
    <n v="33800"/>
  </r>
  <r>
    <s v="Euro Truck Group ltd"/>
    <s v="Euro Truck GER"/>
    <n v="10204980"/>
    <x v="6"/>
    <s v="Lubricants"/>
    <s v="Conventional"/>
    <x v="0"/>
    <n v="52005002"/>
    <n v="2500"/>
    <n v="100000"/>
    <n v="17500"/>
    <n v="13750"/>
    <n v="5000"/>
  </r>
  <r>
    <s v="Euro Truck Group ltd"/>
    <s v="Euro Truck GER"/>
    <n v="10204980"/>
    <x v="6"/>
    <s v="Diesel "/>
    <s v="Conventional"/>
    <x v="3"/>
    <n v="60022300"/>
    <n v="28000"/>
    <n v="504000"/>
    <n v="168000"/>
    <n v="812000"/>
    <n v="56000"/>
  </r>
  <r>
    <s v="Euro Truck Group ltd"/>
    <s v="Euro Truck ENG"/>
    <n v="10204958"/>
    <x v="0"/>
    <s v="Lubricants"/>
    <s v="Conventional"/>
    <x v="0"/>
    <n v="52005002"/>
    <n v="1500"/>
    <n v="60000"/>
    <n v="10500"/>
    <n v="8250"/>
    <n v="3000"/>
  </r>
  <r>
    <s v="Euro Truck Group ltd"/>
    <s v="Euro Truck ENG"/>
    <n v="10204958"/>
    <x v="0"/>
    <s v="Diesel "/>
    <s v="Conventional"/>
    <x v="1"/>
    <n v="60022909"/>
    <n v="23000"/>
    <n v="437000"/>
    <n v="149500"/>
    <n v="644000"/>
    <n v="46000"/>
  </r>
  <r>
    <s v="Euro Truck Group ltd"/>
    <s v="Euro Truck SCOT"/>
    <n v="10205600"/>
    <x v="1"/>
    <s v="Lubricants"/>
    <s v="Conventional"/>
    <x v="2"/>
    <n v="52005050"/>
    <n v="1100"/>
    <n v="46200"/>
    <n v="9350"/>
    <n v="6380"/>
    <n v="2200"/>
  </r>
  <r>
    <s v="Euro Truck Group ltd"/>
    <s v="Euro Truck SCOT"/>
    <n v="10205600"/>
    <x v="1"/>
    <s v="Diesel "/>
    <s v="Conventional"/>
    <x v="3"/>
    <n v="60022300"/>
    <n v="19700"/>
    <n v="354600"/>
    <n v="118200"/>
    <n v="571300"/>
    <n v="39400"/>
  </r>
  <r>
    <s v="Euro Truck Group ltd"/>
    <s v="Euro Truck FRA"/>
    <n v="10205252"/>
    <x v="2"/>
    <s v="Lubricants"/>
    <s v="Conventional"/>
    <x v="2"/>
    <n v="52005050"/>
    <n v="2000"/>
    <n v="84000"/>
    <n v="17000"/>
    <n v="11600"/>
    <n v="4000"/>
  </r>
  <r>
    <s v="Euro Truck Group ltd"/>
    <s v="Euro Truck FRA"/>
    <m/>
    <x v="2"/>
    <s v="Diesel "/>
    <s v="Conventional"/>
    <x v="1"/>
    <n v="60022909"/>
    <n v="30000"/>
    <n v="570000"/>
    <n v="195000"/>
    <n v="840000"/>
    <n v="60000"/>
  </r>
  <r>
    <s v="Euro Truck Group ltd"/>
    <s v="Euro Truck IRE"/>
    <n v="10204959"/>
    <x v="3"/>
    <s v="Lubricants"/>
    <s v="Conventional"/>
    <x v="0"/>
    <n v="52005002"/>
    <n v="1200"/>
    <n v="48000"/>
    <n v="8400"/>
    <n v="6600"/>
    <n v="2400"/>
  </r>
  <r>
    <s v="Euro Truck Group ltd"/>
    <s v="Euro Truck IRE"/>
    <n v="10204959"/>
    <x v="3"/>
    <s v="Diesel "/>
    <s v="Conventional"/>
    <x v="3"/>
    <n v="60022300"/>
    <n v="21000"/>
    <n v="378000"/>
    <n v="126000"/>
    <n v="609000"/>
    <n v="42000"/>
  </r>
  <r>
    <s v="Euro Truck Group ltd"/>
    <s v="Euro Truck NOR"/>
    <n v="10205590"/>
    <x v="4"/>
    <s v="Lubricants"/>
    <s v="Conventional"/>
    <x v="2"/>
    <n v="52005050"/>
    <n v="700"/>
    <n v="29400"/>
    <n v="5950"/>
    <n v="4060"/>
    <n v="1400"/>
  </r>
  <r>
    <s v="Euro Truck Group ltd"/>
    <s v="Euro Truck NOR"/>
    <n v="10205590"/>
    <x v="4"/>
    <s v="Diesel "/>
    <s v="Conventional"/>
    <x v="1"/>
    <n v="60022909"/>
    <n v="13000"/>
    <n v="247000"/>
    <n v="84500"/>
    <n v="364000"/>
    <n v="26000"/>
  </r>
  <r>
    <s v="Euro Truck Group ltd"/>
    <s v="Euro Truck WAL"/>
    <n v="10204957"/>
    <x v="5"/>
    <s v="Lubricants"/>
    <s v="Conventional"/>
    <x v="0"/>
    <n v="52005002"/>
    <n v="1400"/>
    <n v="56000"/>
    <n v="9800"/>
    <n v="7700"/>
    <n v="2800"/>
  </r>
  <r>
    <s v="Euro Truck Group ltd"/>
    <s v="Euro Truck WAL"/>
    <n v="10204957"/>
    <x v="5"/>
    <s v="Diesel "/>
    <s v="Conventional"/>
    <x v="1"/>
    <n v="60022909"/>
    <n v="15900"/>
    <n v="302100"/>
    <n v="103350"/>
    <n v="445200"/>
    <n v="31800"/>
  </r>
  <r>
    <s v="Euro Truck Group ltd"/>
    <s v="Euro Truck GER"/>
    <n v="10204980"/>
    <x v="6"/>
    <s v="Lubricants"/>
    <s v="Conventional"/>
    <x v="0"/>
    <n v="52005002"/>
    <n v="2100"/>
    <n v="84000"/>
    <n v="14700"/>
    <n v="11550"/>
    <n v="4200"/>
  </r>
  <r>
    <s v="Euro Truck Group ltd"/>
    <s v="Euro Truck GER"/>
    <n v="10204980"/>
    <x v="6"/>
    <s v="Diesel "/>
    <s v="Conventional"/>
    <x v="3"/>
    <n v="60022300"/>
    <n v="28700"/>
    <n v="516600"/>
    <n v="172200"/>
    <n v="832300"/>
    <n v="57400"/>
  </r>
  <r>
    <s v="Euro Truck Group ltd"/>
    <s v="Euro Truck ENG"/>
    <n v="10204958"/>
    <x v="0"/>
    <s v="Lubricants"/>
    <s v="Conventional"/>
    <x v="0"/>
    <n v="52005002"/>
    <n v="2000"/>
    <n v="80000"/>
    <n v="14000"/>
    <n v="11000"/>
    <n v="4000"/>
  </r>
  <r>
    <s v="Euro Truck Group ltd"/>
    <s v="Euro Truck ENG"/>
    <n v="10204958"/>
    <x v="0"/>
    <s v="Diesel "/>
    <s v="Conventional"/>
    <x v="1"/>
    <n v="60022909"/>
    <n v="25000"/>
    <n v="475000"/>
    <n v="162500"/>
    <n v="700000"/>
    <n v="50000"/>
  </r>
  <r>
    <s v="Euro Truck Group ltd"/>
    <s v="Euro Truck SCOT"/>
    <n v="10205600"/>
    <x v="1"/>
    <s v="Lubricants"/>
    <s v="Conventional"/>
    <x v="2"/>
    <n v="52005050"/>
    <n v="1500"/>
    <n v="63000"/>
    <n v="12750"/>
    <n v="8700"/>
    <n v="3000"/>
  </r>
  <r>
    <s v="Euro Truck Group ltd"/>
    <s v="Euro Truck SCOT"/>
    <n v="10205600"/>
    <x v="1"/>
    <s v="Diesel "/>
    <s v="Conventional"/>
    <x v="3"/>
    <n v="60022300"/>
    <n v="18700"/>
    <n v="336600"/>
    <n v="112200"/>
    <n v="542300"/>
    <n v="37400"/>
  </r>
  <r>
    <s v="Euro Truck Group ltd"/>
    <s v="Euro Truck FRA"/>
    <n v="10205252"/>
    <x v="2"/>
    <s v="Lubricants"/>
    <s v="Conventional"/>
    <x v="2"/>
    <n v="52005050"/>
    <n v="2500"/>
    <n v="105000"/>
    <n v="21250"/>
    <n v="14500"/>
    <n v="5000"/>
  </r>
  <r>
    <s v="Euro Truck Group ltd"/>
    <s v="Euro Truck FRA"/>
    <n v="10205252"/>
    <x v="2"/>
    <s v="Diesel "/>
    <s v="Conventional"/>
    <x v="1"/>
    <n v="60022909"/>
    <n v="29000"/>
    <n v="551000"/>
    <n v="188500"/>
    <n v="812000"/>
    <n v="58000"/>
  </r>
  <r>
    <s v="Euro Truck Group ltd"/>
    <s v="Euro Truck IRE"/>
    <n v="10204959"/>
    <x v="3"/>
    <s v="Lubricants"/>
    <s v="Conventional"/>
    <x v="0"/>
    <n v="52005002"/>
    <n v="1200"/>
    <n v="48000"/>
    <n v="8400"/>
    <n v="6600"/>
    <n v="2400"/>
  </r>
  <r>
    <s v="Euro Truck Group ltd"/>
    <s v="Euro Truck IRE"/>
    <n v="10204959"/>
    <x v="3"/>
    <s v="Diesel "/>
    <s v="Conventional"/>
    <x v="3"/>
    <n v="60022300"/>
    <n v="22000"/>
    <n v="396000"/>
    <n v="132000"/>
    <n v="638000"/>
    <n v="44000"/>
  </r>
  <r>
    <s v="Euro Truck Group ltd"/>
    <s v="Euro Truck NOR"/>
    <n v="10205590"/>
    <x v="4"/>
    <s v="Lubricants"/>
    <s v="Conventional"/>
    <x v="2"/>
    <n v="52005050"/>
    <n v="800"/>
    <n v="33600"/>
    <n v="6800"/>
    <n v="4640"/>
    <n v="1600"/>
  </r>
  <r>
    <s v="Euro Truck Group ltd"/>
    <s v="Euro Truck NOR"/>
    <n v="10205590"/>
    <x v="4"/>
    <s v="Diesel "/>
    <s v="Conventional"/>
    <x v="1"/>
    <n v="60022909"/>
    <n v="12000"/>
    <n v="228000"/>
    <n v="78000"/>
    <n v="336000"/>
    <n v="24000"/>
  </r>
  <r>
    <s v="Euro Truck Group ltd"/>
    <s v="Euro Truck WAL"/>
    <n v="10204957"/>
    <x v="5"/>
    <s v="Lubricants"/>
    <s v="Conventional"/>
    <x v="0"/>
    <n v="52005002"/>
    <n v="1800"/>
    <n v="72000"/>
    <n v="12600"/>
    <n v="9900"/>
    <n v="3600"/>
  </r>
  <r>
    <s v="Euro Truck Group ltd"/>
    <s v="Euro Truck WAL"/>
    <n v="10204957"/>
    <x v="5"/>
    <s v="Diesel "/>
    <s v="Conventional"/>
    <x v="1"/>
    <n v="60022909"/>
    <n v="16900"/>
    <n v="321100"/>
    <n v="109850"/>
    <n v="473200"/>
    <n v="33800"/>
  </r>
  <r>
    <s v="Euro Truck Group ltd"/>
    <s v="Euro Truck GER"/>
    <n v="10204980"/>
    <x v="6"/>
    <s v="Lubricants"/>
    <s v="Conventional"/>
    <x v="0"/>
    <n v="52005002"/>
    <n v="2500"/>
    <n v="100000"/>
    <n v="17500"/>
    <n v="13750"/>
    <n v="5000"/>
  </r>
  <r>
    <s v="Euro Truck Group ltd"/>
    <s v="Euro Truck GER"/>
    <n v="10204980"/>
    <x v="6"/>
    <s v="Diesel "/>
    <s v="Conventional"/>
    <x v="3"/>
    <n v="60022300"/>
    <n v="28000"/>
    <n v="504000"/>
    <n v="168000"/>
    <n v="812000"/>
    <n v="56000"/>
  </r>
  <r>
    <s v="Euro Truck Group ltd"/>
    <s v="Euro Truck ENG"/>
    <n v="10204958"/>
    <x v="0"/>
    <s v="Lubricants"/>
    <s v="Conventional"/>
    <x v="0"/>
    <n v="52005002"/>
    <n v="1500"/>
    <n v="60000"/>
    <n v="10500"/>
    <n v="8250"/>
    <n v="3000"/>
  </r>
  <r>
    <s v="Euro Truck Group ltd"/>
    <s v="Euro Truck ENG"/>
    <n v="10204958"/>
    <x v="0"/>
    <s v="Diesel "/>
    <s v="Conventional"/>
    <x v="1"/>
    <n v="60022909"/>
    <n v="23000"/>
    <n v="437000"/>
    <n v="149500"/>
    <n v="644000"/>
    <n v="46000"/>
  </r>
  <r>
    <s v="Euro Truck Group ltd"/>
    <s v="Euro Truck SCOT"/>
    <n v="10205600"/>
    <x v="1"/>
    <s v="Lubricants"/>
    <s v="Conventional"/>
    <x v="2"/>
    <n v="52005050"/>
    <n v="1100"/>
    <n v="46200"/>
    <n v="9350"/>
    <n v="6380"/>
    <n v="2200"/>
  </r>
  <r>
    <s v="Euro Truck Group ltd"/>
    <s v="Euro Truck SCOT"/>
    <n v="10205600"/>
    <x v="1"/>
    <s v="Diesel "/>
    <s v="Conventional"/>
    <x v="3"/>
    <n v="60022300"/>
    <n v="19700"/>
    <n v="354600"/>
    <n v="118200"/>
    <n v="571300"/>
    <n v="39400"/>
  </r>
  <r>
    <s v="Euro Truck Group ltd"/>
    <s v="Euro Truck FRA"/>
    <n v="10205252"/>
    <x v="2"/>
    <s v="Lubricants"/>
    <s v="Conventional"/>
    <x v="2"/>
    <n v="52005050"/>
    <n v="2000"/>
    <n v="84000"/>
    <n v="17000"/>
    <n v="11600"/>
    <n v="4000"/>
  </r>
  <r>
    <s v="Euro Truck Group ltd"/>
    <s v="Euro Truck FRA"/>
    <n v="10205252"/>
    <x v="2"/>
    <s v="Diesel "/>
    <s v="Conventional"/>
    <x v="1"/>
    <n v="60022909"/>
    <n v="30000"/>
    <n v="570000"/>
    <n v="195000"/>
    <n v="840000"/>
    <n v="60000"/>
  </r>
  <r>
    <s v="Euro Truck Group ltd"/>
    <s v="Euro Truck IRE"/>
    <n v="10204959"/>
    <x v="3"/>
    <s v="Lubricants"/>
    <s v="Conventional"/>
    <x v="0"/>
    <n v="52005002"/>
    <n v="1200"/>
    <n v="48000"/>
    <n v="8400"/>
    <n v="6600"/>
    <n v="2400"/>
  </r>
  <r>
    <s v="Euro Truck Group ltd"/>
    <s v="Euro Truck IRE"/>
    <n v="10204959"/>
    <x v="3"/>
    <s v="Diesel "/>
    <s v="Conventional"/>
    <x v="3"/>
    <n v="60022300"/>
    <n v="21000"/>
    <n v="378000"/>
    <n v="126000"/>
    <n v="609000"/>
    <n v="42000"/>
  </r>
  <r>
    <s v="Euro Truck Group ltd"/>
    <s v="Euro Truck NOR"/>
    <n v="10205590"/>
    <x v="4"/>
    <s v="Lubricants"/>
    <s v="Conventional"/>
    <x v="2"/>
    <n v="52005050"/>
    <n v="700"/>
    <n v="29400"/>
    <n v="5950"/>
    <n v="4060"/>
    <n v="1400"/>
  </r>
  <r>
    <s v="Euro Truck Group ltd"/>
    <s v="Euro Truck NOR"/>
    <n v="10205590"/>
    <x v="4"/>
    <s v="Diesel "/>
    <s v="Conventional"/>
    <x v="1"/>
    <n v="60022909"/>
    <n v="13000"/>
    <n v="247000"/>
    <n v="84500"/>
    <n v="364000"/>
    <n v="26000"/>
  </r>
  <r>
    <s v="Euro Truck Group ltd"/>
    <s v="Euro Truck WAL"/>
    <n v="10204957"/>
    <x v="5"/>
    <s v="Lubricants"/>
    <s v="Conventional"/>
    <x v="0"/>
    <n v="52005002"/>
    <n v="1400"/>
    <n v="56000"/>
    <n v="9800"/>
    <n v="7700"/>
    <n v="2800"/>
  </r>
  <r>
    <s v="Euro Truck Group ltd"/>
    <s v="Euro Truck WAL"/>
    <n v="10204957"/>
    <x v="5"/>
    <s v="Diesel "/>
    <s v="Conventional"/>
    <x v="1"/>
    <n v="60022909"/>
    <n v="15900"/>
    <n v="302100"/>
    <n v="103350"/>
    <n v="445200"/>
    <n v="31800"/>
  </r>
  <r>
    <s v="Euro Truck Group ltd"/>
    <s v="Euro Truck GER"/>
    <n v="10204980"/>
    <x v="6"/>
    <s v="Lubricants"/>
    <s v="Conventional"/>
    <x v="0"/>
    <n v="52005002"/>
    <n v="2100"/>
    <n v="84000"/>
    <n v="14700"/>
    <n v="11550"/>
    <n v="4200"/>
  </r>
  <r>
    <s v="Euro Truck Group ltd"/>
    <s v="Euro Truck GER"/>
    <n v="10204980"/>
    <x v="6"/>
    <s v="Diesel "/>
    <s v="Conventional"/>
    <x v="3"/>
    <n v="60022300"/>
    <n v="28700"/>
    <n v="516600"/>
    <n v="172200"/>
    <n v="832300"/>
    <n v="57400"/>
  </r>
  <r>
    <s v="Euro Truck Group ltd"/>
    <s v="Euro Truck ENG"/>
    <n v="10204958"/>
    <x v="0"/>
    <s v="Lubricants"/>
    <s v="Conventional"/>
    <x v="0"/>
    <n v="52005002"/>
    <n v="2000"/>
    <n v="80000"/>
    <n v="14000"/>
    <n v="11000"/>
    <n v="4000"/>
  </r>
  <r>
    <s v="Euro Truck Group ltd"/>
    <s v="Euro Truck ENG"/>
    <n v="10204958"/>
    <x v="0"/>
    <s v="Diesel "/>
    <s v="Conventional"/>
    <x v="1"/>
    <n v="60022909"/>
    <n v="25000"/>
    <n v="475000"/>
    <n v="162500"/>
    <n v="700000"/>
    <n v="50000"/>
  </r>
  <r>
    <s v="Euro Truck Group ltd"/>
    <s v="Euro Truck SCOT"/>
    <n v="10205600"/>
    <x v="1"/>
    <s v="Lubricants"/>
    <s v="Conventional"/>
    <x v="2"/>
    <n v="52005050"/>
    <n v="1500"/>
    <n v="63000"/>
    <n v="12750"/>
    <n v="8700"/>
    <n v="3000"/>
  </r>
  <r>
    <s v="Euro Truck Group ltd"/>
    <s v="Euro Truck SCOT"/>
    <n v="10205600"/>
    <x v="1"/>
    <s v="Diesel "/>
    <s v="Conventional"/>
    <x v="3"/>
    <n v="60022300"/>
    <n v="18700"/>
    <n v="336600"/>
    <n v="112200"/>
    <n v="542300"/>
    <n v="37400"/>
  </r>
  <r>
    <s v="Euro Truck Group ltd"/>
    <s v="Euro Truck FRA"/>
    <n v="10205252"/>
    <x v="2"/>
    <s v="Lubricants"/>
    <s v="Conventional"/>
    <x v="2"/>
    <n v="52005050"/>
    <n v="2500"/>
    <n v="105000"/>
    <n v="21250"/>
    <n v="14500"/>
    <n v="5000"/>
  </r>
  <r>
    <s v="Euro Truck Group ltd"/>
    <s v="Euro Truck FRA"/>
    <n v="10205252"/>
    <x v="2"/>
    <s v="Diesel "/>
    <s v="Conventional"/>
    <x v="1"/>
    <n v="60022909"/>
    <n v="29000"/>
    <n v="551000"/>
    <n v="188500"/>
    <n v="812000"/>
    <n v="58000"/>
  </r>
  <r>
    <s v="Euro Truck Group ltd"/>
    <s v="Euro Truck IRE"/>
    <n v="10204959"/>
    <x v="3"/>
    <s v="Lubricants"/>
    <s v="Conventional"/>
    <x v="0"/>
    <n v="52005002"/>
    <n v="1200"/>
    <n v="48000"/>
    <n v="8400"/>
    <n v="6600"/>
    <n v="2400"/>
  </r>
  <r>
    <s v="Euro Truck Group ltd"/>
    <s v="Euro Truck IRE"/>
    <n v="10204959"/>
    <x v="3"/>
    <s v="Diesel "/>
    <s v="Conventional"/>
    <x v="3"/>
    <n v="60022300"/>
    <n v="22000"/>
    <n v="396000"/>
    <n v="132000"/>
    <n v="638000"/>
    <n v="44000"/>
  </r>
  <r>
    <s v="Euro Truck Group ltd"/>
    <s v="Euro Truck NOR"/>
    <n v="10205590"/>
    <x v="4"/>
    <s v="Lubricants"/>
    <s v="Conventional"/>
    <x v="2"/>
    <n v="52005050"/>
    <n v="800"/>
    <n v="33600"/>
    <n v="6800"/>
    <n v="4640"/>
    <n v="1600"/>
  </r>
  <r>
    <s v="Euro Truck Group ltd"/>
    <s v="Euro Truck NOR"/>
    <n v="10205590"/>
    <x v="4"/>
    <s v="Diesel "/>
    <s v="Conventional"/>
    <x v="1"/>
    <n v="60022909"/>
    <n v="12000"/>
    <n v="228000"/>
    <n v="78000"/>
    <n v="336000"/>
    <n v="24000"/>
  </r>
  <r>
    <s v="Euro Truck Group ltd"/>
    <s v="Euro Truck WAL"/>
    <n v="10204957"/>
    <x v="5"/>
    <s v="Lubricants"/>
    <s v="Conventional"/>
    <x v="0"/>
    <n v="52005002"/>
    <n v="1800"/>
    <n v="72000"/>
    <n v="12600"/>
    <n v="9900"/>
    <n v="3600"/>
  </r>
  <r>
    <s v="Euro Truck Group ltd"/>
    <s v="Euro Truck WAL"/>
    <n v="10204957"/>
    <x v="5"/>
    <s v="Diesel "/>
    <s v="Conventional"/>
    <x v="1"/>
    <n v="60022909"/>
    <n v="16900"/>
    <n v="321100"/>
    <n v="109850"/>
    <n v="473200"/>
    <n v="33800"/>
  </r>
  <r>
    <s v="Euro Truck Group ltd"/>
    <s v="Euro Truck GER"/>
    <n v="10204980"/>
    <x v="6"/>
    <s v="Lubricants"/>
    <s v="Conventional"/>
    <x v="0"/>
    <n v="52005002"/>
    <n v="2500"/>
    <n v="100000"/>
    <n v="17500"/>
    <n v="13750"/>
    <n v="5000"/>
  </r>
  <r>
    <s v="Euro Truck Group ltd"/>
    <s v="Euro Truck GER"/>
    <n v="10204980"/>
    <x v="6"/>
    <s v="Diesel "/>
    <s v="Conventional"/>
    <x v="3"/>
    <n v="60022300"/>
    <n v="28000"/>
    <n v="504000"/>
    <n v="168000"/>
    <n v="812000"/>
    <n v="56000"/>
  </r>
  <r>
    <s v="Euro Truck Group ltd"/>
    <s v="Euro Truck ENG"/>
    <n v="10204958"/>
    <x v="0"/>
    <s v="Lubricants"/>
    <s v="Conventional"/>
    <x v="0"/>
    <n v="52005002"/>
    <n v="1500"/>
    <n v="60000"/>
    <n v="10500"/>
    <n v="8250"/>
    <n v="3000"/>
  </r>
  <r>
    <s v="Euro Truck Group ltd"/>
    <s v="Euro Truck ENG"/>
    <n v="10204958"/>
    <x v="0"/>
    <s v="Diesel "/>
    <s v="Conventional"/>
    <x v="1"/>
    <n v="60022909"/>
    <n v="23000"/>
    <n v="437000"/>
    <n v="149500"/>
    <n v="644000"/>
    <n v="46000"/>
  </r>
  <r>
    <s v="Euro Truck Group ltd"/>
    <s v="Euro Truck SCOT"/>
    <n v="10205600"/>
    <x v="1"/>
    <s v="Lubricants"/>
    <s v="Conventional"/>
    <x v="2"/>
    <n v="52005050"/>
    <n v="1100"/>
    <n v="46200"/>
    <n v="9350"/>
    <n v="6380"/>
    <n v="2200"/>
  </r>
  <r>
    <s v="Euro Truck Group ltd"/>
    <s v="Euro Truck SCOT"/>
    <n v="10205600"/>
    <x v="1"/>
    <s v="Diesel "/>
    <s v="Conventional"/>
    <x v="3"/>
    <n v="60022300"/>
    <n v="19700"/>
    <n v="354600"/>
    <n v="118200"/>
    <n v="571300"/>
    <n v="39400"/>
  </r>
  <r>
    <s v="Euro Truck Group ltd"/>
    <s v="Euro Truck FRA"/>
    <n v="10205252"/>
    <x v="2"/>
    <s v="Lubricants"/>
    <s v="Conventional"/>
    <x v="2"/>
    <n v="52005050"/>
    <n v="2000"/>
    <n v="84000"/>
    <n v="17000"/>
    <n v="11600"/>
    <n v="4000"/>
  </r>
  <r>
    <s v="Euro Truck Group ltd"/>
    <s v="Euro Truck FRA"/>
    <n v="10205252"/>
    <x v="2"/>
    <s v="Diesel "/>
    <s v="Conventional"/>
    <x v="1"/>
    <n v="60022909"/>
    <n v="30000"/>
    <n v="570000"/>
    <n v="195000"/>
    <n v="840000"/>
    <n v="60000"/>
  </r>
  <r>
    <s v="Euro Truck Group ltd"/>
    <s v="Euro Truck IRE"/>
    <n v="10204959"/>
    <x v="3"/>
    <s v="Lubricants"/>
    <s v="Conventional"/>
    <x v="0"/>
    <n v="52005002"/>
    <n v="1200"/>
    <n v="48000"/>
    <n v="8400"/>
    <n v="6600"/>
    <n v="2400"/>
  </r>
  <r>
    <s v="Euro Truck Group ltd"/>
    <s v="Euro Truck IRE"/>
    <n v="10204959"/>
    <x v="3"/>
    <s v="Diesel "/>
    <s v="Conventional"/>
    <x v="3"/>
    <n v="60022300"/>
    <n v="21000"/>
    <n v="378000"/>
    <n v="126000"/>
    <n v="609000"/>
    <n v="42000"/>
  </r>
  <r>
    <s v="Euro Truck Group ltd"/>
    <s v="Euro Truck NOR"/>
    <n v="10205590"/>
    <x v="4"/>
    <s v="Lubricants"/>
    <s v="Conventional"/>
    <x v="2"/>
    <n v="52005050"/>
    <n v="700"/>
    <n v="29400"/>
    <n v="5950"/>
    <n v="4060"/>
    <n v="1400"/>
  </r>
  <r>
    <s v="Euro Truck Group ltd"/>
    <s v="Euro Truck NOR"/>
    <n v="10205590"/>
    <x v="4"/>
    <s v="Diesel "/>
    <s v="Conventional"/>
    <x v="1"/>
    <n v="60022909"/>
    <n v="13000"/>
    <n v="247000"/>
    <n v="84500"/>
    <n v="364000"/>
    <n v="26000"/>
  </r>
  <r>
    <s v="Euro Truck Group ltd"/>
    <s v="Euro Truck WAL"/>
    <n v="10204957"/>
    <x v="5"/>
    <s v="Lubricants"/>
    <s v="Conventional"/>
    <x v="0"/>
    <n v="52005002"/>
    <n v="1400"/>
    <n v="56000"/>
    <n v="9800"/>
    <n v="7700"/>
    <n v="2800"/>
  </r>
  <r>
    <s v="Euro Truck Group ltd"/>
    <s v="Euro Truck WAL"/>
    <n v="10204957"/>
    <x v="5"/>
    <s v="Diesel "/>
    <s v="Conventional"/>
    <x v="1"/>
    <n v="60022909"/>
    <n v="15900"/>
    <n v="302100"/>
    <n v="103350"/>
    <n v="445200"/>
    <n v="31800"/>
  </r>
  <r>
    <s v="Euro Truck Group ltd"/>
    <s v="Euro Truck GER"/>
    <n v="10204980"/>
    <x v="6"/>
    <s v="Lubricants"/>
    <s v="Conventional"/>
    <x v="0"/>
    <n v="52005002"/>
    <n v="2100"/>
    <n v="84000"/>
    <n v="14700"/>
    <n v="11550"/>
    <n v="4200"/>
  </r>
  <r>
    <s v="Euro Truck Group ltd"/>
    <s v="Euro Truck GER"/>
    <n v="10204980"/>
    <x v="6"/>
    <s v="Diesel "/>
    <s v="Conventional"/>
    <x v="3"/>
    <n v="60022300"/>
    <n v="28700"/>
    <n v="516600"/>
    <n v="172200"/>
    <n v="832300"/>
    <n v="57400"/>
  </r>
  <r>
    <s v="Euro Truck Group ltd"/>
    <s v="Euro Truck ENG"/>
    <n v="10204958"/>
    <x v="0"/>
    <s v="Lubricants"/>
    <s v="Conventional"/>
    <x v="0"/>
    <n v="52005002"/>
    <n v="2000"/>
    <n v="80000"/>
    <n v="14000"/>
    <n v="11000"/>
    <n v="4000"/>
  </r>
  <r>
    <s v="Euro Truck Group ltd"/>
    <s v="Euro Truck ENG"/>
    <n v="10204958"/>
    <x v="0"/>
    <s v="Diesel "/>
    <s v="Conventional"/>
    <x v="1"/>
    <n v="60022909"/>
    <n v="25000"/>
    <n v="475000"/>
    <n v="162500"/>
    <n v="700000"/>
    <n v="50000"/>
  </r>
  <r>
    <s v="Euro Truck Group ltd"/>
    <s v="Euro Truck SCOT"/>
    <n v="10205600"/>
    <x v="1"/>
    <s v="Lubricants"/>
    <s v="Conventional"/>
    <x v="2"/>
    <n v="52005050"/>
    <n v="1500"/>
    <n v="63000"/>
    <n v="12750"/>
    <n v="8700"/>
    <n v="3000"/>
  </r>
  <r>
    <s v="Euro Truck Group ltd"/>
    <s v="Euro Truck SCOT"/>
    <n v="10205600"/>
    <x v="1"/>
    <s v="Diesel "/>
    <s v="Conventional"/>
    <x v="3"/>
    <n v="60022300"/>
    <n v="18700"/>
    <n v="336600"/>
    <n v="112200"/>
    <n v="542300"/>
    <n v="37400"/>
  </r>
  <r>
    <s v="Euro Truck Group ltd"/>
    <s v="Euro Truck FRA"/>
    <n v="10205252"/>
    <x v="2"/>
    <s v="Lubricants"/>
    <s v="Conventional"/>
    <x v="2"/>
    <n v="52005050"/>
    <n v="2500"/>
    <n v="105000"/>
    <n v="21250"/>
    <n v="14500"/>
    <n v="5000"/>
  </r>
  <r>
    <s v="Euro Truck Group ltd"/>
    <s v="Euro Truck FRA"/>
    <n v="10205252"/>
    <x v="2"/>
    <s v="Diesel "/>
    <s v="Conventional"/>
    <x v="1"/>
    <n v="60022909"/>
    <n v="29000"/>
    <n v="551000"/>
    <n v="188500"/>
    <n v="812000"/>
    <n v="58000"/>
  </r>
  <r>
    <s v="Euro Truck Group ltd"/>
    <s v="Euro Truck IRE"/>
    <n v="10204959"/>
    <x v="3"/>
    <s v="Lubricants"/>
    <s v="Conventional"/>
    <x v="0"/>
    <n v="52005002"/>
    <n v="1200"/>
    <n v="48000"/>
    <n v="8400"/>
    <n v="6600"/>
    <n v="2400"/>
  </r>
  <r>
    <s v="Euro Truck Group ltd"/>
    <s v="Euro Truck IRE"/>
    <n v="10204959"/>
    <x v="3"/>
    <s v="Diesel "/>
    <s v="Conventional"/>
    <x v="3"/>
    <n v="60022300"/>
    <n v="22000"/>
    <n v="396000"/>
    <n v="132000"/>
    <n v="638000"/>
    <n v="44000"/>
  </r>
  <r>
    <s v="Euro Truck Group ltd"/>
    <s v="Euro Truck NOR"/>
    <n v="10205590"/>
    <x v="4"/>
    <s v="Lubricants"/>
    <s v="Conventional"/>
    <x v="2"/>
    <n v="52005050"/>
    <n v="800"/>
    <n v="33600"/>
    <n v="6800"/>
    <n v="4640"/>
    <n v="1600"/>
  </r>
  <r>
    <s v="Euro Truck Group ltd"/>
    <s v="Euro Truck NOR"/>
    <n v="10205590"/>
    <x v="4"/>
    <s v="Diesel "/>
    <s v="Conventional"/>
    <x v="1"/>
    <n v="60022909"/>
    <n v="12000"/>
    <n v="228000"/>
    <n v="78000"/>
    <n v="336000"/>
    <n v="24000"/>
  </r>
  <r>
    <s v="Euro Truck Group ltd"/>
    <s v="Euro Truck WAL"/>
    <n v="10204957"/>
    <x v="5"/>
    <s v="Lubricants"/>
    <s v="Conventional"/>
    <x v="0"/>
    <n v="52005002"/>
    <n v="1800"/>
    <n v="72000"/>
    <n v="12600"/>
    <n v="9900"/>
    <n v="3600"/>
  </r>
  <r>
    <s v="Euro Truck Group ltd"/>
    <s v="Euro Truck WAL"/>
    <n v="10204957"/>
    <x v="5"/>
    <s v="Diesel "/>
    <s v="Conventional"/>
    <x v="1"/>
    <n v="60022909"/>
    <n v="16900"/>
    <n v="321100"/>
    <n v="109850"/>
    <n v="473200"/>
    <n v="33800"/>
  </r>
  <r>
    <s v="Euro Truck Group ltd"/>
    <s v="Euro Truck GER"/>
    <n v="10204980"/>
    <x v="6"/>
    <s v="Lubricants"/>
    <s v="Conventional"/>
    <x v="0"/>
    <n v="52005002"/>
    <n v="2500"/>
    <n v="100000"/>
    <n v="17500"/>
    <n v="13750"/>
    <n v="5000"/>
  </r>
  <r>
    <s v="Euro Truck Group ltd"/>
    <s v="Euro Truck GER"/>
    <n v="10204980"/>
    <x v="6"/>
    <s v="Diesel "/>
    <s v="Conventional"/>
    <x v="3"/>
    <n v="60022300"/>
    <n v="28000"/>
    <n v="504000"/>
    <n v="168000"/>
    <n v="812000"/>
    <n v="56000"/>
  </r>
  <r>
    <s v="Euro Truck Group ltd"/>
    <s v="Euro Truck ENG"/>
    <n v="10204958"/>
    <x v="0"/>
    <s v="Lubricants"/>
    <s v="Conventional"/>
    <x v="0"/>
    <n v="52005002"/>
    <n v="1500"/>
    <n v="60000"/>
    <n v="10500"/>
    <n v="8250"/>
    <n v="3000"/>
  </r>
  <r>
    <s v="Euro Truck Group ltd"/>
    <s v="Euro Truck ENG"/>
    <n v="10204958"/>
    <x v="0"/>
    <s v="Diesel "/>
    <s v="Conventional"/>
    <x v="1"/>
    <n v="60022909"/>
    <n v="23000"/>
    <n v="437000"/>
    <n v="149500"/>
    <n v="644000"/>
    <n v="46000"/>
  </r>
  <r>
    <s v="Euro Truck Group ltd"/>
    <s v="Euro Truck SCOT"/>
    <n v="10205600"/>
    <x v="1"/>
    <s v="Lubricants"/>
    <s v="Conventional"/>
    <x v="2"/>
    <n v="52005050"/>
    <n v="1100"/>
    <n v="46200"/>
    <n v="9350"/>
    <n v="6380"/>
    <n v="2200"/>
  </r>
  <r>
    <s v="Euro Truck Group ltd"/>
    <s v="Euro Truck SCOT"/>
    <n v="10205600"/>
    <x v="1"/>
    <s v="Diesel "/>
    <s v="Conventional"/>
    <x v="3"/>
    <n v="60022300"/>
    <n v="19700"/>
    <n v="354600"/>
    <n v="118200"/>
    <n v="571300"/>
    <n v="39400"/>
  </r>
  <r>
    <s v="Euro Truck Group ltd"/>
    <s v="Euro Truck FRA"/>
    <n v="10205252"/>
    <x v="2"/>
    <s v="Lubricants"/>
    <s v="Conventional"/>
    <x v="2"/>
    <n v="52005050"/>
    <n v="2000"/>
    <n v="84000"/>
    <n v="17000"/>
    <n v="11600"/>
    <n v="4000"/>
  </r>
  <r>
    <s v="Euro Truck Group ltd"/>
    <s v="Euro Truck FRA"/>
    <n v="10205252"/>
    <x v="2"/>
    <s v="Diesel "/>
    <s v="Conventional"/>
    <x v="1"/>
    <n v="60022909"/>
    <n v="30000"/>
    <n v="570000"/>
    <n v="195000"/>
    <n v="840000"/>
    <n v="60000"/>
  </r>
  <r>
    <s v="Euro Truck Group ltd"/>
    <s v="Euro Truck IRE"/>
    <n v="10204959"/>
    <x v="3"/>
    <s v="Lubricants"/>
    <s v="Conventional"/>
    <x v="0"/>
    <n v="52005002"/>
    <n v="1200"/>
    <n v="48000"/>
    <n v="8400"/>
    <n v="6600"/>
    <n v="2400"/>
  </r>
  <r>
    <s v="Euro Truck Group ltd"/>
    <s v="Euro Truck IRE"/>
    <n v="10204959"/>
    <x v="3"/>
    <s v="Diesel "/>
    <s v="Conventional"/>
    <x v="3"/>
    <n v="60022300"/>
    <n v="21000"/>
    <n v="378000"/>
    <n v="126000"/>
    <n v="609000"/>
    <n v="42000"/>
  </r>
  <r>
    <s v="Euro Truck Group ltd"/>
    <s v="Euro Truck NOR"/>
    <n v="10205590"/>
    <x v="4"/>
    <s v="Lubricants"/>
    <s v="Conventional"/>
    <x v="2"/>
    <n v="52005050"/>
    <n v="700"/>
    <n v="29400"/>
    <n v="5950"/>
    <n v="4060"/>
    <n v="1400"/>
  </r>
  <r>
    <s v="Euro Truck Group ltd"/>
    <s v="Euro Truck NOR"/>
    <n v="10205590"/>
    <x v="4"/>
    <s v="Diesel "/>
    <s v="Conventional"/>
    <x v="1"/>
    <n v="60022909"/>
    <n v="13000"/>
    <n v="247000"/>
    <n v="84500"/>
    <n v="364000"/>
    <n v="26000"/>
  </r>
  <r>
    <s v="Euro Truck Group ltd"/>
    <s v="Euro Truck WAL"/>
    <n v="10204957"/>
    <x v="5"/>
    <s v="Lubricants"/>
    <s v="Conventional"/>
    <x v="0"/>
    <n v="52005002"/>
    <n v="1400"/>
    <n v="56000"/>
    <n v="9800"/>
    <n v="7700"/>
    <n v="2800"/>
  </r>
  <r>
    <s v="Euro Truck Group ltd"/>
    <s v="Euro Truck WAL"/>
    <n v="10204957"/>
    <x v="5"/>
    <s v="Diesel "/>
    <s v="Conventional"/>
    <x v="1"/>
    <n v="60022909"/>
    <n v="15900"/>
    <n v="302100"/>
    <n v="103350"/>
    <n v="445200"/>
    <n v="31800"/>
  </r>
  <r>
    <s v="Euro Truck Group ltd"/>
    <s v="Euro Truck GER"/>
    <n v="10204980"/>
    <x v="6"/>
    <s v="Lubricants"/>
    <s v="Conventional"/>
    <x v="0"/>
    <n v="52005002"/>
    <n v="2100"/>
    <n v="84000"/>
    <n v="14700"/>
    <n v="11550"/>
    <n v="4200"/>
  </r>
  <r>
    <s v="Euro Truck Group ltd"/>
    <s v="Euro Truck GER"/>
    <n v="10204980"/>
    <x v="6"/>
    <s v="Diesel "/>
    <s v="Conventional"/>
    <x v="3"/>
    <n v="60022300"/>
    <n v="28700"/>
    <n v="516600"/>
    <n v="172200"/>
    <n v="832300"/>
    <n v="57400"/>
  </r>
  <r>
    <s v="Euro Truck Group ltd"/>
    <s v="Euro Truck ENG"/>
    <n v="10204958"/>
    <x v="0"/>
    <s v="Lubricants"/>
    <s v="Conventional"/>
    <x v="0"/>
    <n v="52005002"/>
    <n v="2000"/>
    <n v="80000"/>
    <n v="14000"/>
    <n v="11000"/>
    <n v="4000"/>
  </r>
  <r>
    <s v="Euro Truck Group ltd"/>
    <s v="Euro Truck ENG"/>
    <n v="10204958"/>
    <x v="0"/>
    <s v="Diesel "/>
    <s v="Conventional"/>
    <x v="1"/>
    <n v="60022909"/>
    <n v="25000"/>
    <n v="475000"/>
    <n v="162500"/>
    <n v="700000"/>
    <n v="50000"/>
  </r>
  <r>
    <s v="Euro Truck Group ltd"/>
    <s v="Euro Truck SCOT"/>
    <n v="10205600"/>
    <x v="1"/>
    <s v="Lubricants"/>
    <s v="Conventional"/>
    <x v="2"/>
    <n v="52005050"/>
    <n v="1500"/>
    <n v="63000"/>
    <n v="12750"/>
    <n v="8700"/>
    <n v="3000"/>
  </r>
  <r>
    <s v="Euro Truck Group ltd"/>
    <s v="Euro Truck SCOT"/>
    <n v="10205600"/>
    <x v="1"/>
    <s v="Diesel "/>
    <s v="Conventional"/>
    <x v="3"/>
    <n v="60022300"/>
    <n v="18700"/>
    <n v="336600"/>
    <n v="112200"/>
    <n v="542300"/>
    <n v="37400"/>
  </r>
  <r>
    <s v="Euro Truck Group ltd"/>
    <s v="Euro Truck FRA"/>
    <n v="10205252"/>
    <x v="2"/>
    <s v="Lubricants"/>
    <s v="Conventional"/>
    <x v="2"/>
    <n v="52005050"/>
    <n v="2500"/>
    <n v="105000"/>
    <n v="21250"/>
    <n v="14500"/>
    <n v="5000"/>
  </r>
  <r>
    <s v="Euro Truck Group ltd"/>
    <s v="Euro Truck FRA"/>
    <n v="10205252"/>
    <x v="2"/>
    <s v="Diesel "/>
    <s v="Conventional"/>
    <x v="1"/>
    <n v="60022909"/>
    <n v="29000"/>
    <n v="551000"/>
    <n v="188500"/>
    <n v="812000"/>
    <n v="58000"/>
  </r>
  <r>
    <s v="Euro Truck Group ltd"/>
    <s v="Euro Truck IRE"/>
    <n v="10204959"/>
    <x v="3"/>
    <s v="Lubricants"/>
    <s v="Conventional"/>
    <x v="0"/>
    <n v="52005002"/>
    <n v="1200"/>
    <n v="48000"/>
    <n v="8400"/>
    <n v="6600"/>
    <n v="2400"/>
  </r>
  <r>
    <s v="Euro Truck Group ltd"/>
    <s v="Euro Truck IRE"/>
    <n v="10204959"/>
    <x v="3"/>
    <s v="Diesel "/>
    <s v="Conventional"/>
    <x v="3"/>
    <n v="60022300"/>
    <n v="22000"/>
    <n v="396000"/>
    <n v="132000"/>
    <n v="638000"/>
    <n v="44000"/>
  </r>
  <r>
    <s v="Euro Truck Group ltd"/>
    <s v="Euro Truck NOR"/>
    <n v="10205590"/>
    <x v="4"/>
    <s v="Lubricants"/>
    <s v="Conventional"/>
    <x v="2"/>
    <n v="52005050"/>
    <n v="800"/>
    <n v="33600"/>
    <n v="6800"/>
    <n v="4640"/>
    <n v="1600"/>
  </r>
  <r>
    <s v="Euro Truck Group ltd"/>
    <s v="Euro Truck NOR"/>
    <n v="10205590"/>
    <x v="4"/>
    <s v="Diesel "/>
    <s v="Conventional"/>
    <x v="1"/>
    <n v="60022909"/>
    <n v="12000"/>
    <n v="228000"/>
    <n v="78000"/>
    <n v="336000"/>
    <n v="24000"/>
  </r>
  <r>
    <s v="Euro Truck Group ltd"/>
    <s v="Euro Truck WAL"/>
    <n v="10204957"/>
    <x v="5"/>
    <s v="Lubricants"/>
    <s v="Conventional"/>
    <x v="0"/>
    <n v="52005002"/>
    <n v="1800"/>
    <n v="72000"/>
    <n v="12600"/>
    <n v="9900"/>
    <n v="3600"/>
  </r>
  <r>
    <s v="Euro Truck Group ltd"/>
    <s v="Euro Truck WAL"/>
    <n v="10204957"/>
    <x v="5"/>
    <s v="Diesel "/>
    <s v="Conventional"/>
    <x v="1"/>
    <n v="60022909"/>
    <n v="16900"/>
    <n v="321100"/>
    <n v="109850"/>
    <n v="473200"/>
    <n v="33800"/>
  </r>
  <r>
    <s v="Euro Truck Group ltd"/>
    <s v="Euro Truck GER"/>
    <n v="10204980"/>
    <x v="6"/>
    <s v="Lubricants"/>
    <s v="Conventional"/>
    <x v="0"/>
    <n v="52005002"/>
    <n v="2500"/>
    <n v="100000"/>
    <n v="17500"/>
    <n v="13750"/>
    <n v="5000"/>
  </r>
  <r>
    <s v="Euro Truck Group ltd"/>
    <s v="Euro Truck GER"/>
    <n v="10204980"/>
    <x v="6"/>
    <s v="Diesel "/>
    <s v="Conventional"/>
    <x v="3"/>
    <n v="60022300"/>
    <n v="28000"/>
    <n v="504000"/>
    <n v="168000"/>
    <n v="812000"/>
    <n v="56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2BFD71-E7E9-4526-8FE7-5071795B5CB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E24" firstHeaderRow="0" firstDataRow="1" firstDataCol="1"/>
  <pivotFields count="13">
    <pivotField showAll="0"/>
    <pivotField showAll="0"/>
    <pivotField showAll="0"/>
    <pivotField axis="axisRow" showAll="0">
      <items count="8">
        <item x="0"/>
        <item x="2"/>
        <item x="6"/>
        <item x="3"/>
        <item x="4"/>
        <item x="1"/>
        <item x="5"/>
        <item t="default"/>
      </items>
    </pivotField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dataField="1" numFmtId="43" showAll="0"/>
    <pivotField dataField="1" showAll="0"/>
    <pivotField numFmtId="164" showAll="0"/>
    <pivotField dataField="1" showAll="0"/>
    <pivotField dataField="1" numFmtId="1" showAll="0"/>
  </pivotFields>
  <rowFields count="2">
    <field x="3"/>
    <field x="6"/>
  </rowFields>
  <rowItems count="22">
    <i>
      <x/>
    </i>
    <i r="1">
      <x v="1"/>
    </i>
    <i r="1">
      <x v="2"/>
    </i>
    <i>
      <x v="1"/>
    </i>
    <i r="1">
      <x v="1"/>
    </i>
    <i r="1">
      <x v="3"/>
    </i>
    <i>
      <x v="2"/>
    </i>
    <i r="1">
      <x/>
    </i>
    <i r="1">
      <x v="2"/>
    </i>
    <i>
      <x v="3"/>
    </i>
    <i r="1">
      <x/>
    </i>
    <i r="1">
      <x v="2"/>
    </i>
    <i>
      <x v="4"/>
    </i>
    <i r="1">
      <x v="1"/>
    </i>
    <i r="1">
      <x v="3"/>
    </i>
    <i>
      <x v="5"/>
    </i>
    <i r="1">
      <x/>
    </i>
    <i r="1">
      <x v="3"/>
    </i>
    <i>
      <x v="6"/>
    </i>
    <i r="1">
      <x v="1"/>
    </i>
    <i r="1"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Volume (L)" fld="8" baseField="0" baseItem="0"/>
    <dataField name="Sum of Km Travelled" fld="12" baseField="0" baseItem="0"/>
    <dataField name="Sum of Total Carbon Emissions" fld="11" baseField="0" baseItem="0"/>
    <dataField name="Sum of Sales Revenu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576A70-63D9-4077-A71A-6051095AEF1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E24" firstHeaderRow="0" firstDataRow="1" firstDataCol="1"/>
  <pivotFields count="13">
    <pivotField showAll="0"/>
    <pivotField showAll="0"/>
    <pivotField showAll="0"/>
    <pivotField axis="axisRow" showAll="0">
      <items count="8">
        <item x="0"/>
        <item x="2"/>
        <item x="6"/>
        <item x="3"/>
        <item x="4"/>
        <item x="1"/>
        <item x="5"/>
        <item t="default"/>
      </items>
    </pivotField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dataField="1" numFmtId="43" showAll="0"/>
    <pivotField dataField="1" showAll="0"/>
    <pivotField numFmtId="164" showAll="0"/>
    <pivotField dataField="1" showAll="0"/>
    <pivotField dataField="1" numFmtId="1" showAll="0"/>
  </pivotFields>
  <rowFields count="2">
    <field x="3"/>
    <field x="6"/>
  </rowFields>
  <rowItems count="22">
    <i>
      <x/>
    </i>
    <i r="1">
      <x v="1"/>
    </i>
    <i r="1">
      <x v="2"/>
    </i>
    <i>
      <x v="1"/>
    </i>
    <i r="1">
      <x v="1"/>
    </i>
    <i r="1">
      <x v="3"/>
    </i>
    <i>
      <x v="2"/>
    </i>
    <i r="1">
      <x/>
    </i>
    <i r="1">
      <x v="2"/>
    </i>
    <i>
      <x v="3"/>
    </i>
    <i r="1">
      <x/>
    </i>
    <i r="1">
      <x v="2"/>
    </i>
    <i>
      <x v="4"/>
    </i>
    <i r="1">
      <x v="1"/>
    </i>
    <i r="1">
      <x v="3"/>
    </i>
    <i>
      <x v="5"/>
    </i>
    <i r="1">
      <x/>
    </i>
    <i r="1">
      <x v="3"/>
    </i>
    <i>
      <x v="6"/>
    </i>
    <i r="1">
      <x v="1"/>
    </i>
    <i r="1"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Volume (L)" fld="8" baseField="0" baseItem="0"/>
    <dataField name="Sum of Km Travelled" fld="12" baseField="0" baseItem="0"/>
    <dataField name="Sum of Total Carbon Emissions" fld="11" baseField="0" baseItem="0"/>
    <dataField name="Sum of Sales Revenu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322351-27E5-442E-9933-4D197FA5543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E24" firstHeaderRow="0" firstDataRow="1" firstDataCol="1"/>
  <pivotFields count="13">
    <pivotField showAll="0"/>
    <pivotField showAll="0"/>
    <pivotField showAll="0"/>
    <pivotField axis="axisRow" showAll="0">
      <items count="8">
        <item x="0"/>
        <item x="2"/>
        <item x="6"/>
        <item x="3"/>
        <item x="4"/>
        <item x="1"/>
        <item x="5"/>
        <item t="default"/>
      </items>
    </pivotField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dataField="1" numFmtId="43" showAll="0"/>
    <pivotField dataField="1" showAll="0"/>
    <pivotField numFmtId="164" showAll="0"/>
    <pivotField dataField="1" showAll="0"/>
    <pivotField dataField="1" numFmtId="1" showAll="0"/>
  </pivotFields>
  <rowFields count="2">
    <field x="3"/>
    <field x="6"/>
  </rowFields>
  <rowItems count="22">
    <i>
      <x/>
    </i>
    <i r="1">
      <x v="1"/>
    </i>
    <i r="1">
      <x v="2"/>
    </i>
    <i>
      <x v="1"/>
    </i>
    <i r="1">
      <x v="1"/>
    </i>
    <i r="1">
      <x v="3"/>
    </i>
    <i>
      <x v="2"/>
    </i>
    <i r="1">
      <x/>
    </i>
    <i r="1">
      <x v="2"/>
    </i>
    <i>
      <x v="3"/>
    </i>
    <i r="1">
      <x/>
    </i>
    <i r="1">
      <x v="2"/>
    </i>
    <i>
      <x v="4"/>
    </i>
    <i r="1">
      <x v="1"/>
    </i>
    <i r="1">
      <x v="3"/>
    </i>
    <i>
      <x v="5"/>
    </i>
    <i r="1">
      <x/>
    </i>
    <i r="1">
      <x v="3"/>
    </i>
    <i>
      <x v="6"/>
    </i>
    <i r="1">
      <x v="1"/>
    </i>
    <i r="1"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Volume (L)" fld="8" baseField="0" baseItem="0"/>
    <dataField name="Sum of Km Travelled" fld="12" baseField="0" baseItem="0"/>
    <dataField name="Sum of Total Carbon Emissions" fld="11" baseField="0" baseItem="0"/>
    <dataField name="Sum of Sales Revenu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30F87E-86BD-40FC-B28E-BBEC9540452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E24" firstHeaderRow="0" firstDataRow="1" firstDataCol="1"/>
  <pivotFields count="13">
    <pivotField showAll="0"/>
    <pivotField showAll="0"/>
    <pivotField showAll="0"/>
    <pivotField axis="axisRow" showAll="0">
      <items count="8">
        <item x="0"/>
        <item x="2"/>
        <item x="6"/>
        <item x="3"/>
        <item x="4"/>
        <item x="1"/>
        <item x="5"/>
        <item t="default"/>
      </items>
    </pivotField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dataField="1" numFmtId="43" showAll="0"/>
    <pivotField dataField="1" showAll="0"/>
    <pivotField numFmtId="164" showAll="0"/>
    <pivotField dataField="1" showAll="0"/>
    <pivotField dataField="1" numFmtId="1" showAll="0"/>
  </pivotFields>
  <rowFields count="2">
    <field x="3"/>
    <field x="6"/>
  </rowFields>
  <rowItems count="22">
    <i>
      <x/>
    </i>
    <i r="1">
      <x v="1"/>
    </i>
    <i r="1">
      <x v="2"/>
    </i>
    <i>
      <x v="1"/>
    </i>
    <i r="1">
      <x v="1"/>
    </i>
    <i r="1">
      <x v="3"/>
    </i>
    <i>
      <x v="2"/>
    </i>
    <i r="1">
      <x/>
    </i>
    <i r="1">
      <x v="2"/>
    </i>
    <i>
      <x v="3"/>
    </i>
    <i r="1">
      <x/>
    </i>
    <i r="1">
      <x v="2"/>
    </i>
    <i>
      <x v="4"/>
    </i>
    <i r="1">
      <x v="1"/>
    </i>
    <i r="1">
      <x v="3"/>
    </i>
    <i>
      <x v="5"/>
    </i>
    <i r="1">
      <x/>
    </i>
    <i r="1">
      <x v="3"/>
    </i>
    <i>
      <x v="6"/>
    </i>
    <i r="1">
      <x v="1"/>
    </i>
    <i r="1"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Volume (L)" fld="8" baseField="0" baseItem="0"/>
    <dataField name="Sum of Km Travelled" fld="12" baseField="0" baseItem="0"/>
    <dataField name="Sum of Total Carbon Emissions" fld="11" baseField="0" baseItem="0"/>
    <dataField name="Sum of Sales Revenu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AAD77-1D06-403C-9A86-EFB4F4EDFFF9}" name="Table14" displayName="Table14" ref="A1:N155" totalsRowShown="0">
  <autoFilter ref="A1:N155" xr:uid="{BB5E42E6-5D70-445B-9A60-61A1949FA413}"/>
  <tableColumns count="14">
    <tableColumn id="1" xr3:uid="{C8A40F42-275D-45AA-84F3-8C9B39417517}" name="Date (MMYY)" dataDxfId="19"/>
    <tableColumn id="2" xr3:uid="{506F9189-C2E1-48C1-A2CF-7B5BCB0B716F}" name="Customer Parent"/>
    <tableColumn id="3" xr3:uid="{BAB45DCF-280C-4AF1-B831-8FBFF8064A6D}" name="Sold to Account"/>
    <tableColumn id="5" xr3:uid="{7D73321A-CD38-4988-95BD-C949A7D66C48}" name="Sold TO Code"/>
    <tableColumn id="4" xr3:uid="{918F13F4-43C1-4174-9CF2-CED009EA0602}" name="Country"/>
    <tableColumn id="6" xr3:uid="{E4954B06-3FE4-4F11-8D56-ACA37B55CC2B}" name="Product Category"/>
    <tableColumn id="7" xr3:uid="{F02B125A-8247-4FA9-9452-E9AEB7D9EE28}" name="Prem/Conv"/>
    <tableColumn id="8" xr3:uid="{F397B73B-0CA6-478A-BAB5-E9779148EF04}" name="Product Name"/>
    <tableColumn id="9" xr3:uid="{F7C7C7DE-32AF-4543-898F-2934DE109B53}" name="Product Code"/>
    <tableColumn id="10" xr3:uid="{1FE2626D-07E8-4D34-8774-A60B71C3F1FE}" name="Volume (L)" dataCellStyle="Comma"/>
    <tableColumn id="12" xr3:uid="{81A19A87-8399-42F2-9D62-55D8985D932C}" name="Sales Revenue" dataDxfId="18">
      <calculatedColumnFormula array="1">_xlfn.XLOOKUP(I2,'Product Mapping'!$C$3:$C$10,'Product Mapping'!$F$3:$F$10*J2)</calculatedColumnFormula>
    </tableColumn>
    <tableColumn id="15" xr3:uid="{C1836D67-3CC9-4E03-AC13-AE6833D9676F}" name="Sales margin" dataDxfId="17">
      <calculatedColumnFormula array="1">_xlfn.XLOOKUP(I2,'Product Mapping'!$C$3:$C$10,'Product Mapping'!$G$3:$G$10*J2)</calculatedColumnFormula>
    </tableColumn>
    <tableColumn id="14" xr3:uid="{465665A2-6615-4C24-ADB9-742298C02601}" name="Total Carbon Emissions" dataDxfId="16">
      <calculatedColumnFormula array="1">_xlfn.XLOOKUP(I2,'Product Mapping'!$C$3:$C$10,'Product Mapping'!$H$3:$H$10*J2)</calculatedColumnFormula>
    </tableColumn>
    <tableColumn id="13" xr3:uid="{FC511516-F57D-4589-AE76-4D04619F8E93}" name="Km Travelled" dataDxfId="15">
      <calculatedColumnFormula>Table14[[#This Row],[Volume (L)]]/0.5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E42E6-5D70-445B-9A60-61A1949FA413}" name="Table1" displayName="Table1" ref="B2:N157" totalsRowShown="0">
  <autoFilter ref="B2:N157" xr:uid="{BB5E42E6-5D70-445B-9A60-61A1949FA413}"/>
  <tableColumns count="13">
    <tableColumn id="1" xr3:uid="{50BF44FC-C1C9-45DB-BF6E-908D82A532A9}" name="Date (MMYY)" dataDxfId="14"/>
    <tableColumn id="2" xr3:uid="{483377B7-ADB8-460F-80E2-D77CDA92DFCE}" name="Customer Parent"/>
    <tableColumn id="3" xr3:uid="{DB7AB72D-50FC-4F8A-9E6C-1074FEB0BE83}" name="Sold to Account"/>
    <tableColumn id="5" xr3:uid="{139DA130-45E5-4471-BAE9-1AF6003BE786}" name="Sold TO Code"/>
    <tableColumn id="4" xr3:uid="{C20F362F-6953-40C4-9EC8-D033AAEDF19F}" name="Country"/>
    <tableColumn id="6" xr3:uid="{0621ADED-7D24-4B07-AC42-0A70508173F0}" name="Product Category"/>
    <tableColumn id="7" xr3:uid="{BDF373DB-AF87-4F72-A2A6-9970D4FCAE25}" name="Prem/Conv"/>
    <tableColumn id="8" xr3:uid="{07D5DF34-56F4-4751-BF5E-0FC3F83FAE08}" name="Product Name"/>
    <tableColumn id="9" xr3:uid="{9E595168-27F9-498F-B236-D91037C01FF5}" name="Product Code"/>
    <tableColumn id="10" xr3:uid="{3911672B-C589-4221-90EF-F846440DF10E}" name="Volume (L)" dataCellStyle="Comma"/>
    <tableColumn id="12" xr3:uid="{5F8B0BB8-0D76-4780-9C46-15E6249E4ED7}" name="Sales Revenue" dataDxfId="13"/>
    <tableColumn id="15" xr3:uid="{B41F5600-9AD2-4AAE-B2A6-164C69ACAEEE}" name="Sales margin" dataDxfId="12"/>
    <tableColumn id="14" xr3:uid="{0C26CA55-2D80-4158-8B51-1A9F0E357B87}" name="Total Carbon Emiss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3C5E07-004D-4985-8C0B-0B559B43F610}" name="Table26" displayName="Table26" ref="B2:K11" totalsRowShown="0" headerRowDxfId="11" headerRowBorderDxfId="10" tableBorderDxfId="9" totalsRowBorderDxfId="8">
  <autoFilter ref="B2:K11" xr:uid="{6B3C5E07-004D-4985-8C0B-0B559B43F610}"/>
  <tableColumns count="10">
    <tableColumn id="1" xr3:uid="{14C86205-7730-4CD4-9695-F12656AB9C89}" name="Product Name"/>
    <tableColumn id="7" xr3:uid="{CDFCC85A-3D9F-475A-9713-B8AAB575F7FA}" name="Product Code"/>
    <tableColumn id="6" xr3:uid="{E5D7CE8A-57C0-4F47-966D-89D589E59F61}" name="Product Category"/>
    <tableColumn id="5" xr3:uid="{82201EE4-99FD-49D2-A333-C57271B73FD0}" name="Prem/Conv"/>
    <tableColumn id="9" xr3:uid="{0FAFF292-7265-4665-8F88-D2F2F5B261C5}" name="Price per Litre"/>
    <tableColumn id="10" xr3:uid="{1B1C7192-85E5-4654-9579-34496B2377D9}" name="Margin per Litre" dataDxfId="7" dataCellStyle="Comma"/>
    <tableColumn id="4" xr3:uid="{510A2540-774F-4C90-897A-965716D1D95A}" name="CO2 KG per Litre"/>
    <tableColumn id="8" xr3:uid="{6856A3A1-DF7D-467D-900E-6AEE8D8D3DA4}" name="Fuel Efficiency %*"/>
    <tableColumn id="3" xr3:uid="{C110B6E2-6523-4882-9983-9EE0F1A6A0B1}" name="Oil Drainage Intervall** (km)"/>
    <tableColumn id="2" xr3:uid="{B4F6D261-AEFF-464D-A156-D72F8AE1D6A6}" name="Avg Litre of Lubricants per Oil Chan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AA2BF7-D943-4232-A1DC-8C4FBA258E5B}" name="Table47" displayName="Table47" ref="B16:E17" totalsRowShown="0" headerRowDxfId="6" headerRowBorderDxfId="5" tableBorderDxfId="4" totalsRowBorderDxfId="3">
  <autoFilter ref="B16:E17" xr:uid="{8EAA2BF7-D943-4232-A1DC-8C4FBA258E5B}"/>
  <tableColumns count="4">
    <tableColumn id="1" xr3:uid="{8EE3C139-F9D5-4267-B0F5-53AF804DC8EC}" name="Region" dataDxfId="2"/>
    <tableColumn id="4" xr3:uid="{C5E1D914-CB5F-47D0-930E-F060AE383875}" name="Avg nr of Trucks per country" dataDxfId="1"/>
    <tableColumn id="2" xr3:uid="{267E8EA2-3732-4F2C-A18E-083BA5374472}" name="Fuel Consumption per km (Ltr)" dataDxfId="0"/>
    <tableColumn id="3" xr3:uid="{F35CD4E7-31DB-4D23-9BDB-DC46E2DF2CEA}" name="Avg KM driven of fleet per 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E542-B531-4763-A80D-96F7CCA00642}">
  <dimension ref="A1:E7"/>
  <sheetViews>
    <sheetView workbookViewId="0">
      <selection activeCell="A3" sqref="A3"/>
    </sheetView>
  </sheetViews>
  <sheetFormatPr defaultRowHeight="14.4" x14ac:dyDescent="0.3"/>
  <cols>
    <col min="1" max="1" width="6.109375" bestFit="1" customWidth="1"/>
    <col min="2" max="2" width="16.33203125" bestFit="1" customWidth="1"/>
    <col min="3" max="3" width="12" bestFit="1" customWidth="1"/>
    <col min="4" max="4" width="15.109375" bestFit="1" customWidth="1"/>
    <col min="5" max="5" width="13.88671875" bestFit="1" customWidth="1"/>
    <col min="6" max="6" width="12.6640625" bestFit="1" customWidth="1"/>
  </cols>
  <sheetData>
    <row r="1" spans="1:5" x14ac:dyDescent="0.3">
      <c r="A1" s="69" t="s">
        <v>187</v>
      </c>
      <c r="B1" s="70" t="s">
        <v>188</v>
      </c>
      <c r="C1" s="69" t="s">
        <v>190</v>
      </c>
      <c r="D1" s="69" t="s">
        <v>141</v>
      </c>
      <c r="E1" s="69" t="s">
        <v>189</v>
      </c>
    </row>
    <row r="2" spans="1:5" x14ac:dyDescent="0.3">
      <c r="A2" s="20">
        <v>2022</v>
      </c>
      <c r="B2" s="21">
        <v>47586170.171428576</v>
      </c>
      <c r="C2" s="68">
        <v>35944300</v>
      </c>
      <c r="D2" t="s">
        <v>191</v>
      </c>
      <c r="E2" t="s">
        <v>191</v>
      </c>
    </row>
    <row r="3" spans="1:5" x14ac:dyDescent="0.3">
      <c r="A3" t="s">
        <v>123</v>
      </c>
      <c r="B3">
        <v>42781279.825000003</v>
      </c>
      <c r="C3">
        <v>33449820</v>
      </c>
      <c r="D3" s="71">
        <v>10</v>
      </c>
      <c r="E3" s="71">
        <v>-7</v>
      </c>
    </row>
    <row r="4" spans="1:5" x14ac:dyDescent="0.3">
      <c r="A4" t="s">
        <v>124</v>
      </c>
      <c r="B4">
        <v>37934339.825000003</v>
      </c>
      <c r="C4">
        <v>36215940</v>
      </c>
      <c r="D4" s="71">
        <v>20</v>
      </c>
      <c r="E4" s="71">
        <v>1</v>
      </c>
    </row>
    <row r="5" spans="1:5" x14ac:dyDescent="0.3">
      <c r="A5" t="s">
        <v>125</v>
      </c>
      <c r="B5">
        <v>34075939.825000003</v>
      </c>
      <c r="C5">
        <v>38304140</v>
      </c>
      <c r="D5" s="71">
        <v>28</v>
      </c>
      <c r="E5" s="71">
        <v>7</v>
      </c>
    </row>
    <row r="6" spans="1:5" x14ac:dyDescent="0.3">
      <c r="A6" t="s">
        <v>126</v>
      </c>
      <c r="B6">
        <v>30388219.824999999</v>
      </c>
      <c r="C6">
        <v>40408700</v>
      </c>
      <c r="D6" s="71">
        <v>36</v>
      </c>
      <c r="E6" s="71">
        <v>12</v>
      </c>
    </row>
    <row r="7" spans="1:5" x14ac:dyDescent="0.3">
      <c r="A7" t="s">
        <v>127</v>
      </c>
      <c r="B7">
        <v>27109727.824999999</v>
      </c>
      <c r="C7">
        <v>42572378.75</v>
      </c>
      <c r="D7" s="71">
        <v>43</v>
      </c>
      <c r="E7" s="7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AC43-0F89-4512-9D4E-22AF08ADF2F4}">
  <dimension ref="A1:V8"/>
  <sheetViews>
    <sheetView tabSelected="1" topLeftCell="L1" zoomScale="80" zoomScaleNormal="80" workbookViewId="0">
      <selection activeCell="Q11" sqref="Q11"/>
    </sheetView>
  </sheetViews>
  <sheetFormatPr defaultRowHeight="14.4" x14ac:dyDescent="0.3"/>
  <cols>
    <col min="1" max="1" width="28.44140625" bestFit="1" customWidth="1"/>
    <col min="2" max="2" width="15" bestFit="1" customWidth="1"/>
    <col min="3" max="3" width="13.88671875" bestFit="1" customWidth="1"/>
    <col min="4" max="4" width="19.6640625" bestFit="1" customWidth="1"/>
    <col min="5" max="5" width="20" bestFit="1" customWidth="1"/>
    <col min="6" max="6" width="23.21875" bestFit="1" customWidth="1"/>
    <col min="7" max="7" width="27.21875" bestFit="1" customWidth="1"/>
    <col min="8" max="8" width="26.6640625" bestFit="1" customWidth="1"/>
    <col min="9" max="9" width="30.77734375" bestFit="1" customWidth="1"/>
    <col min="10" max="10" width="25.6640625" bestFit="1" customWidth="1"/>
    <col min="11" max="11" width="17.88671875" bestFit="1" customWidth="1"/>
    <col min="12" max="12" width="17.77734375" bestFit="1" customWidth="1"/>
    <col min="13" max="13" width="18.33203125" bestFit="1" customWidth="1"/>
    <col min="14" max="14" width="17.109375" bestFit="1" customWidth="1"/>
    <col min="15" max="15" width="28.33203125" bestFit="1" customWidth="1"/>
    <col min="16" max="16" width="25" bestFit="1" customWidth="1"/>
    <col min="17" max="17" width="25" customWidth="1"/>
    <col min="18" max="18" width="43.88671875" style="50" bestFit="1" customWidth="1"/>
    <col min="19" max="20" width="18.5546875" bestFit="1" customWidth="1"/>
    <col min="21" max="21" width="18.33203125" bestFit="1" customWidth="1"/>
    <col min="22" max="22" width="18.44140625" bestFit="1" customWidth="1"/>
  </cols>
  <sheetData>
    <row r="1" spans="1:22" ht="28.8" x14ac:dyDescent="0.3">
      <c r="A1" s="28" t="s">
        <v>91</v>
      </c>
      <c r="B1" s="28" t="s">
        <v>92</v>
      </c>
      <c r="C1" s="28" t="s">
        <v>93</v>
      </c>
      <c r="D1" s="28" t="s">
        <v>94</v>
      </c>
      <c r="E1" s="28" t="s">
        <v>95</v>
      </c>
      <c r="F1" s="28" t="s">
        <v>96</v>
      </c>
      <c r="G1" s="28" t="s">
        <v>97</v>
      </c>
      <c r="H1" s="28" t="s">
        <v>98</v>
      </c>
      <c r="I1" s="28" t="s">
        <v>99</v>
      </c>
      <c r="J1" s="44" t="s">
        <v>147</v>
      </c>
      <c r="K1" s="28" t="s">
        <v>100</v>
      </c>
      <c r="L1" s="28" t="s">
        <v>101</v>
      </c>
      <c r="M1" s="28" t="s">
        <v>102</v>
      </c>
      <c r="N1" s="28" t="s">
        <v>103</v>
      </c>
      <c r="O1" s="28" t="s">
        <v>122</v>
      </c>
      <c r="P1" s="28" t="s">
        <v>104</v>
      </c>
      <c r="Q1" s="48" t="s">
        <v>192</v>
      </c>
      <c r="R1" s="48" t="s">
        <v>105</v>
      </c>
      <c r="S1" s="28" t="s">
        <v>106</v>
      </c>
      <c r="T1" s="28" t="s">
        <v>107</v>
      </c>
      <c r="U1" s="28" t="s">
        <v>108</v>
      </c>
      <c r="V1" s="28" t="s">
        <v>109</v>
      </c>
    </row>
    <row r="2" spans="1:22" x14ac:dyDescent="0.3">
      <c r="A2" s="29" t="s">
        <v>113</v>
      </c>
      <c r="B2" s="29" t="s">
        <v>114</v>
      </c>
      <c r="C2" s="29" t="s">
        <v>112</v>
      </c>
      <c r="D2" s="30">
        <v>648000</v>
      </c>
      <c r="E2" s="30">
        <v>324000</v>
      </c>
      <c r="F2" s="31">
        <v>6156000</v>
      </c>
      <c r="G2" s="30">
        <v>25000</v>
      </c>
      <c r="H2" s="32">
        <v>5554.29</v>
      </c>
      <c r="I2" s="31">
        <v>1050000</v>
      </c>
      <c r="J2" s="31">
        <v>233280</v>
      </c>
      <c r="K2" s="32">
        <v>32214.86</v>
      </c>
      <c r="L2" s="32">
        <v>9072000</v>
      </c>
      <c r="M2" s="32">
        <v>9104214.8599999994</v>
      </c>
      <c r="N2" s="32">
        <f t="shared" ref="N2:N8" si="0">F2+I2</f>
        <v>7206000</v>
      </c>
      <c r="O2" s="32">
        <v>311040</v>
      </c>
      <c r="P2" s="31">
        <v>8709120</v>
      </c>
      <c r="Q2">
        <v>2430</v>
      </c>
      <c r="R2" s="49">
        <v>157950</v>
      </c>
      <c r="S2" s="30">
        <v>17253</v>
      </c>
      <c r="T2" s="30">
        <v>4354560</v>
      </c>
      <c r="U2" s="30">
        <v>4371813</v>
      </c>
      <c r="V2" s="32">
        <f>P2+R2</f>
        <v>8867070</v>
      </c>
    </row>
    <row r="3" spans="1:22" x14ac:dyDescent="0.3">
      <c r="A3" s="29" t="s">
        <v>115</v>
      </c>
      <c r="B3" s="29" t="s">
        <v>111</v>
      </c>
      <c r="C3" s="29" t="s">
        <v>116</v>
      </c>
      <c r="D3" s="30">
        <v>623000</v>
      </c>
      <c r="E3" s="30">
        <v>311500</v>
      </c>
      <c r="F3" s="31">
        <v>5607000</v>
      </c>
      <c r="G3" s="30">
        <v>25500</v>
      </c>
      <c r="H3" s="32">
        <v>6230</v>
      </c>
      <c r="I3" s="31">
        <v>1020000</v>
      </c>
      <c r="J3" s="31">
        <v>249200</v>
      </c>
      <c r="K3" s="32">
        <v>34265</v>
      </c>
      <c r="L3" s="32">
        <v>9033500</v>
      </c>
      <c r="M3" s="32">
        <v>9067765</v>
      </c>
      <c r="N3" s="32">
        <f t="shared" si="0"/>
        <v>6627000</v>
      </c>
      <c r="O3" s="32">
        <v>299040</v>
      </c>
      <c r="P3" s="31">
        <v>8373120</v>
      </c>
      <c r="Q3">
        <v>2336.25</v>
      </c>
      <c r="R3" s="49">
        <v>151856.25</v>
      </c>
      <c r="S3" s="30">
        <v>16587.375</v>
      </c>
      <c r="T3" s="30">
        <v>4186560</v>
      </c>
      <c r="U3" s="30">
        <v>4203147.375</v>
      </c>
      <c r="V3" s="32">
        <f>P3+R3</f>
        <v>8524976.25</v>
      </c>
    </row>
    <row r="4" spans="1:22" x14ac:dyDescent="0.3">
      <c r="A4" s="29" t="s">
        <v>110</v>
      </c>
      <c r="B4" s="29" t="s">
        <v>111</v>
      </c>
      <c r="C4" s="29" t="s">
        <v>112</v>
      </c>
      <c r="D4" s="30">
        <v>530000</v>
      </c>
      <c r="E4" s="30">
        <v>265000</v>
      </c>
      <c r="F4" s="31">
        <v>5035000</v>
      </c>
      <c r="G4" s="30">
        <v>19500</v>
      </c>
      <c r="H4" s="32">
        <v>5300</v>
      </c>
      <c r="I4" s="31">
        <v>780000</v>
      </c>
      <c r="J4" s="31">
        <v>212000</v>
      </c>
      <c r="K4" s="32">
        <v>29150</v>
      </c>
      <c r="L4" s="32">
        <v>7420000</v>
      </c>
      <c r="M4" s="32">
        <v>7449150</v>
      </c>
      <c r="N4" s="32">
        <f t="shared" si="0"/>
        <v>5815000</v>
      </c>
      <c r="O4" s="32">
        <v>254400</v>
      </c>
      <c r="P4" s="31">
        <v>7123200</v>
      </c>
      <c r="Q4">
        <v>1987.5</v>
      </c>
      <c r="R4" s="49">
        <v>129187.5</v>
      </c>
      <c r="S4" s="30">
        <v>14111.25</v>
      </c>
      <c r="T4" s="30">
        <v>3561600</v>
      </c>
      <c r="U4" s="30">
        <v>3575711.25</v>
      </c>
      <c r="V4" s="32">
        <f>P4+R4</f>
        <v>7252387.5</v>
      </c>
    </row>
    <row r="5" spans="1:22" x14ac:dyDescent="0.3">
      <c r="A5" s="29" t="s">
        <v>117</v>
      </c>
      <c r="B5" s="29" t="s">
        <v>111</v>
      </c>
      <c r="C5" s="29" t="s">
        <v>116</v>
      </c>
      <c r="D5" s="30">
        <v>474000</v>
      </c>
      <c r="E5" s="30">
        <v>237000</v>
      </c>
      <c r="F5" s="31">
        <v>4266000</v>
      </c>
      <c r="G5" s="30">
        <v>13200</v>
      </c>
      <c r="H5" s="32">
        <v>4740</v>
      </c>
      <c r="I5" s="31">
        <v>528000</v>
      </c>
      <c r="J5" s="31">
        <v>189600</v>
      </c>
      <c r="K5" s="32">
        <v>26070</v>
      </c>
      <c r="L5" s="32">
        <v>6873000</v>
      </c>
      <c r="M5" s="32">
        <v>6899070</v>
      </c>
      <c r="N5" s="32">
        <f t="shared" si="0"/>
        <v>4794000</v>
      </c>
      <c r="O5">
        <v>227520</v>
      </c>
      <c r="P5" s="31">
        <v>6370560</v>
      </c>
      <c r="Q5">
        <v>1777.5</v>
      </c>
      <c r="R5" s="49">
        <v>115537.5</v>
      </c>
      <c r="S5" s="30">
        <v>12620.25</v>
      </c>
      <c r="T5" s="30">
        <v>3185280</v>
      </c>
      <c r="U5" s="30">
        <v>3197900.25</v>
      </c>
      <c r="V5" s="32">
        <f>P5+R5</f>
        <v>6486097.5</v>
      </c>
    </row>
    <row r="6" spans="1:22" x14ac:dyDescent="0.3">
      <c r="A6" s="29" t="s">
        <v>119</v>
      </c>
      <c r="B6" s="29" t="s">
        <v>114</v>
      </c>
      <c r="C6" s="29" t="s">
        <v>116</v>
      </c>
      <c r="D6" s="30">
        <v>421400</v>
      </c>
      <c r="E6" s="30">
        <v>210700</v>
      </c>
      <c r="F6" s="31">
        <v>3792600</v>
      </c>
      <c r="G6" s="30">
        <v>14500</v>
      </c>
      <c r="H6" s="32">
        <v>3612</v>
      </c>
      <c r="I6" s="31">
        <v>609000</v>
      </c>
      <c r="J6" s="31">
        <v>151704</v>
      </c>
      <c r="K6" s="32">
        <v>20949.599999999999</v>
      </c>
      <c r="L6" s="32">
        <v>6110300</v>
      </c>
      <c r="M6" s="32">
        <v>6131249.5999999996</v>
      </c>
      <c r="N6" s="32">
        <f t="shared" si="0"/>
        <v>4401600</v>
      </c>
      <c r="O6">
        <v>202272</v>
      </c>
      <c r="P6" s="31">
        <v>5663616</v>
      </c>
      <c r="Q6">
        <v>1580.25</v>
      </c>
      <c r="R6" s="49">
        <v>102716.25</v>
      </c>
      <c r="S6" s="30">
        <v>11219.775</v>
      </c>
      <c r="T6" s="30">
        <v>2831808</v>
      </c>
      <c r="U6" s="30">
        <v>2843027.7749999999</v>
      </c>
      <c r="V6" s="32">
        <f>P6+R6</f>
        <v>5766332.25</v>
      </c>
    </row>
    <row r="7" spans="1:22" x14ac:dyDescent="0.3">
      <c r="A7" s="29" t="s">
        <v>120</v>
      </c>
      <c r="B7" s="29" t="s">
        <v>111</v>
      </c>
      <c r="C7" s="29" t="s">
        <v>112</v>
      </c>
      <c r="D7" s="30">
        <v>361800</v>
      </c>
      <c r="E7" s="30">
        <v>180900</v>
      </c>
      <c r="F7" s="31">
        <v>3437100</v>
      </c>
      <c r="G7" s="30">
        <v>17800</v>
      </c>
      <c r="H7" s="32">
        <v>3618</v>
      </c>
      <c r="I7" s="31">
        <v>712000</v>
      </c>
      <c r="J7" s="31">
        <v>144720</v>
      </c>
      <c r="K7" s="32">
        <v>19899</v>
      </c>
      <c r="L7" s="32">
        <v>5065200</v>
      </c>
      <c r="M7" s="32">
        <v>5085099</v>
      </c>
      <c r="N7" s="32">
        <f t="shared" si="0"/>
        <v>4149100</v>
      </c>
      <c r="O7">
        <v>173664</v>
      </c>
      <c r="P7" s="31">
        <v>4862592</v>
      </c>
      <c r="Q7">
        <v>1356.75</v>
      </c>
      <c r="R7" s="49">
        <v>88188.75</v>
      </c>
      <c r="S7" s="30">
        <v>9632.9249999999993</v>
      </c>
      <c r="T7" s="30">
        <v>2431296</v>
      </c>
      <c r="U7" s="30">
        <v>2440928.9249999998</v>
      </c>
      <c r="V7" s="32">
        <f>P7+R7</f>
        <v>4950780.75</v>
      </c>
    </row>
    <row r="8" spans="1:22" x14ac:dyDescent="0.3">
      <c r="A8" s="29" t="s">
        <v>118</v>
      </c>
      <c r="B8" s="29" t="s">
        <v>114</v>
      </c>
      <c r="C8" s="29" t="s">
        <v>112</v>
      </c>
      <c r="D8" s="30">
        <v>274000</v>
      </c>
      <c r="E8" s="30">
        <v>137000</v>
      </c>
      <c r="F8" s="31">
        <v>2603000</v>
      </c>
      <c r="G8" s="30">
        <v>8300</v>
      </c>
      <c r="H8" s="32">
        <v>2348.5700000000002</v>
      </c>
      <c r="I8" s="31">
        <v>348600</v>
      </c>
      <c r="J8" s="31">
        <v>98640</v>
      </c>
      <c r="K8" s="32">
        <v>13621.71</v>
      </c>
      <c r="L8" s="32">
        <v>3836000</v>
      </c>
      <c r="M8" s="32">
        <v>3849621.71</v>
      </c>
      <c r="N8" s="32">
        <f t="shared" si="0"/>
        <v>2951600</v>
      </c>
      <c r="O8">
        <v>131520</v>
      </c>
      <c r="P8" s="31">
        <v>3682560</v>
      </c>
      <c r="Q8">
        <v>1027.5</v>
      </c>
      <c r="R8" s="49">
        <v>66787.5</v>
      </c>
      <c r="S8" s="30">
        <v>7295.25</v>
      </c>
      <c r="T8" s="30">
        <v>1841280</v>
      </c>
      <c r="U8" s="30">
        <v>1848575.25</v>
      </c>
      <c r="V8" s="32">
        <f>P8+R8</f>
        <v>3749347.5</v>
      </c>
    </row>
  </sheetData>
  <autoFilter ref="A1:V1" xr:uid="{85E42F50-C462-4B81-83E5-4C8B5BA2C0F1}">
    <sortState xmlns:xlrd2="http://schemas.microsoft.com/office/spreadsheetml/2017/richdata2" ref="A2:V9">
      <sortCondition descending="1"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2F50-C462-4B81-83E5-4C8B5BA2C0F1}">
  <dimension ref="A1:V37"/>
  <sheetViews>
    <sheetView topLeftCell="M1" zoomScale="80" zoomScaleNormal="80" workbookViewId="0">
      <selection activeCell="Q1" sqref="Q1:Q8"/>
    </sheetView>
  </sheetViews>
  <sheetFormatPr defaultRowHeight="14.4" x14ac:dyDescent="0.3"/>
  <cols>
    <col min="1" max="1" width="28.44140625" bestFit="1" customWidth="1"/>
    <col min="2" max="2" width="15" bestFit="1" customWidth="1"/>
    <col min="3" max="3" width="13.88671875" bestFit="1" customWidth="1"/>
    <col min="4" max="4" width="19.6640625" bestFit="1" customWidth="1"/>
    <col min="5" max="5" width="20" bestFit="1" customWidth="1"/>
    <col min="6" max="6" width="23.21875" bestFit="1" customWidth="1"/>
    <col min="7" max="7" width="27.21875" bestFit="1" customWidth="1"/>
    <col min="8" max="8" width="26.6640625" bestFit="1" customWidth="1"/>
    <col min="9" max="9" width="30.77734375" bestFit="1" customWidth="1"/>
    <col min="10" max="10" width="25.6640625" bestFit="1" customWidth="1"/>
    <col min="11" max="11" width="17.88671875" bestFit="1" customWidth="1"/>
    <col min="12" max="12" width="17.77734375" bestFit="1" customWidth="1"/>
    <col min="13" max="13" width="18.33203125" bestFit="1" customWidth="1"/>
    <col min="14" max="14" width="17.109375" bestFit="1" customWidth="1"/>
    <col min="15" max="15" width="28.33203125" bestFit="1" customWidth="1"/>
    <col min="16" max="16" width="25" bestFit="1" customWidth="1"/>
    <col min="17" max="17" width="25" customWidth="1"/>
    <col min="18" max="18" width="43.88671875" style="50" bestFit="1" customWidth="1"/>
    <col min="19" max="20" width="18.5546875" bestFit="1" customWidth="1"/>
    <col min="21" max="21" width="18.33203125" bestFit="1" customWidth="1"/>
    <col min="22" max="22" width="18.44140625" bestFit="1" customWidth="1"/>
  </cols>
  <sheetData>
    <row r="1" spans="1:22" ht="28.8" x14ac:dyDescent="0.3">
      <c r="A1" s="28" t="s">
        <v>91</v>
      </c>
      <c r="B1" s="28" t="s">
        <v>92</v>
      </c>
      <c r="C1" s="28" t="s">
        <v>93</v>
      </c>
      <c r="D1" s="28" t="s">
        <v>94</v>
      </c>
      <c r="E1" s="28" t="s">
        <v>95</v>
      </c>
      <c r="F1" s="28" t="s">
        <v>96</v>
      </c>
      <c r="G1" s="28" t="s">
        <v>97</v>
      </c>
      <c r="H1" s="28" t="s">
        <v>98</v>
      </c>
      <c r="I1" s="28" t="s">
        <v>99</v>
      </c>
      <c r="J1" s="44" t="s">
        <v>147</v>
      </c>
      <c r="K1" s="28" t="s">
        <v>100</v>
      </c>
      <c r="L1" s="28" t="s">
        <v>101</v>
      </c>
      <c r="M1" s="28" t="s">
        <v>102</v>
      </c>
      <c r="N1" s="28" t="s">
        <v>103</v>
      </c>
      <c r="O1" s="28" t="s">
        <v>122</v>
      </c>
      <c r="P1" s="28" t="s">
        <v>104</v>
      </c>
      <c r="Q1" s="28" t="s">
        <v>192</v>
      </c>
      <c r="R1" s="48" t="s">
        <v>105</v>
      </c>
      <c r="S1" s="28" t="s">
        <v>106</v>
      </c>
      <c r="T1" s="28" t="s">
        <v>107</v>
      </c>
      <c r="U1" s="28" t="s">
        <v>179</v>
      </c>
      <c r="V1" s="28" t="s">
        <v>109</v>
      </c>
    </row>
    <row r="2" spans="1:22" x14ac:dyDescent="0.3">
      <c r="A2" s="29" t="s">
        <v>113</v>
      </c>
      <c r="B2" s="29" t="s">
        <v>114</v>
      </c>
      <c r="C2" s="29" t="s">
        <v>112</v>
      </c>
      <c r="D2" s="30">
        <v>648000</v>
      </c>
      <c r="E2" s="30">
        <v>324000</v>
      </c>
      <c r="F2" s="31">
        <v>6156000</v>
      </c>
      <c r="G2" s="30">
        <v>25000</v>
      </c>
      <c r="H2" s="32">
        <v>5554.29</v>
      </c>
      <c r="I2" s="31">
        <v>1050000</v>
      </c>
      <c r="J2" s="31">
        <v>233280</v>
      </c>
      <c r="K2" s="32">
        <v>32214.86</v>
      </c>
      <c r="L2" s="32">
        <v>9072000</v>
      </c>
      <c r="M2" s="32">
        <v>9104214.8599999994</v>
      </c>
      <c r="N2" s="32">
        <f t="shared" ref="N2:N9" si="0">F2+I2</f>
        <v>7206000</v>
      </c>
      <c r="O2" s="32">
        <v>311040</v>
      </c>
      <c r="P2" s="31">
        <v>8709120</v>
      </c>
      <c r="Q2" s="31">
        <f>D2/8000*30</f>
        <v>2430</v>
      </c>
      <c r="R2" s="49">
        <v>157950</v>
      </c>
      <c r="S2" s="30">
        <v>17253</v>
      </c>
      <c r="T2" s="30">
        <v>4354560</v>
      </c>
      <c r="U2" s="30">
        <v>4371813</v>
      </c>
      <c r="V2" s="32">
        <f t="shared" ref="V2:V9" si="1">P2+R2</f>
        <v>8867070</v>
      </c>
    </row>
    <row r="3" spans="1:22" x14ac:dyDescent="0.3">
      <c r="A3" s="29" t="s">
        <v>115</v>
      </c>
      <c r="B3" s="29" t="s">
        <v>111</v>
      </c>
      <c r="C3" s="29" t="s">
        <v>116</v>
      </c>
      <c r="D3" s="30">
        <v>623000</v>
      </c>
      <c r="E3" s="30">
        <v>311500</v>
      </c>
      <c r="F3" s="31">
        <v>5607000</v>
      </c>
      <c r="G3" s="30">
        <v>25500</v>
      </c>
      <c r="H3" s="32">
        <v>6230</v>
      </c>
      <c r="I3" s="31">
        <v>1020000</v>
      </c>
      <c r="J3" s="31">
        <v>249200</v>
      </c>
      <c r="K3" s="32">
        <v>34265</v>
      </c>
      <c r="L3" s="32">
        <v>9033500</v>
      </c>
      <c r="M3" s="32">
        <v>9067765</v>
      </c>
      <c r="N3" s="32">
        <f t="shared" si="0"/>
        <v>6627000</v>
      </c>
      <c r="O3" s="32">
        <v>299040</v>
      </c>
      <c r="P3" s="31">
        <v>8373120</v>
      </c>
      <c r="Q3" s="31">
        <f t="shared" ref="Q3:Q8" si="2">D3/8000*30</f>
        <v>2336.25</v>
      </c>
      <c r="R3" s="49">
        <v>151856.25</v>
      </c>
      <c r="S3" s="30">
        <v>16587.375</v>
      </c>
      <c r="T3" s="30">
        <v>4186560</v>
      </c>
      <c r="U3" s="30">
        <v>4203147.375</v>
      </c>
      <c r="V3" s="32">
        <f t="shared" si="1"/>
        <v>8524976.25</v>
      </c>
    </row>
    <row r="4" spans="1:22" x14ac:dyDescent="0.3">
      <c r="A4" s="29" t="s">
        <v>110</v>
      </c>
      <c r="B4" s="29" t="s">
        <v>111</v>
      </c>
      <c r="C4" s="29" t="s">
        <v>112</v>
      </c>
      <c r="D4" s="30">
        <v>530000</v>
      </c>
      <c r="E4" s="30">
        <v>265000</v>
      </c>
      <c r="F4" s="31">
        <v>5035000</v>
      </c>
      <c r="G4" s="30">
        <v>19500</v>
      </c>
      <c r="H4" s="32">
        <v>5300</v>
      </c>
      <c r="I4" s="31">
        <v>780000</v>
      </c>
      <c r="J4" s="31">
        <v>212000</v>
      </c>
      <c r="K4" s="32">
        <v>29150</v>
      </c>
      <c r="L4" s="32">
        <v>7420000</v>
      </c>
      <c r="M4" s="32">
        <v>7449150</v>
      </c>
      <c r="N4" s="32">
        <f t="shared" si="0"/>
        <v>5815000</v>
      </c>
      <c r="O4" s="32">
        <v>254400</v>
      </c>
      <c r="P4" s="31">
        <v>7123200</v>
      </c>
      <c r="Q4" s="31">
        <f t="shared" si="2"/>
        <v>1987.5</v>
      </c>
      <c r="R4" s="49">
        <v>129187.5</v>
      </c>
      <c r="S4" s="30">
        <v>14111.25</v>
      </c>
      <c r="T4" s="30">
        <v>3561600</v>
      </c>
      <c r="U4" s="30">
        <v>3575711.25</v>
      </c>
      <c r="V4" s="32">
        <f t="shared" si="1"/>
        <v>7252387.5</v>
      </c>
    </row>
    <row r="5" spans="1:22" x14ac:dyDescent="0.3">
      <c r="A5" s="29" t="s">
        <v>117</v>
      </c>
      <c r="B5" s="29" t="s">
        <v>111</v>
      </c>
      <c r="C5" s="29" t="s">
        <v>116</v>
      </c>
      <c r="D5" s="30">
        <v>474000</v>
      </c>
      <c r="E5" s="30">
        <v>237000</v>
      </c>
      <c r="F5" s="31">
        <v>4266000</v>
      </c>
      <c r="G5" s="30">
        <v>13200</v>
      </c>
      <c r="H5" s="32">
        <v>4740</v>
      </c>
      <c r="I5" s="31">
        <v>528000</v>
      </c>
      <c r="J5" s="31">
        <v>189600</v>
      </c>
      <c r="K5" s="32">
        <v>26070</v>
      </c>
      <c r="L5" s="32">
        <v>6873000</v>
      </c>
      <c r="M5" s="32">
        <v>6899070</v>
      </c>
      <c r="N5" s="32">
        <f t="shared" si="0"/>
        <v>4794000</v>
      </c>
      <c r="O5">
        <v>227520</v>
      </c>
      <c r="P5" s="31">
        <v>6370560</v>
      </c>
      <c r="Q5" s="31">
        <f t="shared" si="2"/>
        <v>1777.5</v>
      </c>
      <c r="R5" s="49">
        <v>115537.5</v>
      </c>
      <c r="S5" s="30">
        <v>12620.25</v>
      </c>
      <c r="T5" s="30">
        <v>3185280</v>
      </c>
      <c r="U5" s="30">
        <v>3197900.25</v>
      </c>
      <c r="V5" s="32">
        <f t="shared" si="1"/>
        <v>6486097.5</v>
      </c>
    </row>
    <row r="6" spans="1:22" x14ac:dyDescent="0.3">
      <c r="A6" s="29" t="s">
        <v>119</v>
      </c>
      <c r="B6" s="29" t="s">
        <v>114</v>
      </c>
      <c r="C6" s="29" t="s">
        <v>116</v>
      </c>
      <c r="D6" s="30">
        <v>421400</v>
      </c>
      <c r="E6" s="30">
        <v>210700</v>
      </c>
      <c r="F6" s="31">
        <v>3792600</v>
      </c>
      <c r="G6" s="30">
        <v>14500</v>
      </c>
      <c r="H6" s="32">
        <v>3612</v>
      </c>
      <c r="I6" s="31">
        <v>609000</v>
      </c>
      <c r="J6" s="31">
        <v>151704</v>
      </c>
      <c r="K6" s="32">
        <v>20949.599999999999</v>
      </c>
      <c r="L6" s="32">
        <v>6110300</v>
      </c>
      <c r="M6" s="32">
        <v>6131249.5999999996</v>
      </c>
      <c r="N6" s="32">
        <f t="shared" si="0"/>
        <v>4401600</v>
      </c>
      <c r="O6">
        <v>202272</v>
      </c>
      <c r="P6" s="31">
        <v>5663616</v>
      </c>
      <c r="Q6" s="31">
        <f t="shared" si="2"/>
        <v>1580.25</v>
      </c>
      <c r="R6" s="49">
        <v>102716.25</v>
      </c>
      <c r="S6" s="30">
        <v>11219.775</v>
      </c>
      <c r="T6" s="30">
        <v>2831808</v>
      </c>
      <c r="U6" s="30">
        <v>2843027.7749999999</v>
      </c>
      <c r="V6" s="32">
        <f t="shared" si="1"/>
        <v>5766332.25</v>
      </c>
    </row>
    <row r="7" spans="1:22" x14ac:dyDescent="0.3">
      <c r="A7" s="29" t="s">
        <v>120</v>
      </c>
      <c r="B7" s="29" t="s">
        <v>111</v>
      </c>
      <c r="C7" s="29" t="s">
        <v>112</v>
      </c>
      <c r="D7" s="30">
        <v>361800</v>
      </c>
      <c r="E7" s="30">
        <v>180900</v>
      </c>
      <c r="F7" s="31">
        <v>3437100</v>
      </c>
      <c r="G7" s="30">
        <v>17800</v>
      </c>
      <c r="H7" s="32">
        <v>3618</v>
      </c>
      <c r="I7" s="31">
        <v>712000</v>
      </c>
      <c r="J7" s="31">
        <v>144720</v>
      </c>
      <c r="K7" s="32">
        <v>19899</v>
      </c>
      <c r="L7" s="32">
        <v>5065200</v>
      </c>
      <c r="M7" s="32">
        <v>5085099</v>
      </c>
      <c r="N7" s="32">
        <f t="shared" si="0"/>
        <v>4149100</v>
      </c>
      <c r="O7">
        <v>173664</v>
      </c>
      <c r="P7" s="31">
        <v>4862592</v>
      </c>
      <c r="Q7" s="31">
        <f t="shared" si="2"/>
        <v>1356.75</v>
      </c>
      <c r="R7" s="49">
        <v>88188.75</v>
      </c>
      <c r="S7" s="30">
        <v>9632.9249999999993</v>
      </c>
      <c r="T7" s="30">
        <v>2431296</v>
      </c>
      <c r="U7" s="30">
        <v>2440928.9249999998</v>
      </c>
      <c r="V7" s="32">
        <f t="shared" si="1"/>
        <v>4950780.75</v>
      </c>
    </row>
    <row r="8" spans="1:22" x14ac:dyDescent="0.3">
      <c r="A8" s="29" t="s">
        <v>118</v>
      </c>
      <c r="B8" s="29" t="s">
        <v>114</v>
      </c>
      <c r="C8" s="29" t="s">
        <v>112</v>
      </c>
      <c r="D8" s="30">
        <v>274000</v>
      </c>
      <c r="E8" s="30">
        <v>137000</v>
      </c>
      <c r="F8" s="31">
        <v>2603000</v>
      </c>
      <c r="G8" s="30">
        <v>8300</v>
      </c>
      <c r="H8" s="32">
        <v>2348.5700000000002</v>
      </c>
      <c r="I8" s="31">
        <v>348600</v>
      </c>
      <c r="J8" s="31">
        <v>98640</v>
      </c>
      <c r="K8" s="32">
        <v>13621.71</v>
      </c>
      <c r="L8" s="32">
        <v>3836000</v>
      </c>
      <c r="M8" s="32">
        <v>3849621.71</v>
      </c>
      <c r="N8" s="32">
        <f t="shared" si="0"/>
        <v>2951600</v>
      </c>
      <c r="O8">
        <v>131520</v>
      </c>
      <c r="P8" s="31">
        <v>3682560</v>
      </c>
      <c r="Q8" s="31">
        <f t="shared" si="2"/>
        <v>1027.5</v>
      </c>
      <c r="R8" s="49">
        <v>66787.5</v>
      </c>
      <c r="S8" s="30">
        <v>7295.25</v>
      </c>
      <c r="T8" s="30">
        <v>1841280</v>
      </c>
      <c r="U8" s="30">
        <v>1848575.25</v>
      </c>
      <c r="V8" s="32">
        <f t="shared" si="1"/>
        <v>3749347.5</v>
      </c>
    </row>
    <row r="9" spans="1:22" x14ac:dyDescent="0.3">
      <c r="A9" s="28" t="s">
        <v>121</v>
      </c>
      <c r="B9" s="28"/>
      <c r="C9" s="28"/>
      <c r="D9" s="45">
        <v>3332200</v>
      </c>
      <c r="E9" s="45">
        <v>1666100</v>
      </c>
      <c r="F9" s="46">
        <v>30896700</v>
      </c>
      <c r="G9" s="45">
        <v>123800</v>
      </c>
      <c r="H9" s="47">
        <v>31402.86</v>
      </c>
      <c r="I9" s="46">
        <v>5047600</v>
      </c>
      <c r="J9" s="46">
        <v>1279144</v>
      </c>
      <c r="K9" s="47">
        <v>176170.17</v>
      </c>
      <c r="L9" s="47">
        <v>47410000</v>
      </c>
      <c r="M9" s="47">
        <v>47586170.170000002</v>
      </c>
      <c r="N9" s="47">
        <f t="shared" si="0"/>
        <v>35944300</v>
      </c>
      <c r="O9" s="47">
        <f>SUM(O2:O8)</f>
        <v>1599456</v>
      </c>
      <c r="P9" s="46">
        <v>44784768</v>
      </c>
      <c r="Q9" s="46">
        <f>SUM(Q2:Q8)</f>
        <v>12495.75</v>
      </c>
      <c r="R9" s="48">
        <v>812223.75</v>
      </c>
      <c r="S9" s="45">
        <v>88719.824999999997</v>
      </c>
      <c r="T9" s="45">
        <v>22392384</v>
      </c>
      <c r="U9" s="45">
        <v>22481103.824999999</v>
      </c>
      <c r="V9" s="45">
        <f t="shared" si="1"/>
        <v>45596991.75</v>
      </c>
    </row>
    <row r="13" spans="1:22" x14ac:dyDescent="0.3">
      <c r="A13" s="35"/>
      <c r="B13" s="36" t="s">
        <v>123</v>
      </c>
      <c r="C13" s="36" t="s">
        <v>124</v>
      </c>
      <c r="D13" s="36" t="s">
        <v>125</v>
      </c>
      <c r="E13" s="36" t="s">
        <v>126</v>
      </c>
      <c r="F13" s="36" t="s">
        <v>127</v>
      </c>
      <c r="H13" s="51" t="s">
        <v>148</v>
      </c>
      <c r="I13" s="52"/>
    </row>
    <row r="14" spans="1:22" x14ac:dyDescent="0.3">
      <c r="A14" s="35"/>
      <c r="B14" s="37" t="s">
        <v>146</v>
      </c>
      <c r="C14" s="37" t="s">
        <v>128</v>
      </c>
      <c r="D14" s="37" t="s">
        <v>131</v>
      </c>
      <c r="E14" s="37" t="s">
        <v>129</v>
      </c>
      <c r="F14" s="37" t="s">
        <v>130</v>
      </c>
      <c r="H14" s="3"/>
      <c r="I14" s="3"/>
    </row>
    <row r="15" spans="1:22" ht="28.8" x14ac:dyDescent="0.3">
      <c r="A15" s="35"/>
      <c r="B15" s="38"/>
      <c r="C15" s="38"/>
      <c r="D15" s="38"/>
      <c r="E15" s="38"/>
      <c r="F15" s="38"/>
      <c r="H15" s="3" t="s">
        <v>123</v>
      </c>
      <c r="I15" s="53" t="s">
        <v>154</v>
      </c>
    </row>
    <row r="16" spans="1:22" x14ac:dyDescent="0.3">
      <c r="A16" s="36" t="s">
        <v>132</v>
      </c>
      <c r="B16" s="39">
        <f>$R$9</f>
        <v>812223.75</v>
      </c>
      <c r="C16" s="39">
        <f t="shared" ref="C16:F16" si="3">$R$9</f>
        <v>812223.75</v>
      </c>
      <c r="D16" s="39">
        <f t="shared" si="3"/>
        <v>812223.75</v>
      </c>
      <c r="E16" s="39">
        <f t="shared" si="3"/>
        <v>812223.75</v>
      </c>
      <c r="F16" s="39">
        <f t="shared" si="3"/>
        <v>812223.75</v>
      </c>
      <c r="H16" s="3" t="s">
        <v>124</v>
      </c>
      <c r="I16" s="3" t="s">
        <v>155</v>
      </c>
    </row>
    <row r="17" spans="1:9" x14ac:dyDescent="0.3">
      <c r="A17" s="36" t="s">
        <v>133</v>
      </c>
      <c r="B17" s="38">
        <f>$S$9</f>
        <v>88719.824999999997</v>
      </c>
      <c r="C17" s="38">
        <f t="shared" ref="C17:F17" si="4">$S$9</f>
        <v>88719.824999999997</v>
      </c>
      <c r="D17" s="38">
        <f t="shared" si="4"/>
        <v>88719.824999999997</v>
      </c>
      <c r="E17" s="38">
        <f t="shared" si="4"/>
        <v>88719.824999999997</v>
      </c>
      <c r="F17" s="38">
        <f t="shared" si="4"/>
        <v>88719.824999999997</v>
      </c>
      <c r="H17" s="3" t="s">
        <v>125</v>
      </c>
      <c r="I17" s="3" t="s">
        <v>151</v>
      </c>
    </row>
    <row r="18" spans="1:9" ht="43.2" x14ac:dyDescent="0.3">
      <c r="A18" s="40" t="s">
        <v>134</v>
      </c>
      <c r="B18" s="41">
        <f>B16</f>
        <v>812223.75</v>
      </c>
      <c r="C18" s="41">
        <f>C16</f>
        <v>812223.75</v>
      </c>
      <c r="D18" s="41">
        <f>D16</f>
        <v>812223.75</v>
      </c>
      <c r="E18" s="41">
        <f>E16</f>
        <v>812223.75</v>
      </c>
      <c r="F18" s="41">
        <f>I26-4*F16</f>
        <v>519561</v>
      </c>
      <c r="H18" s="3" t="s">
        <v>126</v>
      </c>
      <c r="I18" s="3" t="s">
        <v>149</v>
      </c>
    </row>
    <row r="19" spans="1:9" x14ac:dyDescent="0.3">
      <c r="A19" s="36"/>
      <c r="B19" s="38"/>
      <c r="C19" s="38"/>
      <c r="D19" s="38"/>
      <c r="E19" s="38"/>
      <c r="F19" s="38"/>
      <c r="H19" s="3" t="s">
        <v>127</v>
      </c>
      <c r="I19" s="3" t="s">
        <v>150</v>
      </c>
    </row>
    <row r="20" spans="1:9" x14ac:dyDescent="0.3">
      <c r="A20" s="36" t="s">
        <v>89</v>
      </c>
      <c r="B20" s="39">
        <f>P2</f>
        <v>8709120</v>
      </c>
      <c r="C20" s="39">
        <f>P3+P2</f>
        <v>17082240</v>
      </c>
      <c r="D20" s="39">
        <f>P4+P3+P2</f>
        <v>24205440</v>
      </c>
      <c r="E20" s="39">
        <f>P9-P6-P7-P8</f>
        <v>30576000</v>
      </c>
      <c r="F20" s="39">
        <f>P9-P7-P8</f>
        <v>36239616</v>
      </c>
      <c r="H20" s="3"/>
      <c r="I20" s="3"/>
    </row>
    <row r="21" spans="1:9" x14ac:dyDescent="0.3">
      <c r="A21" s="36" t="s">
        <v>135</v>
      </c>
      <c r="B21" s="38">
        <f>T2</f>
        <v>4354560</v>
      </c>
      <c r="C21" s="42">
        <f>T3+T2</f>
        <v>8541120</v>
      </c>
      <c r="D21" s="38">
        <f>T4+T3+T2</f>
        <v>12102720</v>
      </c>
      <c r="E21" s="38">
        <f>T9-T8-T7-T6</f>
        <v>15288000</v>
      </c>
      <c r="F21" s="38">
        <f>T9-T7-T8</f>
        <v>18119808</v>
      </c>
      <c r="H21" s="3"/>
      <c r="I21" s="3"/>
    </row>
    <row r="22" spans="1:9" x14ac:dyDescent="0.3">
      <c r="A22" s="36"/>
      <c r="B22" s="38"/>
      <c r="C22" s="38"/>
      <c r="D22" s="38"/>
      <c r="E22" s="38"/>
      <c r="F22" s="38"/>
      <c r="H22" s="3"/>
      <c r="I22" s="3"/>
    </row>
    <row r="23" spans="1:9" x14ac:dyDescent="0.3">
      <c r="A23" s="36" t="s">
        <v>136</v>
      </c>
      <c r="B23" s="39">
        <f>F9-F2</f>
        <v>24740700</v>
      </c>
      <c r="C23" s="39">
        <f>F9-F2-F3</f>
        <v>19133700</v>
      </c>
      <c r="D23" s="39">
        <f>F9-F2-F3-F4</f>
        <v>14098700</v>
      </c>
      <c r="E23" s="39">
        <f>F6+F7+F8</f>
        <v>9832700</v>
      </c>
      <c r="F23" s="43">
        <f>F7+F8</f>
        <v>6040100</v>
      </c>
      <c r="H23" s="3"/>
      <c r="I23" s="3"/>
    </row>
    <row r="24" spans="1:9" x14ac:dyDescent="0.3">
      <c r="A24" s="36" t="s">
        <v>137</v>
      </c>
      <c r="B24" s="38">
        <f>L9-L2</f>
        <v>38338000</v>
      </c>
      <c r="C24" s="38">
        <f>L9-L2-L3</f>
        <v>29304500</v>
      </c>
      <c r="D24" s="38">
        <f>L9-L2-L3-L4</f>
        <v>21884500</v>
      </c>
      <c r="E24" s="38">
        <f>L6+L7+L8</f>
        <v>15011500</v>
      </c>
      <c r="F24" s="38">
        <f>L7+L8</f>
        <v>8901200</v>
      </c>
      <c r="H24" s="3"/>
      <c r="I24" s="3"/>
    </row>
    <row r="25" spans="1:9" x14ac:dyDescent="0.3">
      <c r="A25" s="36"/>
      <c r="B25" s="38"/>
      <c r="C25" s="38"/>
      <c r="D25" s="38"/>
      <c r="E25" s="38"/>
      <c r="F25" s="38"/>
      <c r="H25" s="53"/>
      <c r="I25" s="3"/>
    </row>
    <row r="26" spans="1:9" ht="28.8" x14ac:dyDescent="0.3">
      <c r="A26" s="36" t="s">
        <v>138</v>
      </c>
      <c r="B26" s="39">
        <f>B20+B23</f>
        <v>33449820</v>
      </c>
      <c r="C26" s="39">
        <f>C20+C23</f>
        <v>36215940</v>
      </c>
      <c r="D26" s="39">
        <f>D20+D23</f>
        <v>38304140</v>
      </c>
      <c r="E26" s="39">
        <f>E20+E23</f>
        <v>40408700</v>
      </c>
      <c r="F26" s="39">
        <f>F20+F23+F16-F18</f>
        <v>42572378.75</v>
      </c>
      <c r="H26" s="54" t="s">
        <v>152</v>
      </c>
      <c r="I26" s="55">
        <f>I9-J9</f>
        <v>3768456</v>
      </c>
    </row>
    <row r="27" spans="1:9" x14ac:dyDescent="0.3">
      <c r="A27" s="36" t="s">
        <v>139</v>
      </c>
      <c r="B27" s="38">
        <f>B17+B21+B24</f>
        <v>42781279.825000003</v>
      </c>
      <c r="C27" s="38">
        <f>C17+C21+C24</f>
        <v>37934339.825000003</v>
      </c>
      <c r="D27" s="38">
        <f>D17+D21+D24</f>
        <v>34075939.825000003</v>
      </c>
      <c r="E27" s="38">
        <f>E17+E21+E24</f>
        <v>30388219.824999999</v>
      </c>
      <c r="F27" s="38">
        <f>F17+F21+F24</f>
        <v>27109727.824999999</v>
      </c>
    </row>
    <row r="28" spans="1:9" x14ac:dyDescent="0.3">
      <c r="A28" s="36"/>
      <c r="B28" s="38"/>
      <c r="C28" s="38"/>
      <c r="D28" s="38"/>
      <c r="E28" s="38"/>
      <c r="F28" s="38"/>
    </row>
    <row r="29" spans="1:9" x14ac:dyDescent="0.3">
      <c r="A29" s="56" t="s">
        <v>140</v>
      </c>
      <c r="B29" s="64">
        <f>$M$9-B27</f>
        <v>4804890.3449999988</v>
      </c>
      <c r="C29" s="64">
        <f>$M$9-C27</f>
        <v>9651830.3449999988</v>
      </c>
      <c r="D29" s="64">
        <f>$M$9-D27</f>
        <v>13510230.344999999</v>
      </c>
      <c r="E29" s="64">
        <f>$M$9-E27</f>
        <v>17197950.345000003</v>
      </c>
      <c r="F29" s="64">
        <f t="shared" ref="F29" si="5">$M$9-F27</f>
        <v>20476442.345000003</v>
      </c>
    </row>
    <row r="30" spans="1:9" x14ac:dyDescent="0.3">
      <c r="A30" s="56" t="s">
        <v>141</v>
      </c>
      <c r="B30" s="57">
        <f>B29/$M$9</f>
        <v>0.10097241126643915</v>
      </c>
      <c r="C30" s="57">
        <f>C29/$M$9</f>
        <v>0.20282847538516249</v>
      </c>
      <c r="D30" s="57">
        <f>D29/$M$9</f>
        <v>0.28391085680430161</v>
      </c>
      <c r="E30" s="57">
        <f>E29/$M$9</f>
        <v>0.36140648183203017</v>
      </c>
      <c r="F30" s="57">
        <f>F29/$M$9</f>
        <v>0.43030238138199811</v>
      </c>
    </row>
    <row r="31" spans="1:9" ht="43.2" customHeight="1" x14ac:dyDescent="0.3">
      <c r="A31" s="65" t="s">
        <v>153</v>
      </c>
      <c r="B31" s="66">
        <f>B26+B$18</f>
        <v>34262043.75</v>
      </c>
      <c r="C31" s="66">
        <f>C26+C$18</f>
        <v>37028163.75</v>
      </c>
      <c r="D31" s="66">
        <f>D26+D$18</f>
        <v>39116363.75</v>
      </c>
      <c r="E31" s="66">
        <f>E26+E$18</f>
        <v>41220923.75</v>
      </c>
      <c r="F31" s="66">
        <f>F26+F$18</f>
        <v>43091939.75</v>
      </c>
    </row>
    <row r="32" spans="1:9" ht="32.4" customHeight="1" x14ac:dyDescent="0.3">
      <c r="A32" s="65" t="s">
        <v>144</v>
      </c>
      <c r="B32" s="66">
        <f>B31-$N$9</f>
        <v>-1682256.25</v>
      </c>
      <c r="C32" s="66">
        <f t="shared" ref="C32:F32" si="6">C31-$N$9</f>
        <v>1083863.75</v>
      </c>
      <c r="D32" s="66">
        <f t="shared" si="6"/>
        <v>3172063.75</v>
      </c>
      <c r="E32" s="66">
        <f t="shared" si="6"/>
        <v>5276623.75</v>
      </c>
      <c r="F32" s="66">
        <f t="shared" si="6"/>
        <v>7147639.75</v>
      </c>
    </row>
    <row r="33" spans="1:6" ht="28.8" x14ac:dyDescent="0.3">
      <c r="A33" s="65" t="s">
        <v>145</v>
      </c>
      <c r="B33" s="67">
        <f>B32/$N$9</f>
        <v>-4.6801752990042925E-2</v>
      </c>
      <c r="C33" s="67">
        <f t="shared" ref="C33" si="7">C32/$N$9</f>
        <v>3.0153981298842933E-2</v>
      </c>
      <c r="D33" s="67">
        <f t="shared" ref="D33" si="8">D32/$N$9</f>
        <v>8.8249423413448033E-2</v>
      </c>
      <c r="E33" s="67">
        <f t="shared" ref="E33" si="9">E32/$N$9</f>
        <v>0.14680001418861963</v>
      </c>
      <c r="F33" s="67">
        <f t="shared" ref="F33" si="10">F32/$N$9</f>
        <v>0.19885321873009074</v>
      </c>
    </row>
    <row r="34" spans="1:6" ht="28.8" x14ac:dyDescent="0.3">
      <c r="A34" s="58" t="s">
        <v>144</v>
      </c>
      <c r="B34" s="59">
        <f>B26-$N$9</f>
        <v>-2494480</v>
      </c>
      <c r="C34" s="59">
        <f>C26-$N$9</f>
        <v>271640</v>
      </c>
      <c r="D34" s="59">
        <f>D26-$N$9</f>
        <v>2359840</v>
      </c>
      <c r="E34" s="59">
        <f>E26-$N$9</f>
        <v>4464400</v>
      </c>
      <c r="F34" s="59">
        <f>F26-$N$9</f>
        <v>6628078.75</v>
      </c>
    </row>
    <row r="35" spans="1:6" ht="28.8" x14ac:dyDescent="0.3">
      <c r="A35" s="58" t="s">
        <v>145</v>
      </c>
      <c r="B35" s="60">
        <f>B34/$N$9</f>
        <v>-6.9398485990824696E-2</v>
      </c>
      <c r="C35" s="60">
        <f t="shared" ref="C35:E35" si="11">C34/$N$9</f>
        <v>7.5572482980611668E-3</v>
      </c>
      <c r="D35" s="60">
        <f t="shared" si="11"/>
        <v>6.5652690412666262E-2</v>
      </c>
      <c r="E35" s="60">
        <f t="shared" si="11"/>
        <v>0.12420328118783786</v>
      </c>
      <c r="F35" s="60">
        <f>F34/$N$9</f>
        <v>0.18439860422932147</v>
      </c>
    </row>
    <row r="36" spans="1:6" ht="28.8" x14ac:dyDescent="0.3">
      <c r="A36" s="61" t="s">
        <v>142</v>
      </c>
      <c r="B36" s="62">
        <f>B26-N9</f>
        <v>-2494480</v>
      </c>
      <c r="C36" s="62">
        <f>C26-B26</f>
        <v>2766120</v>
      </c>
      <c r="D36" s="62">
        <f>D26-C26</f>
        <v>2088200</v>
      </c>
      <c r="E36" s="62">
        <f>E26-D26</f>
        <v>2104560</v>
      </c>
      <c r="F36" s="62">
        <f>F26-E26</f>
        <v>2163678.75</v>
      </c>
    </row>
    <row r="37" spans="1:6" ht="28.8" x14ac:dyDescent="0.3">
      <c r="A37" s="61" t="s">
        <v>143</v>
      </c>
      <c r="B37" s="63">
        <f>B36/N9</f>
        <v>-6.9398485990824696E-2</v>
      </c>
      <c r="C37" s="63">
        <f>C36/B26</f>
        <v>8.269461539703353E-2</v>
      </c>
      <c r="D37" s="63">
        <f>D36/C26</f>
        <v>5.7659693494080233E-2</v>
      </c>
      <c r="E37" s="63">
        <f>E36/D26</f>
        <v>5.4943408206005934E-2</v>
      </c>
      <c r="F37" s="63">
        <f>F36/E26</f>
        <v>5.3544873999905963E-2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32E3-6765-405B-ABC4-7D56190A0665}">
  <dimension ref="A2:L26"/>
  <sheetViews>
    <sheetView workbookViewId="0">
      <selection activeCell="G5" sqref="G5"/>
    </sheetView>
  </sheetViews>
  <sheetFormatPr defaultRowHeight="14.4" x14ac:dyDescent="0.3"/>
  <cols>
    <col min="1" max="1" width="14.5546875" bestFit="1" customWidth="1"/>
    <col min="2" max="2" width="16.77734375" bestFit="1" customWidth="1"/>
    <col min="3" max="3" width="18.5546875" bestFit="1" customWidth="1"/>
    <col min="4" max="4" width="27.21875" bestFit="1" customWidth="1"/>
    <col min="5" max="5" width="19.6640625" bestFit="1" customWidth="1"/>
    <col min="6" max="6" width="18.21875" style="24" bestFit="1" customWidth="1"/>
    <col min="7" max="7" width="23.5546875" bestFit="1" customWidth="1"/>
    <col min="8" max="8" width="17.77734375" bestFit="1" customWidth="1"/>
    <col min="9" max="9" width="10" bestFit="1" customWidth="1"/>
    <col min="10" max="10" width="18.88671875" bestFit="1" customWidth="1"/>
    <col min="11" max="11" width="17.77734375" bestFit="1" customWidth="1"/>
    <col min="12" max="12" width="9.33203125" bestFit="1" customWidth="1"/>
    <col min="13" max="13" width="23.33203125" bestFit="1" customWidth="1"/>
  </cols>
  <sheetData>
    <row r="2" spans="1:12" ht="28.8" x14ac:dyDescent="0.3">
      <c r="A2" s="19" t="s">
        <v>77</v>
      </c>
      <c r="B2" t="s">
        <v>79</v>
      </c>
      <c r="C2" t="s">
        <v>81</v>
      </c>
      <c r="D2" t="s">
        <v>84</v>
      </c>
      <c r="E2" t="s">
        <v>85</v>
      </c>
      <c r="F2" s="33" t="s">
        <v>90</v>
      </c>
      <c r="G2" s="26" t="s">
        <v>82</v>
      </c>
      <c r="H2" s="27" t="s">
        <v>87</v>
      </c>
      <c r="I2" s="27" t="s">
        <v>88</v>
      </c>
      <c r="J2" s="26" t="s">
        <v>83</v>
      </c>
      <c r="K2" s="27" t="s">
        <v>86</v>
      </c>
      <c r="L2" s="27" t="s">
        <v>89</v>
      </c>
    </row>
    <row r="3" spans="1:12" x14ac:dyDescent="0.3">
      <c r="A3" s="20" t="s">
        <v>14</v>
      </c>
      <c r="B3">
        <v>284500</v>
      </c>
      <c r="C3">
        <v>569000</v>
      </c>
      <c r="D3">
        <v>7527250</v>
      </c>
      <c r="E3">
        <v>5815000</v>
      </c>
    </row>
    <row r="4" spans="1:12" x14ac:dyDescent="0.3">
      <c r="A4" s="23" t="s">
        <v>19</v>
      </c>
      <c r="B4">
        <v>265000</v>
      </c>
      <c r="C4">
        <v>530000</v>
      </c>
      <c r="D4">
        <v>7420000</v>
      </c>
      <c r="E4">
        <v>5035000</v>
      </c>
      <c r="J4">
        <f>GETPIVOTDATA("Sum of Volume (L)",$A$2,"Country","England","Product Name","Diesel C3X")*0.96</f>
        <v>254400</v>
      </c>
      <c r="K4">
        <f>J4*'Product Mapping'!$H$9</f>
        <v>3561600</v>
      </c>
      <c r="L4">
        <f>J4*'Product Mapping'!$F$9</f>
        <v>7123200</v>
      </c>
    </row>
    <row r="5" spans="1:12" x14ac:dyDescent="0.3">
      <c r="A5" s="23" t="s">
        <v>17</v>
      </c>
      <c r="B5">
        <v>19500</v>
      </c>
      <c r="C5">
        <v>39000</v>
      </c>
      <c r="D5">
        <v>107250</v>
      </c>
      <c r="E5">
        <v>780000</v>
      </c>
      <c r="F5" s="24">
        <f>GETPIVOTDATA("Sum of Km Travelled",$A$2,"Country","England","Product Name","Diesel C3X")/3000*30</f>
        <v>5300</v>
      </c>
      <c r="G5">
        <f>GETPIVOTDATA("Sum of Km Travelled",$A$2,"Country","England","Product Name","Diesel C3X")/8000*30</f>
        <v>1987.5</v>
      </c>
      <c r="H5">
        <f>G5*'Product Mapping'!$H$6</f>
        <v>14111.25</v>
      </c>
      <c r="I5">
        <f>G5*'Product Mapping'!$F$6</f>
        <v>129187.5</v>
      </c>
    </row>
    <row r="6" spans="1:12" x14ac:dyDescent="0.3">
      <c r="A6" s="20" t="s">
        <v>25</v>
      </c>
      <c r="B6">
        <v>349000</v>
      </c>
      <c r="C6">
        <v>698000</v>
      </c>
      <c r="D6">
        <v>9217000</v>
      </c>
      <c r="E6">
        <v>7206000</v>
      </c>
    </row>
    <row r="7" spans="1:12" x14ac:dyDescent="0.3">
      <c r="A7" s="23" t="s">
        <v>19</v>
      </c>
      <c r="B7">
        <v>324000</v>
      </c>
      <c r="C7">
        <v>648000</v>
      </c>
      <c r="D7">
        <v>9072000</v>
      </c>
      <c r="E7">
        <v>6156000</v>
      </c>
      <c r="J7">
        <f>GETPIVOTDATA("Sum of Volume (L)",$A$2,"Country","France","Product Name","Diesel C3X")*0.96</f>
        <v>311040</v>
      </c>
      <c r="K7">
        <f>J7*'Product Mapping'!$H$9</f>
        <v>4354560</v>
      </c>
      <c r="L7">
        <f>J7*'Product Mapping'!$F$9</f>
        <v>8709120</v>
      </c>
    </row>
    <row r="8" spans="1:12" x14ac:dyDescent="0.3">
      <c r="A8" s="23" t="s">
        <v>22</v>
      </c>
      <c r="B8">
        <v>25000</v>
      </c>
      <c r="C8">
        <v>50000</v>
      </c>
      <c r="D8">
        <v>145000</v>
      </c>
      <c r="E8">
        <v>1050000</v>
      </c>
      <c r="F8" s="24">
        <f>GETPIVOTDATA("Sum of Km Travelled",$A$2,"Country","France","Product Name","Diesel C3X")/3500*30</f>
        <v>5554.2857142857138</v>
      </c>
      <c r="G8">
        <f>GETPIVOTDATA("Sum of Km Travelled",$A$2,"Country","France","Product Name","Diesel C3X")/8000*30</f>
        <v>2430</v>
      </c>
      <c r="H8">
        <f>G8*'Product Mapping'!$H$6</f>
        <v>17253</v>
      </c>
      <c r="I8">
        <f>G8*'Product Mapping'!$F$6</f>
        <v>157950</v>
      </c>
    </row>
    <row r="9" spans="1:12" x14ac:dyDescent="0.3">
      <c r="A9" s="20" t="s">
        <v>33</v>
      </c>
      <c r="B9">
        <v>337000</v>
      </c>
      <c r="C9">
        <v>674000</v>
      </c>
      <c r="D9">
        <v>9173750</v>
      </c>
      <c r="E9">
        <v>6627000</v>
      </c>
    </row>
    <row r="10" spans="1:12" x14ac:dyDescent="0.3">
      <c r="A10" s="23" t="s">
        <v>23</v>
      </c>
      <c r="B10">
        <v>311500</v>
      </c>
      <c r="C10">
        <v>623000</v>
      </c>
      <c r="D10">
        <v>9033500</v>
      </c>
      <c r="E10">
        <v>5607000</v>
      </c>
      <c r="J10">
        <f>GETPIVOTDATA("Sum of Volume (L)",$A$2,"Country","Germany","Product Name","Diesel C2")*0.96</f>
        <v>299040</v>
      </c>
      <c r="K10">
        <f>J10*'Product Mapping'!$H$9</f>
        <v>4186560</v>
      </c>
      <c r="L10">
        <f>J10*'Product Mapping'!$F$9</f>
        <v>8373120</v>
      </c>
    </row>
    <row r="11" spans="1:12" x14ac:dyDescent="0.3">
      <c r="A11" s="23" t="s">
        <v>17</v>
      </c>
      <c r="B11">
        <v>25500</v>
      </c>
      <c r="C11">
        <v>51000</v>
      </c>
      <c r="D11">
        <v>140250</v>
      </c>
      <c r="E11">
        <v>1020000</v>
      </c>
      <c r="F11" s="24">
        <f>GETPIVOTDATA("Sum of Km Travelled",$A$2,"Country","Germany","Product Name","Diesel C2")/3000*30</f>
        <v>6230</v>
      </c>
      <c r="G11">
        <f>GETPIVOTDATA("Sum of Km Travelled",$A$2,"Country","Germany","Product Name","Diesel C2")/8000*30</f>
        <v>2336.25</v>
      </c>
      <c r="H11">
        <f>G11*'Product Mapping'!$H$6</f>
        <v>16587.375</v>
      </c>
      <c r="I11">
        <f>G11*'Product Mapping'!$F$6</f>
        <v>151856.25</v>
      </c>
    </row>
    <row r="12" spans="1:12" x14ac:dyDescent="0.3">
      <c r="A12" s="20" t="s">
        <v>27</v>
      </c>
      <c r="B12">
        <v>250200</v>
      </c>
      <c r="C12">
        <v>500400</v>
      </c>
      <c r="D12">
        <v>6945600</v>
      </c>
      <c r="E12">
        <v>4794000</v>
      </c>
    </row>
    <row r="13" spans="1:12" x14ac:dyDescent="0.3">
      <c r="A13" s="23" t="s">
        <v>23</v>
      </c>
      <c r="B13">
        <v>237000</v>
      </c>
      <c r="C13">
        <v>474000</v>
      </c>
      <c r="D13">
        <v>6873000</v>
      </c>
      <c r="E13">
        <v>4266000</v>
      </c>
      <c r="J13">
        <f>GETPIVOTDATA("Sum of Volume (L)",$A$2,"Country","Ireland","Product Name","Diesel C2")*0.96</f>
        <v>227520</v>
      </c>
      <c r="K13">
        <f>J13*'Product Mapping'!$H$9</f>
        <v>3185280</v>
      </c>
      <c r="L13">
        <f>J13*'Product Mapping'!$F$9</f>
        <v>6370560</v>
      </c>
    </row>
    <row r="14" spans="1:12" x14ac:dyDescent="0.3">
      <c r="A14" s="23" t="s">
        <v>17</v>
      </c>
      <c r="B14">
        <v>13200</v>
      </c>
      <c r="C14">
        <v>26400</v>
      </c>
      <c r="D14">
        <v>72600</v>
      </c>
      <c r="E14">
        <v>528000</v>
      </c>
      <c r="F14" s="24">
        <f>GETPIVOTDATA("Sum of Km Travelled",$A$2,"Country","Ireland","Product Name","Diesel C2")/3000*30</f>
        <v>4740</v>
      </c>
      <c r="G14">
        <f>GETPIVOTDATA("Sum of Km Travelled",$A$2,"Country","Ireland","Product Name","Diesel C2")/8000*30</f>
        <v>1777.5</v>
      </c>
      <c r="H14">
        <f>G14*'Product Mapping'!$H$6</f>
        <v>12620.25</v>
      </c>
      <c r="I14">
        <f>G14*'Product Mapping'!$F$6</f>
        <v>115537.5</v>
      </c>
    </row>
    <row r="15" spans="1:12" x14ac:dyDescent="0.3">
      <c r="A15" s="20" t="s">
        <v>29</v>
      </c>
      <c r="B15">
        <v>145300</v>
      </c>
      <c r="C15">
        <v>290600</v>
      </c>
      <c r="D15">
        <v>3884140</v>
      </c>
      <c r="E15">
        <v>2951600</v>
      </c>
    </row>
    <row r="16" spans="1:12" x14ac:dyDescent="0.3">
      <c r="A16" s="23" t="s">
        <v>19</v>
      </c>
      <c r="B16">
        <v>137000</v>
      </c>
      <c r="C16">
        <v>274000</v>
      </c>
      <c r="D16">
        <v>3836000</v>
      </c>
      <c r="E16">
        <v>2603000</v>
      </c>
      <c r="J16">
        <f>GETPIVOTDATA("Sum of Volume (L)",$A$2,"Country","Norway","Product Name","Diesel C3X")*0.96</f>
        <v>131520</v>
      </c>
      <c r="K16">
        <f>J16*'Product Mapping'!$H$9</f>
        <v>1841280</v>
      </c>
      <c r="L16">
        <f>J16*'Product Mapping'!$F$9</f>
        <v>3682560</v>
      </c>
    </row>
    <row r="17" spans="1:12" x14ac:dyDescent="0.3">
      <c r="A17" s="23" t="s">
        <v>22</v>
      </c>
      <c r="B17">
        <v>8300</v>
      </c>
      <c r="C17">
        <v>16600</v>
      </c>
      <c r="D17">
        <v>48140</v>
      </c>
      <c r="E17">
        <v>348600</v>
      </c>
      <c r="F17" s="24">
        <f>GETPIVOTDATA("Sum of Km Travelled",$A$2,"Country","Norway","Product Name","Diesel C3X")/3500*30</f>
        <v>2348.5714285714289</v>
      </c>
      <c r="G17">
        <f>GETPIVOTDATA("Sum of Km Travelled",$A$2,"Country","Norway","Product Name","Diesel C3X")/8000*30</f>
        <v>1027.5</v>
      </c>
      <c r="H17">
        <f>G17*'Product Mapping'!$H$6</f>
        <v>7295.25</v>
      </c>
      <c r="I17">
        <f>G17*'Product Mapping'!$F$6</f>
        <v>66787.5</v>
      </c>
    </row>
    <row r="18" spans="1:12" x14ac:dyDescent="0.3">
      <c r="A18" s="20" t="s">
        <v>21</v>
      </c>
      <c r="B18">
        <v>225200</v>
      </c>
      <c r="C18">
        <v>450400</v>
      </c>
      <c r="D18">
        <v>6194400</v>
      </c>
      <c r="E18">
        <v>4401600</v>
      </c>
    </row>
    <row r="19" spans="1:12" x14ac:dyDescent="0.3">
      <c r="A19" s="23" t="s">
        <v>23</v>
      </c>
      <c r="B19">
        <v>210700</v>
      </c>
      <c r="C19">
        <v>421400</v>
      </c>
      <c r="D19">
        <v>6110300</v>
      </c>
      <c r="E19">
        <v>3792600</v>
      </c>
      <c r="J19">
        <f>GETPIVOTDATA("Sum of Volume (L)",$A$2,"Country","Scotland","Product Name","Diesel C2")*0.96</f>
        <v>202272</v>
      </c>
      <c r="K19">
        <f>J19*'Product Mapping'!$H$9</f>
        <v>2831808</v>
      </c>
      <c r="L19">
        <f>J19*'Product Mapping'!$F$9</f>
        <v>5663616</v>
      </c>
    </row>
    <row r="20" spans="1:12" x14ac:dyDescent="0.3">
      <c r="A20" s="23" t="s">
        <v>22</v>
      </c>
      <c r="B20">
        <v>14500</v>
      </c>
      <c r="C20">
        <v>29000</v>
      </c>
      <c r="D20">
        <v>84100</v>
      </c>
      <c r="E20">
        <v>609000</v>
      </c>
      <c r="F20" s="24">
        <f>GETPIVOTDATA("Sum of Km Travelled",$A$2,"Country","Scotland","Product Name","Diesel C2")/3500*30</f>
        <v>3612</v>
      </c>
      <c r="G20">
        <f>GETPIVOTDATA("Sum of Km Travelled",$A$2,"Country","Scotland","Product Name","Diesel C2")/8000*30</f>
        <v>1580.25</v>
      </c>
      <c r="H20">
        <f>G20*'Product Mapping'!$H$6</f>
        <v>11219.775</v>
      </c>
      <c r="I20">
        <f>G20*'Product Mapping'!$F$6</f>
        <v>102716.25</v>
      </c>
    </row>
    <row r="21" spans="1:12" x14ac:dyDescent="0.3">
      <c r="A21" s="20" t="s">
        <v>31</v>
      </c>
      <c r="B21">
        <v>198700</v>
      </c>
      <c r="C21">
        <v>397400</v>
      </c>
      <c r="D21">
        <v>5163100</v>
      </c>
      <c r="E21">
        <v>4149100</v>
      </c>
    </row>
    <row r="22" spans="1:12" x14ac:dyDescent="0.3">
      <c r="A22" s="23" t="s">
        <v>19</v>
      </c>
      <c r="B22">
        <v>180900</v>
      </c>
      <c r="C22">
        <v>361800</v>
      </c>
      <c r="D22">
        <v>5065200</v>
      </c>
      <c r="E22">
        <v>3437100</v>
      </c>
      <c r="J22">
        <f>GETPIVOTDATA("Sum of Volume (L)",$A$2,"Country","Wales","Product Name","Diesel C3X")*0.96</f>
        <v>173664</v>
      </c>
      <c r="K22">
        <f>J22*'Product Mapping'!$H$9</f>
        <v>2431296</v>
      </c>
      <c r="L22">
        <f>J22*'Product Mapping'!$F$9</f>
        <v>4862592</v>
      </c>
    </row>
    <row r="23" spans="1:12" x14ac:dyDescent="0.3">
      <c r="A23" s="23" t="s">
        <v>17</v>
      </c>
      <c r="B23">
        <v>17800</v>
      </c>
      <c r="C23">
        <v>35600</v>
      </c>
      <c r="D23">
        <v>97900</v>
      </c>
      <c r="E23">
        <v>712000</v>
      </c>
      <c r="F23" s="24">
        <f>GETPIVOTDATA("Sum of Km Travelled",$A$2,"Country","Wales","Product Name","Diesel C3X")/3000*30</f>
        <v>3618</v>
      </c>
      <c r="G23">
        <f>GETPIVOTDATA("Sum of Km Travelled",$A$2,"Country","Wales","Product Name","Diesel C3X")/8000*30</f>
        <v>1356.75</v>
      </c>
      <c r="H23">
        <f>G23*'Product Mapping'!$H$6</f>
        <v>9632.9249999999993</v>
      </c>
      <c r="I23">
        <f>G23*'Product Mapping'!$F$6</f>
        <v>88188.75</v>
      </c>
    </row>
    <row r="24" spans="1:12" x14ac:dyDescent="0.3">
      <c r="A24" s="20" t="s">
        <v>78</v>
      </c>
      <c r="B24">
        <v>1789900</v>
      </c>
      <c r="C24">
        <v>3579800</v>
      </c>
      <c r="D24">
        <v>48105240</v>
      </c>
      <c r="E24">
        <v>35944300</v>
      </c>
      <c r="F24" s="34">
        <f>SUM(F5:F23)</f>
        <v>31402.857142857141</v>
      </c>
      <c r="G24" s="25">
        <f>SUM(G5:G23)</f>
        <v>12495.75</v>
      </c>
      <c r="H24" s="34">
        <f>SUM(H4:H23)</f>
        <v>88719.824999999997</v>
      </c>
      <c r="I24" s="25">
        <f>SUM(I5:I23)</f>
        <v>812223.75</v>
      </c>
      <c r="J24" s="25">
        <f>SUM(J4:J22)</f>
        <v>1599456</v>
      </c>
      <c r="K24" s="25">
        <f>SUM(K4:K23)</f>
        <v>22392384</v>
      </c>
      <c r="L24" s="25">
        <f>SUM(L4:L23)</f>
        <v>44784768</v>
      </c>
    </row>
    <row r="26" spans="1:12" x14ac:dyDescent="0.3">
      <c r="K26" s="24"/>
    </row>
  </sheetData>
  <autoFilter ref="F2:L24" xr:uid="{828232E3-6765-405B-ABC4-7D56190A0665}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A5F1-5B4C-4B8C-A16F-8AC20C2D789C}">
  <dimension ref="A1:U8"/>
  <sheetViews>
    <sheetView topLeftCell="P1" zoomScale="80" zoomScaleNormal="80" workbookViewId="0">
      <selection activeCell="T2" sqref="T2"/>
    </sheetView>
  </sheetViews>
  <sheetFormatPr defaultRowHeight="14.4" x14ac:dyDescent="0.3"/>
  <cols>
    <col min="1" max="1" width="28.44140625" bestFit="1" customWidth="1"/>
    <col min="2" max="2" width="17.21875" bestFit="1" customWidth="1"/>
    <col min="3" max="3" width="15" bestFit="1" customWidth="1"/>
    <col min="4" max="4" width="22.44140625" bestFit="1" customWidth="1"/>
    <col min="5" max="5" width="22.77734375" bestFit="1" customWidth="1"/>
    <col min="6" max="6" width="26" bestFit="1" customWidth="1"/>
    <col min="7" max="7" width="30" bestFit="1" customWidth="1"/>
    <col min="8" max="8" width="29.44140625" bestFit="1" customWidth="1"/>
    <col min="9" max="9" width="30.77734375" bestFit="1" customWidth="1"/>
    <col min="10" max="10" width="28.44140625" bestFit="1" customWidth="1"/>
    <col min="11" max="11" width="20.6640625" bestFit="1" customWidth="1"/>
    <col min="12" max="12" width="20.5546875" bestFit="1" customWidth="1"/>
    <col min="13" max="13" width="21.109375" bestFit="1" customWidth="1"/>
    <col min="14" max="14" width="19.88671875" bestFit="1" customWidth="1"/>
    <col min="15" max="15" width="28.33203125" bestFit="1" customWidth="1"/>
    <col min="16" max="16" width="25" bestFit="1" customWidth="1"/>
    <col min="17" max="17" width="46.6640625" style="50" bestFit="1" customWidth="1"/>
    <col min="18" max="19" width="18.5546875" bestFit="1" customWidth="1"/>
    <col min="20" max="20" width="21.109375" bestFit="1" customWidth="1"/>
    <col min="21" max="21" width="21.21875" bestFit="1" customWidth="1"/>
  </cols>
  <sheetData>
    <row r="1" spans="1:21" ht="28.8" x14ac:dyDescent="0.3">
      <c r="A1" s="28" t="s">
        <v>91</v>
      </c>
      <c r="B1" s="28" t="s">
        <v>92</v>
      </c>
      <c r="C1" s="28" t="s">
        <v>93</v>
      </c>
      <c r="D1" s="28" t="s">
        <v>94</v>
      </c>
      <c r="E1" s="28" t="s">
        <v>95</v>
      </c>
      <c r="F1" s="28" t="s">
        <v>96</v>
      </c>
      <c r="G1" s="28" t="s">
        <v>97</v>
      </c>
      <c r="H1" s="28" t="s">
        <v>98</v>
      </c>
      <c r="I1" s="28" t="s">
        <v>99</v>
      </c>
      <c r="J1" s="44" t="s">
        <v>147</v>
      </c>
      <c r="K1" s="28" t="s">
        <v>100</v>
      </c>
      <c r="L1" s="28" t="s">
        <v>101</v>
      </c>
      <c r="M1" s="28" t="s">
        <v>102</v>
      </c>
      <c r="N1" s="28" t="s">
        <v>103</v>
      </c>
      <c r="O1" s="28" t="s">
        <v>122</v>
      </c>
      <c r="P1" s="28" t="s">
        <v>159</v>
      </c>
      <c r="Q1" s="48" t="s">
        <v>105</v>
      </c>
      <c r="R1" s="28" t="s">
        <v>106</v>
      </c>
      <c r="S1" s="28" t="s">
        <v>160</v>
      </c>
      <c r="T1" s="28" t="s">
        <v>108</v>
      </c>
      <c r="U1" s="28" t="s">
        <v>161</v>
      </c>
    </row>
    <row r="2" spans="1:21" x14ac:dyDescent="0.3">
      <c r="A2" s="29" t="s">
        <v>113</v>
      </c>
      <c r="B2" s="29" t="s">
        <v>114</v>
      </c>
      <c r="C2" s="29" t="s">
        <v>112</v>
      </c>
      <c r="D2" s="30">
        <v>648000</v>
      </c>
      <c r="E2" s="30">
        <v>324000</v>
      </c>
      <c r="F2" s="31">
        <v>6156000</v>
      </c>
      <c r="G2" s="30">
        <v>25000</v>
      </c>
      <c r="H2" s="32">
        <v>5554.29</v>
      </c>
      <c r="I2" s="31">
        <v>1050000</v>
      </c>
      <c r="J2" s="31">
        <v>233280</v>
      </c>
      <c r="K2" s="32">
        <v>32214.86</v>
      </c>
      <c r="L2" s="32">
        <v>9072000</v>
      </c>
      <c r="M2" s="32">
        <v>9104214.8599999994</v>
      </c>
      <c r="N2" s="32">
        <f t="shared" ref="N2:N8" si="0">F2+I2</f>
        <v>7206000</v>
      </c>
      <c r="O2" s="32">
        <v>311040</v>
      </c>
      <c r="P2" s="31">
        <f>O2*'Product Mapping'!$F$10</f>
        <v>9175680</v>
      </c>
      <c r="Q2" s="49">
        <v>157950</v>
      </c>
      <c r="R2" s="30">
        <v>17253</v>
      </c>
      <c r="S2" s="30">
        <f>O2*'Product Mapping'!$H$10</f>
        <v>4043520</v>
      </c>
      <c r="T2" s="30">
        <f>R2+S2</f>
        <v>4060773</v>
      </c>
      <c r="U2" s="32">
        <f>P2+Q2</f>
        <v>9333630</v>
      </c>
    </row>
    <row r="3" spans="1:21" x14ac:dyDescent="0.3">
      <c r="A3" s="29" t="s">
        <v>115</v>
      </c>
      <c r="B3" s="29" t="s">
        <v>111</v>
      </c>
      <c r="C3" s="29" t="s">
        <v>116</v>
      </c>
      <c r="D3" s="30">
        <v>623000</v>
      </c>
      <c r="E3" s="30">
        <v>311500</v>
      </c>
      <c r="F3" s="31">
        <v>5607000</v>
      </c>
      <c r="G3" s="30">
        <v>25500</v>
      </c>
      <c r="H3" s="32">
        <v>6230</v>
      </c>
      <c r="I3" s="31">
        <v>1020000</v>
      </c>
      <c r="J3" s="31">
        <v>249200</v>
      </c>
      <c r="K3" s="32">
        <v>34265</v>
      </c>
      <c r="L3" s="32">
        <v>9033500</v>
      </c>
      <c r="M3" s="32">
        <v>9067765</v>
      </c>
      <c r="N3" s="32">
        <f t="shared" si="0"/>
        <v>6627000</v>
      </c>
      <c r="O3" s="32">
        <v>299040</v>
      </c>
      <c r="P3" s="31">
        <f>O3*'Product Mapping'!$F$10</f>
        <v>8821680</v>
      </c>
      <c r="Q3" s="49">
        <v>151856.25</v>
      </c>
      <c r="R3" s="30">
        <v>16587.375</v>
      </c>
      <c r="S3" s="30">
        <f>O3*'Product Mapping'!$H$10</f>
        <v>3887520</v>
      </c>
      <c r="T3" s="30">
        <f t="shared" ref="T3:T8" si="1">R3+S3</f>
        <v>3904107.375</v>
      </c>
      <c r="U3" s="32">
        <f t="shared" ref="U3:U8" si="2">P3+Q3</f>
        <v>8973536.25</v>
      </c>
    </row>
    <row r="4" spans="1:21" x14ac:dyDescent="0.3">
      <c r="A4" s="29" t="s">
        <v>110</v>
      </c>
      <c r="B4" s="29" t="s">
        <v>111</v>
      </c>
      <c r="C4" s="29" t="s">
        <v>112</v>
      </c>
      <c r="D4" s="30">
        <v>530000</v>
      </c>
      <c r="E4" s="30">
        <v>265000</v>
      </c>
      <c r="F4" s="31">
        <v>5035000</v>
      </c>
      <c r="G4" s="30">
        <v>19500</v>
      </c>
      <c r="H4" s="32">
        <v>5300</v>
      </c>
      <c r="I4" s="31">
        <v>780000</v>
      </c>
      <c r="J4" s="31">
        <v>212000</v>
      </c>
      <c r="K4" s="32">
        <v>29150</v>
      </c>
      <c r="L4" s="32">
        <v>7420000</v>
      </c>
      <c r="M4" s="32">
        <v>7449150</v>
      </c>
      <c r="N4" s="32">
        <f t="shared" si="0"/>
        <v>5815000</v>
      </c>
      <c r="O4" s="32">
        <v>254400</v>
      </c>
      <c r="P4" s="31">
        <f>O4*'Product Mapping'!$F$10</f>
        <v>7504800</v>
      </c>
      <c r="Q4" s="49">
        <v>129187.5</v>
      </c>
      <c r="R4" s="30">
        <v>14111.25</v>
      </c>
      <c r="S4" s="30">
        <f>O4*'Product Mapping'!$H$10</f>
        <v>3307200</v>
      </c>
      <c r="T4" s="30">
        <f t="shared" si="1"/>
        <v>3321311.25</v>
      </c>
      <c r="U4" s="32">
        <f t="shared" si="2"/>
        <v>7633987.5</v>
      </c>
    </row>
    <row r="5" spans="1:21" x14ac:dyDescent="0.3">
      <c r="A5" s="29" t="s">
        <v>117</v>
      </c>
      <c r="B5" s="29" t="s">
        <v>111</v>
      </c>
      <c r="C5" s="29" t="s">
        <v>116</v>
      </c>
      <c r="D5" s="30">
        <v>474000</v>
      </c>
      <c r="E5" s="30">
        <v>237000</v>
      </c>
      <c r="F5" s="31">
        <v>4266000</v>
      </c>
      <c r="G5" s="30">
        <v>13200</v>
      </c>
      <c r="H5" s="32">
        <v>4740</v>
      </c>
      <c r="I5" s="31">
        <v>528000</v>
      </c>
      <c r="J5" s="31">
        <v>189600</v>
      </c>
      <c r="K5" s="32">
        <v>26070</v>
      </c>
      <c r="L5" s="32">
        <v>6873000</v>
      </c>
      <c r="M5" s="32">
        <v>6899070</v>
      </c>
      <c r="N5" s="32">
        <f t="shared" si="0"/>
        <v>4794000</v>
      </c>
      <c r="O5">
        <v>227520</v>
      </c>
      <c r="P5" s="31">
        <f>O5*'Product Mapping'!$F$10</f>
        <v>6711840</v>
      </c>
      <c r="Q5" s="49">
        <v>115537.5</v>
      </c>
      <c r="R5" s="30">
        <v>12620.25</v>
      </c>
      <c r="S5" s="30">
        <f>O5*'Product Mapping'!$H$10</f>
        <v>2957760</v>
      </c>
      <c r="T5" s="30">
        <f t="shared" si="1"/>
        <v>2970380.25</v>
      </c>
      <c r="U5" s="32">
        <f t="shared" si="2"/>
        <v>6827377.5</v>
      </c>
    </row>
    <row r="6" spans="1:21" x14ac:dyDescent="0.3">
      <c r="A6" s="29" t="s">
        <v>119</v>
      </c>
      <c r="B6" s="29" t="s">
        <v>114</v>
      </c>
      <c r="C6" s="29" t="s">
        <v>116</v>
      </c>
      <c r="D6" s="30">
        <v>421400</v>
      </c>
      <c r="E6" s="30">
        <v>210700</v>
      </c>
      <c r="F6" s="31">
        <v>3792600</v>
      </c>
      <c r="G6" s="30">
        <v>14500</v>
      </c>
      <c r="H6" s="32">
        <v>3612</v>
      </c>
      <c r="I6" s="31">
        <v>609000</v>
      </c>
      <c r="J6" s="31">
        <v>151704</v>
      </c>
      <c r="K6" s="32">
        <v>20949.599999999999</v>
      </c>
      <c r="L6" s="32">
        <v>6110300</v>
      </c>
      <c r="M6" s="32">
        <v>6131249.5999999996</v>
      </c>
      <c r="N6" s="32">
        <f t="shared" si="0"/>
        <v>4401600</v>
      </c>
      <c r="O6">
        <v>202272</v>
      </c>
      <c r="P6" s="31">
        <f>O6*'Product Mapping'!$F$10</f>
        <v>5967024</v>
      </c>
      <c r="Q6" s="49">
        <v>102716.25</v>
      </c>
      <c r="R6" s="30">
        <v>11219.775</v>
      </c>
      <c r="S6" s="30">
        <f>O6*'Product Mapping'!$H$10</f>
        <v>2629536</v>
      </c>
      <c r="T6" s="30">
        <f t="shared" si="1"/>
        <v>2640755.7749999999</v>
      </c>
      <c r="U6" s="32">
        <f t="shared" si="2"/>
        <v>6069740.25</v>
      </c>
    </row>
    <row r="7" spans="1:21" x14ac:dyDescent="0.3">
      <c r="A7" s="29" t="s">
        <v>120</v>
      </c>
      <c r="B7" s="29" t="s">
        <v>111</v>
      </c>
      <c r="C7" s="29" t="s">
        <v>112</v>
      </c>
      <c r="D7" s="30">
        <v>361800</v>
      </c>
      <c r="E7" s="30">
        <v>180900</v>
      </c>
      <c r="F7" s="31">
        <v>3437100</v>
      </c>
      <c r="G7" s="30">
        <v>17800</v>
      </c>
      <c r="H7" s="32">
        <v>3618</v>
      </c>
      <c r="I7" s="31">
        <v>712000</v>
      </c>
      <c r="J7" s="31">
        <v>144720</v>
      </c>
      <c r="K7" s="32">
        <v>19899</v>
      </c>
      <c r="L7" s="32">
        <v>5065200</v>
      </c>
      <c r="M7" s="32">
        <v>5085099</v>
      </c>
      <c r="N7" s="32">
        <f t="shared" si="0"/>
        <v>4149100</v>
      </c>
      <c r="O7">
        <v>173664</v>
      </c>
      <c r="P7" s="31">
        <f>O7*'Product Mapping'!$F$10</f>
        <v>5123088</v>
      </c>
      <c r="Q7" s="49">
        <v>88188.75</v>
      </c>
      <c r="R7" s="30">
        <v>9632.9249999999993</v>
      </c>
      <c r="S7" s="30">
        <f>O7*'Product Mapping'!$H$10</f>
        <v>2257632</v>
      </c>
      <c r="T7" s="30">
        <f t="shared" si="1"/>
        <v>2267264.9249999998</v>
      </c>
      <c r="U7" s="32">
        <f t="shared" si="2"/>
        <v>5211276.75</v>
      </c>
    </row>
    <row r="8" spans="1:21" x14ac:dyDescent="0.3">
      <c r="A8" s="29" t="s">
        <v>118</v>
      </c>
      <c r="B8" s="29" t="s">
        <v>114</v>
      </c>
      <c r="C8" s="29" t="s">
        <v>112</v>
      </c>
      <c r="D8" s="30">
        <v>274000</v>
      </c>
      <c r="E8" s="30">
        <v>137000</v>
      </c>
      <c r="F8" s="31">
        <v>2603000</v>
      </c>
      <c r="G8" s="30">
        <v>8300</v>
      </c>
      <c r="H8" s="32">
        <v>2348.5700000000002</v>
      </c>
      <c r="I8" s="31">
        <v>348600</v>
      </c>
      <c r="J8" s="31">
        <v>98640</v>
      </c>
      <c r="K8" s="32">
        <v>13621.71</v>
      </c>
      <c r="L8" s="32">
        <v>3836000</v>
      </c>
      <c r="M8" s="32">
        <v>3849621.71</v>
      </c>
      <c r="N8" s="32">
        <f t="shared" si="0"/>
        <v>2951600</v>
      </c>
      <c r="O8">
        <v>131520</v>
      </c>
      <c r="P8" s="31">
        <f>O8*'Product Mapping'!$F$10</f>
        <v>3879840</v>
      </c>
      <c r="Q8" s="49">
        <v>66787.5</v>
      </c>
      <c r="R8" s="30">
        <v>7295.25</v>
      </c>
      <c r="S8" s="30">
        <f>O8*'Product Mapping'!$H$10</f>
        <v>1709760</v>
      </c>
      <c r="T8" s="30">
        <f t="shared" si="1"/>
        <v>1717055.25</v>
      </c>
      <c r="U8" s="32">
        <f t="shared" si="2"/>
        <v>3946627.5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9639-BF74-4CA4-9FCD-787784391D9D}">
  <dimension ref="A1:U36"/>
  <sheetViews>
    <sheetView zoomScale="80" zoomScaleNormal="80" workbookViewId="0">
      <selection activeCell="A21" sqref="A21"/>
    </sheetView>
  </sheetViews>
  <sheetFormatPr defaultRowHeight="14.4" x14ac:dyDescent="0.3"/>
  <cols>
    <col min="1" max="1" width="28.44140625" bestFit="1" customWidth="1"/>
    <col min="2" max="2" width="17.21875" bestFit="1" customWidth="1"/>
    <col min="3" max="3" width="15" bestFit="1" customWidth="1"/>
    <col min="4" max="4" width="22.44140625" bestFit="1" customWidth="1"/>
    <col min="5" max="5" width="22.77734375" bestFit="1" customWidth="1"/>
    <col min="6" max="6" width="26" bestFit="1" customWidth="1"/>
    <col min="7" max="7" width="30" bestFit="1" customWidth="1"/>
    <col min="8" max="8" width="29.44140625" bestFit="1" customWidth="1"/>
    <col min="9" max="9" width="30.77734375" bestFit="1" customWidth="1"/>
    <col min="10" max="10" width="28.44140625" bestFit="1" customWidth="1"/>
    <col min="11" max="11" width="20.6640625" bestFit="1" customWidth="1"/>
    <col min="12" max="12" width="20.5546875" bestFit="1" customWidth="1"/>
    <col min="13" max="13" width="21.109375" bestFit="1" customWidth="1"/>
    <col min="14" max="14" width="19.88671875" bestFit="1" customWidth="1"/>
    <col min="15" max="15" width="28.33203125" bestFit="1" customWidth="1"/>
    <col min="16" max="16" width="25" bestFit="1" customWidth="1"/>
    <col min="17" max="17" width="46.6640625" style="50" bestFit="1" customWidth="1"/>
    <col min="18" max="19" width="18.5546875" bestFit="1" customWidth="1"/>
    <col min="20" max="20" width="21.109375" bestFit="1" customWidth="1"/>
    <col min="21" max="21" width="21.21875" bestFit="1" customWidth="1"/>
  </cols>
  <sheetData>
    <row r="1" spans="1:21" ht="28.8" x14ac:dyDescent="0.3">
      <c r="A1" s="28" t="s">
        <v>91</v>
      </c>
      <c r="B1" s="28" t="s">
        <v>92</v>
      </c>
      <c r="C1" s="28" t="s">
        <v>93</v>
      </c>
      <c r="D1" s="28" t="s">
        <v>94</v>
      </c>
      <c r="E1" s="28" t="s">
        <v>95</v>
      </c>
      <c r="F1" s="28" t="s">
        <v>96</v>
      </c>
      <c r="G1" s="28" t="s">
        <v>97</v>
      </c>
      <c r="H1" s="28" t="s">
        <v>98</v>
      </c>
      <c r="I1" s="28" t="s">
        <v>99</v>
      </c>
      <c r="J1" s="44" t="s">
        <v>147</v>
      </c>
      <c r="K1" s="28" t="s">
        <v>100</v>
      </c>
      <c r="L1" s="28" t="s">
        <v>101</v>
      </c>
      <c r="M1" s="28" t="s">
        <v>102</v>
      </c>
      <c r="N1" s="28" t="s">
        <v>103</v>
      </c>
      <c r="O1" s="28" t="s">
        <v>122</v>
      </c>
      <c r="P1" s="28" t="s">
        <v>159</v>
      </c>
      <c r="Q1" s="48" t="s">
        <v>105</v>
      </c>
      <c r="R1" s="28" t="s">
        <v>106</v>
      </c>
      <c r="S1" s="28" t="s">
        <v>160</v>
      </c>
      <c r="T1" s="28" t="s">
        <v>180</v>
      </c>
      <c r="U1" s="28" t="s">
        <v>161</v>
      </c>
    </row>
    <row r="2" spans="1:21" x14ac:dyDescent="0.3">
      <c r="A2" s="29" t="s">
        <v>113</v>
      </c>
      <c r="B2" s="29" t="s">
        <v>114</v>
      </c>
      <c r="C2" s="29" t="s">
        <v>112</v>
      </c>
      <c r="D2" s="30">
        <v>648000</v>
      </c>
      <c r="E2" s="30">
        <v>324000</v>
      </c>
      <c r="F2" s="31">
        <v>6156000</v>
      </c>
      <c r="G2" s="30">
        <v>25000</v>
      </c>
      <c r="H2" s="32">
        <v>5554.29</v>
      </c>
      <c r="I2" s="31">
        <v>1050000</v>
      </c>
      <c r="J2" s="31">
        <v>233280</v>
      </c>
      <c r="K2" s="32">
        <v>32214.86</v>
      </c>
      <c r="L2" s="32">
        <v>9072000</v>
      </c>
      <c r="M2" s="32">
        <v>9104214.8599999994</v>
      </c>
      <c r="N2" s="32">
        <f t="shared" ref="N2:N9" si="0">F2+I2</f>
        <v>7206000</v>
      </c>
      <c r="O2" s="32">
        <v>311040</v>
      </c>
      <c r="P2" s="31">
        <f>O2*'Product Mapping'!$F$10</f>
        <v>9175680</v>
      </c>
      <c r="Q2" s="49">
        <v>157950</v>
      </c>
      <c r="R2" s="30">
        <v>17253</v>
      </c>
      <c r="S2" s="30">
        <f>O2*'Product Mapping'!$H$10</f>
        <v>4043520</v>
      </c>
      <c r="T2" s="30">
        <f>R2+S2</f>
        <v>4060773</v>
      </c>
      <c r="U2" s="32">
        <f>P2+Q2</f>
        <v>9333630</v>
      </c>
    </row>
    <row r="3" spans="1:21" x14ac:dyDescent="0.3">
      <c r="A3" s="29" t="s">
        <v>115</v>
      </c>
      <c r="B3" s="29" t="s">
        <v>111</v>
      </c>
      <c r="C3" s="29" t="s">
        <v>116</v>
      </c>
      <c r="D3" s="30">
        <v>623000</v>
      </c>
      <c r="E3" s="30">
        <v>311500</v>
      </c>
      <c r="F3" s="31">
        <v>5607000</v>
      </c>
      <c r="G3" s="30">
        <v>25500</v>
      </c>
      <c r="H3" s="32">
        <v>6230</v>
      </c>
      <c r="I3" s="31">
        <v>1020000</v>
      </c>
      <c r="J3" s="31">
        <v>249200</v>
      </c>
      <c r="K3" s="32">
        <v>34265</v>
      </c>
      <c r="L3" s="32">
        <v>9033500</v>
      </c>
      <c r="M3" s="32">
        <v>9067765</v>
      </c>
      <c r="N3" s="32">
        <f t="shared" si="0"/>
        <v>6627000</v>
      </c>
      <c r="O3" s="32">
        <v>299040</v>
      </c>
      <c r="P3" s="31">
        <f>O3*'Product Mapping'!$F$10</f>
        <v>8821680</v>
      </c>
      <c r="Q3" s="49">
        <v>151856.25</v>
      </c>
      <c r="R3" s="30">
        <v>16587.375</v>
      </c>
      <c r="S3" s="30">
        <f>O3*'Product Mapping'!$H$10</f>
        <v>3887520</v>
      </c>
      <c r="T3" s="30">
        <f t="shared" ref="T3:T8" si="1">R3+S3</f>
        <v>3904107.375</v>
      </c>
      <c r="U3" s="32">
        <f t="shared" ref="U3:U8" si="2">P3+Q3</f>
        <v>8973536.25</v>
      </c>
    </row>
    <row r="4" spans="1:21" x14ac:dyDescent="0.3">
      <c r="A4" s="29" t="s">
        <v>110</v>
      </c>
      <c r="B4" s="29" t="s">
        <v>111</v>
      </c>
      <c r="C4" s="29" t="s">
        <v>112</v>
      </c>
      <c r="D4" s="30">
        <v>530000</v>
      </c>
      <c r="E4" s="30">
        <v>265000</v>
      </c>
      <c r="F4" s="31">
        <v>5035000</v>
      </c>
      <c r="G4" s="30">
        <v>19500</v>
      </c>
      <c r="H4" s="32">
        <v>5300</v>
      </c>
      <c r="I4" s="31">
        <v>780000</v>
      </c>
      <c r="J4" s="31">
        <v>212000</v>
      </c>
      <c r="K4" s="32">
        <v>29150</v>
      </c>
      <c r="L4" s="32">
        <v>7420000</v>
      </c>
      <c r="M4" s="32">
        <v>7449150</v>
      </c>
      <c r="N4" s="32">
        <f t="shared" si="0"/>
        <v>5815000</v>
      </c>
      <c r="O4" s="32">
        <v>254400</v>
      </c>
      <c r="P4" s="31">
        <f>O4*'Product Mapping'!$F$10</f>
        <v>7504800</v>
      </c>
      <c r="Q4" s="49">
        <v>129187.5</v>
      </c>
      <c r="R4" s="30">
        <v>14111.25</v>
      </c>
      <c r="S4" s="30">
        <f>O4*'Product Mapping'!$H$10</f>
        <v>3307200</v>
      </c>
      <c r="T4" s="30">
        <f t="shared" si="1"/>
        <v>3321311.25</v>
      </c>
      <c r="U4" s="32">
        <f t="shared" si="2"/>
        <v>7633987.5</v>
      </c>
    </row>
    <row r="5" spans="1:21" x14ac:dyDescent="0.3">
      <c r="A5" s="29" t="s">
        <v>117</v>
      </c>
      <c r="B5" s="29" t="s">
        <v>111</v>
      </c>
      <c r="C5" s="29" t="s">
        <v>116</v>
      </c>
      <c r="D5" s="30">
        <v>474000</v>
      </c>
      <c r="E5" s="30">
        <v>237000</v>
      </c>
      <c r="F5" s="31">
        <v>4266000</v>
      </c>
      <c r="G5" s="30">
        <v>13200</v>
      </c>
      <c r="H5" s="32">
        <v>4740</v>
      </c>
      <c r="I5" s="31">
        <v>528000</v>
      </c>
      <c r="J5" s="31">
        <v>189600</v>
      </c>
      <c r="K5" s="32">
        <v>26070</v>
      </c>
      <c r="L5" s="32">
        <v>6873000</v>
      </c>
      <c r="M5" s="32">
        <v>6899070</v>
      </c>
      <c r="N5" s="32">
        <f t="shared" si="0"/>
        <v>4794000</v>
      </c>
      <c r="O5">
        <v>227520</v>
      </c>
      <c r="P5" s="31">
        <f>O5*'Product Mapping'!$F$10</f>
        <v>6711840</v>
      </c>
      <c r="Q5" s="49">
        <v>115537.5</v>
      </c>
      <c r="R5" s="30">
        <v>12620.25</v>
      </c>
      <c r="S5" s="30">
        <f>O5*'Product Mapping'!$H$10</f>
        <v>2957760</v>
      </c>
      <c r="T5" s="30">
        <f t="shared" si="1"/>
        <v>2970380.25</v>
      </c>
      <c r="U5" s="32">
        <f t="shared" si="2"/>
        <v>6827377.5</v>
      </c>
    </row>
    <row r="6" spans="1:21" x14ac:dyDescent="0.3">
      <c r="A6" s="29" t="s">
        <v>119</v>
      </c>
      <c r="B6" s="29" t="s">
        <v>114</v>
      </c>
      <c r="C6" s="29" t="s">
        <v>116</v>
      </c>
      <c r="D6" s="30">
        <v>421400</v>
      </c>
      <c r="E6" s="30">
        <v>210700</v>
      </c>
      <c r="F6" s="31">
        <v>3792600</v>
      </c>
      <c r="G6" s="30">
        <v>14500</v>
      </c>
      <c r="H6" s="32">
        <v>3612</v>
      </c>
      <c r="I6" s="31">
        <v>609000</v>
      </c>
      <c r="J6" s="31">
        <v>151704</v>
      </c>
      <c r="K6" s="32">
        <v>20949.599999999999</v>
      </c>
      <c r="L6" s="32">
        <v>6110300</v>
      </c>
      <c r="M6" s="32">
        <v>6131249.5999999996</v>
      </c>
      <c r="N6" s="32">
        <f t="shared" si="0"/>
        <v>4401600</v>
      </c>
      <c r="O6">
        <v>202272</v>
      </c>
      <c r="P6" s="31">
        <f>O6*'Product Mapping'!$F$10</f>
        <v>5967024</v>
      </c>
      <c r="Q6" s="49">
        <v>102716.25</v>
      </c>
      <c r="R6" s="30">
        <v>11219.775</v>
      </c>
      <c r="S6" s="30">
        <f>O6*'Product Mapping'!$H$10</f>
        <v>2629536</v>
      </c>
      <c r="T6" s="30">
        <f t="shared" si="1"/>
        <v>2640755.7749999999</v>
      </c>
      <c r="U6" s="32">
        <f t="shared" si="2"/>
        <v>6069740.25</v>
      </c>
    </row>
    <row r="7" spans="1:21" x14ac:dyDescent="0.3">
      <c r="A7" s="29" t="s">
        <v>120</v>
      </c>
      <c r="B7" s="29" t="s">
        <v>111</v>
      </c>
      <c r="C7" s="29" t="s">
        <v>112</v>
      </c>
      <c r="D7" s="30">
        <v>361800</v>
      </c>
      <c r="E7" s="30">
        <v>180900</v>
      </c>
      <c r="F7" s="31">
        <v>3437100</v>
      </c>
      <c r="G7" s="30">
        <v>17800</v>
      </c>
      <c r="H7" s="32">
        <v>3618</v>
      </c>
      <c r="I7" s="31">
        <v>712000</v>
      </c>
      <c r="J7" s="31">
        <v>144720</v>
      </c>
      <c r="K7" s="32">
        <v>19899</v>
      </c>
      <c r="L7" s="32">
        <v>5065200</v>
      </c>
      <c r="M7" s="32">
        <v>5085099</v>
      </c>
      <c r="N7" s="32">
        <f t="shared" si="0"/>
        <v>4149100</v>
      </c>
      <c r="O7">
        <v>173664</v>
      </c>
      <c r="P7" s="31">
        <f>O7*'Product Mapping'!$F$10</f>
        <v>5123088</v>
      </c>
      <c r="Q7" s="49">
        <v>88188.75</v>
      </c>
      <c r="R7" s="30">
        <v>9632.9249999999993</v>
      </c>
      <c r="S7" s="30">
        <f>O7*'Product Mapping'!$H$10</f>
        <v>2257632</v>
      </c>
      <c r="T7" s="30">
        <f t="shared" si="1"/>
        <v>2267264.9249999998</v>
      </c>
      <c r="U7" s="32">
        <f t="shared" si="2"/>
        <v>5211276.75</v>
      </c>
    </row>
    <row r="8" spans="1:21" x14ac:dyDescent="0.3">
      <c r="A8" s="29" t="s">
        <v>118</v>
      </c>
      <c r="B8" s="29" t="s">
        <v>114</v>
      </c>
      <c r="C8" s="29" t="s">
        <v>112</v>
      </c>
      <c r="D8" s="30">
        <v>274000</v>
      </c>
      <c r="E8" s="30">
        <v>137000</v>
      </c>
      <c r="F8" s="31">
        <v>2603000</v>
      </c>
      <c r="G8" s="30">
        <v>8300</v>
      </c>
      <c r="H8" s="32">
        <v>2348.5700000000002</v>
      </c>
      <c r="I8" s="31">
        <v>348600</v>
      </c>
      <c r="J8" s="31">
        <v>98640</v>
      </c>
      <c r="K8" s="32">
        <v>13621.71</v>
      </c>
      <c r="L8" s="32">
        <v>3836000</v>
      </c>
      <c r="M8" s="32">
        <v>3849621.71</v>
      </c>
      <c r="N8" s="32">
        <f t="shared" si="0"/>
        <v>2951600</v>
      </c>
      <c r="O8">
        <v>131520</v>
      </c>
      <c r="P8" s="31">
        <f>O8*'Product Mapping'!$F$10</f>
        <v>3879840</v>
      </c>
      <c r="Q8" s="49">
        <v>66787.5</v>
      </c>
      <c r="R8" s="30">
        <v>7295.25</v>
      </c>
      <c r="S8" s="30">
        <f>O8*'Product Mapping'!$H$10</f>
        <v>1709760</v>
      </c>
      <c r="T8" s="30">
        <f t="shared" si="1"/>
        <v>1717055.25</v>
      </c>
      <c r="U8" s="32">
        <f t="shared" si="2"/>
        <v>3946627.5</v>
      </c>
    </row>
    <row r="9" spans="1:21" x14ac:dyDescent="0.3">
      <c r="A9" s="28" t="s">
        <v>121</v>
      </c>
      <c r="B9" s="28"/>
      <c r="C9" s="28"/>
      <c r="D9" s="45">
        <v>3332200</v>
      </c>
      <c r="E9" s="45">
        <v>1666100</v>
      </c>
      <c r="F9" s="46">
        <v>30896700</v>
      </c>
      <c r="G9" s="45">
        <v>123800</v>
      </c>
      <c r="H9" s="47">
        <v>31402.86</v>
      </c>
      <c r="I9" s="46">
        <v>5047600</v>
      </c>
      <c r="J9" s="46">
        <v>1279144</v>
      </c>
      <c r="K9" s="47">
        <v>176170.17</v>
      </c>
      <c r="L9" s="47">
        <v>47410000</v>
      </c>
      <c r="M9" s="47">
        <v>47586170.170000002</v>
      </c>
      <c r="N9" s="47">
        <f t="shared" si="0"/>
        <v>35944300</v>
      </c>
      <c r="O9" s="47">
        <f>SUM(O2:O8)</f>
        <v>1599456</v>
      </c>
      <c r="P9" s="46">
        <f>SUM(P2:P8)</f>
        <v>47183952</v>
      </c>
      <c r="Q9" s="48">
        <v>812223.75</v>
      </c>
      <c r="R9" s="45">
        <v>88719.824999999997</v>
      </c>
      <c r="S9" s="45">
        <f>SUM(S2:S8)</f>
        <v>20792928</v>
      </c>
      <c r="T9" s="45">
        <f>SUM(T2:T8)</f>
        <v>20881647.824999999</v>
      </c>
      <c r="U9" s="45">
        <f>P9+Q9</f>
        <v>47996175.75</v>
      </c>
    </row>
    <row r="12" spans="1:21" x14ac:dyDescent="0.3">
      <c r="A12" s="35"/>
      <c r="B12" s="36" t="s">
        <v>123</v>
      </c>
      <c r="C12" s="36" t="s">
        <v>124</v>
      </c>
      <c r="D12" s="36" t="s">
        <v>125</v>
      </c>
      <c r="E12" s="36" t="s">
        <v>126</v>
      </c>
      <c r="F12" s="36" t="s">
        <v>127</v>
      </c>
      <c r="H12" s="51" t="s">
        <v>148</v>
      </c>
      <c r="I12" s="52"/>
    </row>
    <row r="13" spans="1:21" x14ac:dyDescent="0.3">
      <c r="A13" s="35"/>
      <c r="B13" s="37" t="s">
        <v>163</v>
      </c>
      <c r="C13" s="37" t="s">
        <v>162</v>
      </c>
      <c r="D13" s="37" t="s">
        <v>164</v>
      </c>
      <c r="E13" s="37" t="s">
        <v>165</v>
      </c>
      <c r="F13" s="37" t="s">
        <v>166</v>
      </c>
      <c r="H13" s="3"/>
      <c r="I13" s="3"/>
    </row>
    <row r="14" spans="1:21" ht="28.8" x14ac:dyDescent="0.3">
      <c r="A14" s="35"/>
      <c r="B14" s="38"/>
      <c r="C14" s="38"/>
      <c r="D14" s="38"/>
      <c r="E14" s="38"/>
      <c r="F14" s="38"/>
      <c r="H14" s="3" t="s">
        <v>123</v>
      </c>
      <c r="I14" s="53" t="s">
        <v>167</v>
      </c>
    </row>
    <row r="15" spans="1:21" x14ac:dyDescent="0.3">
      <c r="A15" s="36" t="s">
        <v>132</v>
      </c>
      <c r="B15" s="39">
        <f>$Q$9</f>
        <v>812223.75</v>
      </c>
      <c r="C15" s="39">
        <f t="shared" ref="C15:F15" si="3">$Q$9</f>
        <v>812223.75</v>
      </c>
      <c r="D15" s="39">
        <f t="shared" si="3"/>
        <v>812223.75</v>
      </c>
      <c r="E15" s="39">
        <f t="shared" si="3"/>
        <v>812223.75</v>
      </c>
      <c r="F15" s="39">
        <f t="shared" si="3"/>
        <v>812223.75</v>
      </c>
      <c r="H15" s="3" t="s">
        <v>124</v>
      </c>
      <c r="I15" s="3" t="s">
        <v>168</v>
      </c>
    </row>
    <row r="16" spans="1:21" x14ac:dyDescent="0.3">
      <c r="A16" s="36" t="s">
        <v>133</v>
      </c>
      <c r="B16" s="38">
        <f>$R$9</f>
        <v>88719.824999999997</v>
      </c>
      <c r="C16" s="38">
        <f t="shared" ref="C16:F16" si="4">$R$9</f>
        <v>88719.824999999997</v>
      </c>
      <c r="D16" s="38">
        <f t="shared" si="4"/>
        <v>88719.824999999997</v>
      </c>
      <c r="E16" s="38">
        <f t="shared" si="4"/>
        <v>88719.824999999997</v>
      </c>
      <c r="F16" s="38">
        <f t="shared" si="4"/>
        <v>88719.824999999997</v>
      </c>
      <c r="H16" s="3" t="s">
        <v>125</v>
      </c>
      <c r="I16" s="3" t="s">
        <v>169</v>
      </c>
    </row>
    <row r="17" spans="1:9" ht="43.2" x14ac:dyDescent="0.3">
      <c r="A17" s="40" t="s">
        <v>134</v>
      </c>
      <c r="B17" s="41">
        <f>B15</f>
        <v>812223.75</v>
      </c>
      <c r="C17" s="41">
        <f>C15</f>
        <v>812223.75</v>
      </c>
      <c r="D17" s="41">
        <f>D15</f>
        <v>812223.75</v>
      </c>
      <c r="E17" s="41">
        <f>E15</f>
        <v>812223.75</v>
      </c>
      <c r="F17" s="41">
        <f>I25-4*F15</f>
        <v>519561</v>
      </c>
      <c r="H17" s="3" t="s">
        <v>126</v>
      </c>
      <c r="I17" s="3" t="s">
        <v>170</v>
      </c>
    </row>
    <row r="18" spans="1:9" x14ac:dyDescent="0.3">
      <c r="A18" s="36"/>
      <c r="B18" s="38"/>
      <c r="C18" s="38"/>
      <c r="D18" s="38"/>
      <c r="E18" s="38"/>
      <c r="F18" s="38"/>
      <c r="H18" s="3" t="s">
        <v>127</v>
      </c>
      <c r="I18" s="3" t="s">
        <v>171</v>
      </c>
    </row>
    <row r="19" spans="1:9" x14ac:dyDescent="0.3">
      <c r="A19" s="36" t="s">
        <v>158</v>
      </c>
      <c r="B19" s="39">
        <f>P2</f>
        <v>9175680</v>
      </c>
      <c r="C19" s="39">
        <f>P3+P2</f>
        <v>17997360</v>
      </c>
      <c r="D19" s="39">
        <f>P4+P3+P2</f>
        <v>25502160</v>
      </c>
      <c r="E19" s="39">
        <f>P9-P6-P7-P8</f>
        <v>32214000</v>
      </c>
      <c r="F19" s="39">
        <f>P9-P7-P8</f>
        <v>38181024</v>
      </c>
      <c r="H19" s="3"/>
      <c r="I19" s="3"/>
    </row>
    <row r="20" spans="1:9" x14ac:dyDescent="0.3">
      <c r="A20" s="36" t="s">
        <v>183</v>
      </c>
      <c r="B20" s="38">
        <f>S2</f>
        <v>4043520</v>
      </c>
      <c r="C20" s="42">
        <f>S3+S2</f>
        <v>7931040</v>
      </c>
      <c r="D20" s="38">
        <f>S4+S3+S2</f>
        <v>11238240</v>
      </c>
      <c r="E20" s="38">
        <f>S9-S8-S7-S6</f>
        <v>14196000</v>
      </c>
      <c r="F20" s="38">
        <f>S9-S7-S8</f>
        <v>16825536</v>
      </c>
      <c r="H20" s="3"/>
      <c r="I20" s="3"/>
    </row>
    <row r="21" spans="1:9" x14ac:dyDescent="0.3">
      <c r="A21" s="36"/>
      <c r="B21" s="38"/>
      <c r="C21" s="38"/>
      <c r="D21" s="38"/>
      <c r="E21" s="38"/>
      <c r="F21" s="38"/>
      <c r="H21" s="3"/>
      <c r="I21" s="3"/>
    </row>
    <row r="22" spans="1:9" x14ac:dyDescent="0.3">
      <c r="A22" s="36" t="s">
        <v>136</v>
      </c>
      <c r="B22" s="39">
        <f>F9-F2</f>
        <v>24740700</v>
      </c>
      <c r="C22" s="39">
        <f>F9-F2-F3</f>
        <v>19133700</v>
      </c>
      <c r="D22" s="39">
        <f>F9-F2-F3-F4</f>
        <v>14098700</v>
      </c>
      <c r="E22" s="39">
        <f>F6+F7+F8</f>
        <v>9832700</v>
      </c>
      <c r="F22" s="43">
        <f>F7+F8</f>
        <v>6040100</v>
      </c>
      <c r="H22" s="3"/>
      <c r="I22" s="3"/>
    </row>
    <row r="23" spans="1:9" x14ac:dyDescent="0.3">
      <c r="A23" s="36" t="s">
        <v>137</v>
      </c>
      <c r="B23" s="38">
        <f>L9-L2</f>
        <v>38338000</v>
      </c>
      <c r="C23" s="38">
        <f>L9-L2-L3</f>
        <v>29304500</v>
      </c>
      <c r="D23" s="38">
        <f>L9-L2-L3-L4</f>
        <v>21884500</v>
      </c>
      <c r="E23" s="38">
        <f>L6+L7+L8</f>
        <v>15011500</v>
      </c>
      <c r="F23" s="38">
        <f>L7+L8</f>
        <v>8901200</v>
      </c>
      <c r="H23" s="3"/>
      <c r="I23" s="3"/>
    </row>
    <row r="24" spans="1:9" x14ac:dyDescent="0.3">
      <c r="A24" s="36"/>
      <c r="B24" s="38"/>
      <c r="C24" s="38"/>
      <c r="D24" s="38"/>
      <c r="E24" s="38"/>
      <c r="F24" s="38"/>
      <c r="H24" s="53"/>
      <c r="I24" s="3"/>
    </row>
    <row r="25" spans="1:9" ht="28.8" x14ac:dyDescent="0.3">
      <c r="A25" s="36" t="s">
        <v>138</v>
      </c>
      <c r="B25" s="39">
        <f>B19+B22</f>
        <v>33916380</v>
      </c>
      <c r="C25" s="39">
        <f>C19+C22</f>
        <v>37131060</v>
      </c>
      <c r="D25" s="39">
        <f>D19+D22</f>
        <v>39600860</v>
      </c>
      <c r="E25" s="39">
        <f>E19+E22</f>
        <v>42046700</v>
      </c>
      <c r="F25" s="39">
        <f>F19+F22+F15-F17</f>
        <v>44513786.75</v>
      </c>
      <c r="H25" s="54" t="s">
        <v>152</v>
      </c>
      <c r="I25" s="55">
        <f>I9-J9</f>
        <v>3768456</v>
      </c>
    </row>
    <row r="26" spans="1:9" x14ac:dyDescent="0.3">
      <c r="A26" s="36" t="s">
        <v>139</v>
      </c>
      <c r="B26" s="38">
        <f>B16+B20+B23</f>
        <v>42470239.825000003</v>
      </c>
      <c r="C26" s="38">
        <f>C16+C20+C23</f>
        <v>37324259.825000003</v>
      </c>
      <c r="D26" s="38">
        <f>D16+D20+D23</f>
        <v>33211459.824999999</v>
      </c>
      <c r="E26" s="38">
        <f>E16+E20+E23</f>
        <v>29296219.824999999</v>
      </c>
      <c r="F26" s="38">
        <f>F16+F20+F23</f>
        <v>25815455.824999999</v>
      </c>
    </row>
    <row r="27" spans="1:9" x14ac:dyDescent="0.3">
      <c r="A27" s="36"/>
      <c r="B27" s="38"/>
      <c r="C27" s="38"/>
      <c r="D27" s="38"/>
      <c r="E27" s="38"/>
      <c r="F27" s="38"/>
    </row>
    <row r="28" spans="1:9" x14ac:dyDescent="0.3">
      <c r="A28" s="56" t="s">
        <v>140</v>
      </c>
      <c r="B28" s="64">
        <f>$M$9-B26</f>
        <v>5115930.3449999988</v>
      </c>
      <c r="C28" s="64">
        <f>$M$9-C26</f>
        <v>10261910.344999999</v>
      </c>
      <c r="D28" s="64">
        <f>$M$9-D26</f>
        <v>14374710.345000003</v>
      </c>
      <c r="E28" s="64">
        <f>$M$9-E26</f>
        <v>18289950.345000003</v>
      </c>
      <c r="F28" s="64">
        <f t="shared" ref="F28" si="5">$M$9-F26</f>
        <v>21770714.345000003</v>
      </c>
    </row>
    <row r="29" spans="1:9" x14ac:dyDescent="0.3">
      <c r="A29" s="56" t="s">
        <v>141</v>
      </c>
      <c r="B29" s="57">
        <f>B28/$M$9</f>
        <v>0.10750876413721694</v>
      </c>
      <c r="C29" s="57">
        <f>C28/$M$9</f>
        <v>0.21564900701904918</v>
      </c>
      <c r="D29" s="57">
        <f>D28/$M$9</f>
        <v>0.30207747952076897</v>
      </c>
      <c r="E29" s="57">
        <f>E28/$M$9</f>
        <v>0.38435432562989974</v>
      </c>
      <c r="F29" s="57">
        <f>F28/$M$9</f>
        <v>0.45750087193873457</v>
      </c>
    </row>
    <row r="30" spans="1:9" ht="43.2" customHeight="1" x14ac:dyDescent="0.3">
      <c r="A30" s="65" t="s">
        <v>153</v>
      </c>
      <c r="B30" s="66">
        <f>B25+B$17</f>
        <v>34728603.75</v>
      </c>
      <c r="C30" s="66">
        <f>C25+C$17</f>
        <v>37943283.75</v>
      </c>
      <c r="D30" s="66">
        <f>D25+D$17</f>
        <v>40413083.75</v>
      </c>
      <c r="E30" s="66">
        <f>E25+E$17</f>
        <v>42858923.75</v>
      </c>
      <c r="F30" s="66">
        <f>F25+F$17</f>
        <v>45033347.75</v>
      </c>
    </row>
    <row r="31" spans="1:9" ht="32.4" customHeight="1" x14ac:dyDescent="0.3">
      <c r="A31" s="65" t="s">
        <v>144</v>
      </c>
      <c r="B31" s="66">
        <f>B30-$N$9</f>
        <v>-1215696.25</v>
      </c>
      <c r="C31" s="66">
        <f t="shared" ref="C31:F31" si="6">C30-$N$9</f>
        <v>1998983.75</v>
      </c>
      <c r="D31" s="66">
        <f t="shared" si="6"/>
        <v>4468783.75</v>
      </c>
      <c r="E31" s="66">
        <f t="shared" si="6"/>
        <v>6914623.75</v>
      </c>
      <c r="F31" s="66">
        <f t="shared" si="6"/>
        <v>9089047.75</v>
      </c>
    </row>
    <row r="32" spans="1:9" ht="28.8" x14ac:dyDescent="0.3">
      <c r="A32" s="65" t="s">
        <v>145</v>
      </c>
      <c r="B32" s="67">
        <f>B31/$N$9</f>
        <v>-3.382166991706613E-2</v>
      </c>
      <c r="C32" s="67">
        <f t="shared" ref="C32:F32" si="7">C31/$N$9</f>
        <v>5.5613372634882301E-2</v>
      </c>
      <c r="D32" s="67">
        <f t="shared" si="7"/>
        <v>0.12432524071966905</v>
      </c>
      <c r="E32" s="67">
        <f t="shared" si="7"/>
        <v>0.19237052189081441</v>
      </c>
      <c r="F32" s="67">
        <f t="shared" si="7"/>
        <v>0.25286478662819972</v>
      </c>
    </row>
    <row r="33" spans="1:6" ht="28.8" x14ac:dyDescent="0.3">
      <c r="A33" s="58" t="s">
        <v>144</v>
      </c>
      <c r="B33" s="59">
        <f>B25-$N$9</f>
        <v>-2027920</v>
      </c>
      <c r="C33" s="59">
        <f>C25-$N$9</f>
        <v>1186760</v>
      </c>
      <c r="D33" s="59">
        <f>D25-$N$9</f>
        <v>3656560</v>
      </c>
      <c r="E33" s="59">
        <f>E25-$N$9</f>
        <v>6102400</v>
      </c>
      <c r="F33" s="59">
        <f>F25-$N$9</f>
        <v>8569486.75</v>
      </c>
    </row>
    <row r="34" spans="1:6" ht="28.8" x14ac:dyDescent="0.3">
      <c r="A34" s="58" t="s">
        <v>145</v>
      </c>
      <c r="B34" s="60">
        <f>B33/$N$9</f>
        <v>-5.6418402917847894E-2</v>
      </c>
      <c r="C34" s="60">
        <f t="shared" ref="C34:E34" si="8">C33/$N$9</f>
        <v>3.3016639634100536E-2</v>
      </c>
      <c r="D34" s="60">
        <f t="shared" si="8"/>
        <v>0.10172850771888728</v>
      </c>
      <c r="E34" s="60">
        <f t="shared" si="8"/>
        <v>0.16977378889003264</v>
      </c>
      <c r="F34" s="60">
        <f>F33/$N$9</f>
        <v>0.23841017212743049</v>
      </c>
    </row>
    <row r="35" spans="1:6" ht="28.8" x14ac:dyDescent="0.3">
      <c r="A35" s="61" t="s">
        <v>142</v>
      </c>
      <c r="B35" s="62">
        <f>B25-N9</f>
        <v>-2027920</v>
      </c>
      <c r="C35" s="62">
        <f>C25-B25</f>
        <v>3214680</v>
      </c>
      <c r="D35" s="62">
        <f>D25-C25</f>
        <v>2469800</v>
      </c>
      <c r="E35" s="62">
        <f>E25-D25</f>
        <v>2445840</v>
      </c>
      <c r="F35" s="62">
        <f>F25-E25</f>
        <v>2467086.75</v>
      </c>
    </row>
    <row r="36" spans="1:6" ht="28.8" x14ac:dyDescent="0.3">
      <c r="A36" s="61" t="s">
        <v>143</v>
      </c>
      <c r="B36" s="63">
        <f>B35/N9</f>
        <v>-5.6418402917847894E-2</v>
      </c>
      <c r="C36" s="63">
        <f>C35/B25</f>
        <v>9.478252101197121E-2</v>
      </c>
      <c r="D36" s="63">
        <f>D35/C25</f>
        <v>6.6515741807532558E-2</v>
      </c>
      <c r="E36" s="63">
        <f>E35/D25</f>
        <v>6.1762295061268874E-2</v>
      </c>
      <c r="F36" s="63">
        <f>F35/E25</f>
        <v>5.867491979156509E-2</v>
      </c>
    </row>
  </sheetData>
  <autoFilter ref="A1:U1" xr:uid="{85E42F50-C462-4B81-83E5-4C8B5BA2C0F1}">
    <sortState xmlns:xlrd2="http://schemas.microsoft.com/office/spreadsheetml/2017/richdata2" ref="A2:U9">
      <sortCondition descending="1" ref="D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EDC0-1CF0-4931-8F6D-D782AEE2F820}">
  <dimension ref="A2:M26"/>
  <sheetViews>
    <sheetView topLeftCell="D1" workbookViewId="0">
      <selection activeCell="M4" sqref="M4"/>
    </sheetView>
  </sheetViews>
  <sheetFormatPr defaultRowHeight="14.4" x14ac:dyDescent="0.3"/>
  <cols>
    <col min="1" max="1" width="14.5546875" bestFit="1" customWidth="1"/>
    <col min="2" max="2" width="16.77734375" bestFit="1" customWidth="1"/>
    <col min="3" max="3" width="18.5546875" bestFit="1" customWidth="1"/>
    <col min="4" max="4" width="27.21875" bestFit="1" customWidth="1"/>
    <col min="5" max="5" width="19.6640625" bestFit="1" customWidth="1"/>
    <col min="6" max="6" width="18.21875" style="24" bestFit="1" customWidth="1"/>
    <col min="7" max="7" width="23.5546875" bestFit="1" customWidth="1"/>
    <col min="8" max="8" width="17.77734375" bestFit="1" customWidth="1"/>
    <col min="9" max="9" width="10" bestFit="1" customWidth="1"/>
    <col min="10" max="10" width="18.88671875" bestFit="1" customWidth="1"/>
    <col min="11" max="11" width="17.77734375" bestFit="1" customWidth="1"/>
    <col min="12" max="12" width="9.33203125" bestFit="1" customWidth="1"/>
    <col min="13" max="13" width="23.33203125" bestFit="1" customWidth="1"/>
  </cols>
  <sheetData>
    <row r="2" spans="1:12" ht="28.8" x14ac:dyDescent="0.3">
      <c r="A2" t="s">
        <v>77</v>
      </c>
      <c r="B2" t="s">
        <v>79</v>
      </c>
      <c r="C2" t="s">
        <v>81</v>
      </c>
      <c r="D2" t="s">
        <v>84</v>
      </c>
      <c r="E2" t="s">
        <v>85</v>
      </c>
      <c r="F2" s="33" t="s">
        <v>90</v>
      </c>
      <c r="G2" s="26" t="s">
        <v>82</v>
      </c>
      <c r="H2" s="27" t="s">
        <v>87</v>
      </c>
      <c r="I2" s="27" t="s">
        <v>88</v>
      </c>
      <c r="J2" s="26" t="s">
        <v>156</v>
      </c>
      <c r="K2" s="27" t="s">
        <v>157</v>
      </c>
      <c r="L2" s="27" t="s">
        <v>158</v>
      </c>
    </row>
    <row r="3" spans="1:12" x14ac:dyDescent="0.3">
      <c r="A3" s="20" t="s">
        <v>14</v>
      </c>
      <c r="B3">
        <v>284500</v>
      </c>
      <c r="C3">
        <v>569000</v>
      </c>
      <c r="D3">
        <v>7527250</v>
      </c>
      <c r="E3">
        <v>5815000</v>
      </c>
    </row>
    <row r="4" spans="1:12" x14ac:dyDescent="0.3">
      <c r="A4" s="23" t="s">
        <v>19</v>
      </c>
      <c r="B4">
        <v>265000</v>
      </c>
      <c r="C4">
        <v>530000</v>
      </c>
      <c r="D4">
        <v>7420000</v>
      </c>
      <c r="E4">
        <v>5035000</v>
      </c>
      <c r="J4">
        <f>GETPIVOTDATA("Sum of Volume (L)",$A$2,"Country","England","Product Name","Diesel C3X")*0.96</f>
        <v>254400</v>
      </c>
      <c r="K4">
        <f>J4*'Product Mapping'!$H$10</f>
        <v>3307200</v>
      </c>
      <c r="L4">
        <f>J4*'Product Mapping'!$F$10</f>
        <v>7504800</v>
      </c>
    </row>
    <row r="5" spans="1:12" x14ac:dyDescent="0.3">
      <c r="A5" s="23" t="s">
        <v>17</v>
      </c>
      <c r="B5">
        <v>19500</v>
      </c>
      <c r="C5">
        <v>39000</v>
      </c>
      <c r="D5">
        <v>107250</v>
      </c>
      <c r="E5">
        <v>780000</v>
      </c>
      <c r="F5" s="24">
        <f>GETPIVOTDATA("Sum of Km Travelled",$A$2,"Country","England","Product Name","Diesel C3X")/3000*30</f>
        <v>5300</v>
      </c>
      <c r="G5">
        <f>GETPIVOTDATA("Sum of Km Travelled",$A$2,"Country","England","Product Name","Diesel C3X")/8000*30</f>
        <v>1987.5</v>
      </c>
      <c r="H5">
        <f>G5*'Product Mapping'!$H$6</f>
        <v>14111.25</v>
      </c>
      <c r="I5">
        <f>G5*'Product Mapping'!$F$6</f>
        <v>129187.5</v>
      </c>
    </row>
    <row r="6" spans="1:12" x14ac:dyDescent="0.3">
      <c r="A6" s="20" t="s">
        <v>25</v>
      </c>
      <c r="B6">
        <v>349000</v>
      </c>
      <c r="C6">
        <v>698000</v>
      </c>
      <c r="D6">
        <v>9217000</v>
      </c>
      <c r="E6">
        <v>7206000</v>
      </c>
    </row>
    <row r="7" spans="1:12" x14ac:dyDescent="0.3">
      <c r="A7" s="23" t="s">
        <v>19</v>
      </c>
      <c r="B7">
        <v>324000</v>
      </c>
      <c r="C7">
        <v>648000</v>
      </c>
      <c r="D7">
        <v>9072000</v>
      </c>
      <c r="E7">
        <v>6156000</v>
      </c>
      <c r="J7">
        <f>GETPIVOTDATA("Sum of Volume (L)",$A$2,"Country","France","Product Name","Diesel C3X")*0.96</f>
        <v>311040</v>
      </c>
      <c r="K7">
        <f>J7*'Product Mapping'!$H$10</f>
        <v>4043520</v>
      </c>
      <c r="L7">
        <f>J7*'Product Mapping'!$F$10</f>
        <v>9175680</v>
      </c>
    </row>
    <row r="8" spans="1:12" x14ac:dyDescent="0.3">
      <c r="A8" s="23" t="s">
        <v>22</v>
      </c>
      <c r="B8">
        <v>25000</v>
      </c>
      <c r="C8">
        <v>50000</v>
      </c>
      <c r="D8">
        <v>145000</v>
      </c>
      <c r="E8">
        <v>1050000</v>
      </c>
      <c r="F8" s="24">
        <f>GETPIVOTDATA("Sum of Km Travelled",$A$2,"Country","France","Product Name","Diesel C3X")/3500*30</f>
        <v>5554.2857142857138</v>
      </c>
      <c r="G8">
        <f>GETPIVOTDATA("Sum of Km Travelled",$A$2,"Country","France","Product Name","Diesel C3X")/8000*30</f>
        <v>2430</v>
      </c>
      <c r="H8">
        <f>G8*'Product Mapping'!$H$6</f>
        <v>17253</v>
      </c>
      <c r="I8">
        <f>G8*'Product Mapping'!$F$6</f>
        <v>157950</v>
      </c>
    </row>
    <row r="9" spans="1:12" x14ac:dyDescent="0.3">
      <c r="A9" s="20" t="s">
        <v>33</v>
      </c>
      <c r="B9">
        <v>337000</v>
      </c>
      <c r="C9">
        <v>674000</v>
      </c>
      <c r="D9">
        <v>9173750</v>
      </c>
      <c r="E9">
        <v>6627000</v>
      </c>
    </row>
    <row r="10" spans="1:12" x14ac:dyDescent="0.3">
      <c r="A10" s="23" t="s">
        <v>23</v>
      </c>
      <c r="B10">
        <v>311500</v>
      </c>
      <c r="C10">
        <v>623000</v>
      </c>
      <c r="D10">
        <v>9033500</v>
      </c>
      <c r="E10">
        <v>5607000</v>
      </c>
      <c r="J10">
        <f>GETPIVOTDATA("Sum of Volume (L)",$A$2,"Country","Germany","Product Name","Diesel C2")*0.96</f>
        <v>299040</v>
      </c>
      <c r="K10">
        <f>J10*'Product Mapping'!$H$10</f>
        <v>3887520</v>
      </c>
      <c r="L10">
        <f>J10*'Product Mapping'!$F$10</f>
        <v>8821680</v>
      </c>
    </row>
    <row r="11" spans="1:12" x14ac:dyDescent="0.3">
      <c r="A11" s="23" t="s">
        <v>17</v>
      </c>
      <c r="B11">
        <v>25500</v>
      </c>
      <c r="C11">
        <v>51000</v>
      </c>
      <c r="D11">
        <v>140250</v>
      </c>
      <c r="E11">
        <v>1020000</v>
      </c>
      <c r="F11" s="24">
        <f>GETPIVOTDATA("Sum of Km Travelled",$A$2,"Country","Germany","Product Name","Diesel C2")/3000*30</f>
        <v>6230</v>
      </c>
      <c r="G11">
        <f>GETPIVOTDATA("Sum of Km Travelled",$A$2,"Country","Germany","Product Name","Diesel C2")/8000*30</f>
        <v>2336.25</v>
      </c>
      <c r="H11">
        <f>G11*'Product Mapping'!$H$6</f>
        <v>16587.375</v>
      </c>
      <c r="I11">
        <f>G11*'Product Mapping'!$F$6</f>
        <v>151856.25</v>
      </c>
    </row>
    <row r="12" spans="1:12" x14ac:dyDescent="0.3">
      <c r="A12" s="20" t="s">
        <v>27</v>
      </c>
      <c r="B12">
        <v>250200</v>
      </c>
      <c r="C12">
        <v>500400</v>
      </c>
      <c r="D12">
        <v>6945600</v>
      </c>
      <c r="E12">
        <v>4794000</v>
      </c>
    </row>
    <row r="13" spans="1:12" x14ac:dyDescent="0.3">
      <c r="A13" s="23" t="s">
        <v>23</v>
      </c>
      <c r="B13">
        <v>237000</v>
      </c>
      <c r="C13">
        <v>474000</v>
      </c>
      <c r="D13">
        <v>6873000</v>
      </c>
      <c r="E13">
        <v>4266000</v>
      </c>
      <c r="J13">
        <f>GETPIVOTDATA("Sum of Volume (L)",$A$2,"Country","Ireland","Product Name","Diesel C2")*0.96</f>
        <v>227520</v>
      </c>
      <c r="K13">
        <f>J13*'Product Mapping'!$H$10</f>
        <v>2957760</v>
      </c>
      <c r="L13">
        <f>J13*'Product Mapping'!$F$10</f>
        <v>6711840</v>
      </c>
    </row>
    <row r="14" spans="1:12" x14ac:dyDescent="0.3">
      <c r="A14" s="23" t="s">
        <v>17</v>
      </c>
      <c r="B14">
        <v>13200</v>
      </c>
      <c r="C14">
        <v>26400</v>
      </c>
      <c r="D14">
        <v>72600</v>
      </c>
      <c r="E14">
        <v>528000</v>
      </c>
      <c r="F14" s="24">
        <f>GETPIVOTDATA("Sum of Km Travelled",$A$2,"Country","Ireland","Product Name","Diesel C2")/3000*30</f>
        <v>4740</v>
      </c>
      <c r="G14">
        <f>GETPIVOTDATA("Sum of Km Travelled",$A$2,"Country","Ireland","Product Name","Diesel C2")/8000*30</f>
        <v>1777.5</v>
      </c>
      <c r="H14">
        <f>G14*'Product Mapping'!$H$6</f>
        <v>12620.25</v>
      </c>
      <c r="I14">
        <f>G14*'Product Mapping'!$F$6</f>
        <v>115537.5</v>
      </c>
    </row>
    <row r="15" spans="1:12" x14ac:dyDescent="0.3">
      <c r="A15" s="20" t="s">
        <v>29</v>
      </c>
      <c r="B15">
        <v>145300</v>
      </c>
      <c r="C15">
        <v>290600</v>
      </c>
      <c r="D15">
        <v>3884140</v>
      </c>
      <c r="E15">
        <v>2951600</v>
      </c>
    </row>
    <row r="16" spans="1:12" x14ac:dyDescent="0.3">
      <c r="A16" s="23" t="s">
        <v>19</v>
      </c>
      <c r="B16">
        <v>137000</v>
      </c>
      <c r="C16">
        <v>274000</v>
      </c>
      <c r="D16">
        <v>3836000</v>
      </c>
      <c r="E16">
        <v>2603000</v>
      </c>
      <c r="J16">
        <f>GETPIVOTDATA("Sum of Volume (L)",$A$2,"Country","Norway","Product Name","Diesel C3X")*0.96</f>
        <v>131520</v>
      </c>
      <c r="K16">
        <f>J16*'Product Mapping'!$H$10</f>
        <v>1709760</v>
      </c>
      <c r="L16">
        <f>J16*'Product Mapping'!$F$10</f>
        <v>3879840</v>
      </c>
    </row>
    <row r="17" spans="1:13" x14ac:dyDescent="0.3">
      <c r="A17" s="23" t="s">
        <v>22</v>
      </c>
      <c r="B17">
        <v>8300</v>
      </c>
      <c r="C17">
        <v>16600</v>
      </c>
      <c r="D17">
        <v>48140</v>
      </c>
      <c r="E17">
        <v>348600</v>
      </c>
      <c r="F17" s="24">
        <f>GETPIVOTDATA("Sum of Km Travelled",$A$2,"Country","Norway","Product Name","Diesel C3X")/3500*30</f>
        <v>2348.5714285714289</v>
      </c>
      <c r="G17">
        <f>GETPIVOTDATA("Sum of Km Travelled",$A$2,"Country","Norway","Product Name","Diesel C3X")/8000*30</f>
        <v>1027.5</v>
      </c>
      <c r="H17">
        <f>G17*'Product Mapping'!$H$6</f>
        <v>7295.25</v>
      </c>
      <c r="I17">
        <f>G17*'Product Mapping'!$F$6</f>
        <v>66787.5</v>
      </c>
    </row>
    <row r="18" spans="1:13" x14ac:dyDescent="0.3">
      <c r="A18" s="20" t="s">
        <v>21</v>
      </c>
      <c r="B18">
        <v>225200</v>
      </c>
      <c r="C18">
        <v>450400</v>
      </c>
      <c r="D18">
        <v>6194400</v>
      </c>
      <c r="E18">
        <v>4401600</v>
      </c>
    </row>
    <row r="19" spans="1:13" x14ac:dyDescent="0.3">
      <c r="A19" s="23" t="s">
        <v>23</v>
      </c>
      <c r="B19">
        <v>210700</v>
      </c>
      <c r="C19">
        <v>421400</v>
      </c>
      <c r="D19">
        <v>6110300</v>
      </c>
      <c r="E19">
        <v>3792600</v>
      </c>
      <c r="J19">
        <f>GETPIVOTDATA("Sum of Volume (L)",$A$2,"Country","Scotland","Product Name","Diesel C2")*0.96</f>
        <v>202272</v>
      </c>
      <c r="K19">
        <f>J19*'Product Mapping'!$H$10</f>
        <v>2629536</v>
      </c>
      <c r="L19">
        <f>J19*'Product Mapping'!$F$10</f>
        <v>5967024</v>
      </c>
    </row>
    <row r="20" spans="1:13" x14ac:dyDescent="0.3">
      <c r="A20" s="23" t="s">
        <v>22</v>
      </c>
      <c r="B20">
        <v>14500</v>
      </c>
      <c r="C20">
        <v>29000</v>
      </c>
      <c r="D20">
        <v>84100</v>
      </c>
      <c r="E20">
        <v>609000</v>
      </c>
      <c r="F20" s="24">
        <f>GETPIVOTDATA("Sum of Km Travelled",$A$2,"Country","Scotland","Product Name","Diesel C2")/3500*30</f>
        <v>3612</v>
      </c>
      <c r="G20">
        <f>GETPIVOTDATA("Sum of Km Travelled",$A$2,"Country","Scotland","Product Name","Diesel C2")/8000*30</f>
        <v>1580.25</v>
      </c>
      <c r="H20">
        <f>G20*'Product Mapping'!$H$6</f>
        <v>11219.775</v>
      </c>
      <c r="I20">
        <f>G20*'Product Mapping'!$F$6</f>
        <v>102716.25</v>
      </c>
    </row>
    <row r="21" spans="1:13" x14ac:dyDescent="0.3">
      <c r="A21" s="20" t="s">
        <v>31</v>
      </c>
      <c r="B21">
        <v>198700</v>
      </c>
      <c r="C21">
        <v>397400</v>
      </c>
      <c r="D21">
        <v>5163100</v>
      </c>
      <c r="E21">
        <v>4149100</v>
      </c>
    </row>
    <row r="22" spans="1:13" x14ac:dyDescent="0.3">
      <c r="A22" s="23" t="s">
        <v>19</v>
      </c>
      <c r="B22">
        <v>180900</v>
      </c>
      <c r="C22">
        <v>361800</v>
      </c>
      <c r="D22">
        <v>5065200</v>
      </c>
      <c r="E22">
        <v>3437100</v>
      </c>
      <c r="J22">
        <f>GETPIVOTDATA("Sum of Volume (L)",$A$2,"Country","Wales","Product Name","Diesel C3X")*0.96</f>
        <v>173664</v>
      </c>
      <c r="K22">
        <f>J22*'Product Mapping'!$H$10</f>
        <v>2257632</v>
      </c>
      <c r="L22">
        <f>J22*'Product Mapping'!$F$10</f>
        <v>5123088</v>
      </c>
    </row>
    <row r="23" spans="1:13" x14ac:dyDescent="0.3">
      <c r="A23" s="23" t="s">
        <v>17</v>
      </c>
      <c r="B23">
        <v>17800</v>
      </c>
      <c r="C23">
        <v>35600</v>
      </c>
      <c r="D23">
        <v>97900</v>
      </c>
      <c r="E23">
        <v>712000</v>
      </c>
      <c r="F23" s="24">
        <f>GETPIVOTDATA("Sum of Km Travelled",$A$2,"Country","Wales","Product Name","Diesel C3X")/3000*30</f>
        <v>3618</v>
      </c>
      <c r="G23">
        <f>GETPIVOTDATA("Sum of Km Travelled",$A$2,"Country","Wales","Product Name","Diesel C3X")/8000*30</f>
        <v>1356.75</v>
      </c>
      <c r="H23">
        <f>G23*'Product Mapping'!$H$6</f>
        <v>9632.9249999999993</v>
      </c>
      <c r="I23">
        <f>G23*'Product Mapping'!$F$6</f>
        <v>88188.75</v>
      </c>
    </row>
    <row r="24" spans="1:13" x14ac:dyDescent="0.3">
      <c r="A24" s="20" t="s">
        <v>78</v>
      </c>
      <c r="B24">
        <v>1789900</v>
      </c>
      <c r="C24">
        <v>3579800</v>
      </c>
      <c r="D24">
        <v>48105240</v>
      </c>
      <c r="E24">
        <v>35944300</v>
      </c>
      <c r="F24" s="34">
        <f>SUM(F5:F23)</f>
        <v>31402.857142857141</v>
      </c>
      <c r="G24" s="25">
        <f>SUM(G5:G23)</f>
        <v>12495.75</v>
      </c>
      <c r="H24" s="34">
        <f>SUM(H4:H23)</f>
        <v>88719.824999999997</v>
      </c>
      <c r="I24" s="25">
        <f>SUM(I5:I23)</f>
        <v>812223.75</v>
      </c>
      <c r="J24" s="25">
        <f>SUM(J4:J22)</f>
        <v>1599456</v>
      </c>
      <c r="K24" s="25">
        <f>SUM(K4:K23)</f>
        <v>20792928</v>
      </c>
      <c r="L24" s="25">
        <f>SUM(L4:L23)</f>
        <v>47183952</v>
      </c>
      <c r="M24" s="24"/>
    </row>
    <row r="26" spans="1:13" x14ac:dyDescent="0.3">
      <c r="K26" s="24"/>
    </row>
  </sheetData>
  <autoFilter ref="F2:L24" xr:uid="{828232E3-6765-405B-ABC4-7D56190A0665}"/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6597-285B-43AF-BA0E-5E078D49AEEC}">
  <dimension ref="A1:V8"/>
  <sheetViews>
    <sheetView topLeftCell="O1" zoomScale="80" zoomScaleNormal="80" workbookViewId="0">
      <selection activeCell="U11" sqref="U11"/>
    </sheetView>
  </sheetViews>
  <sheetFormatPr defaultRowHeight="14.4" x14ac:dyDescent="0.3"/>
  <cols>
    <col min="1" max="1" width="28.44140625" bestFit="1" customWidth="1"/>
    <col min="2" max="2" width="17.21875" bestFit="1" customWidth="1"/>
    <col min="3" max="3" width="15" bestFit="1" customWidth="1"/>
    <col min="4" max="4" width="22.44140625" bestFit="1" customWidth="1"/>
    <col min="5" max="5" width="22.77734375" bestFit="1" customWidth="1"/>
    <col min="6" max="6" width="26" bestFit="1" customWidth="1"/>
    <col min="7" max="7" width="30" bestFit="1" customWidth="1"/>
    <col min="8" max="8" width="29.44140625" bestFit="1" customWidth="1"/>
    <col min="9" max="9" width="30.77734375" bestFit="1" customWidth="1"/>
    <col min="10" max="10" width="28.44140625" bestFit="1" customWidth="1"/>
    <col min="11" max="11" width="20.6640625" bestFit="1" customWidth="1"/>
    <col min="12" max="12" width="20.5546875" bestFit="1" customWidth="1"/>
    <col min="13" max="13" width="21.109375" bestFit="1" customWidth="1"/>
    <col min="14" max="14" width="19.88671875" bestFit="1" customWidth="1"/>
    <col min="15" max="15" width="28.33203125" bestFit="1" customWidth="1"/>
    <col min="16" max="16" width="25" bestFit="1" customWidth="1"/>
    <col min="17" max="17" width="25" customWidth="1"/>
    <col min="18" max="18" width="46.6640625" style="50" bestFit="1" customWidth="1"/>
    <col min="19" max="20" width="18.5546875" bestFit="1" customWidth="1"/>
    <col min="21" max="21" width="21.109375" bestFit="1" customWidth="1"/>
    <col min="22" max="22" width="21.21875" bestFit="1" customWidth="1"/>
  </cols>
  <sheetData>
    <row r="1" spans="1:22" ht="28.8" x14ac:dyDescent="0.3">
      <c r="A1" s="28" t="s">
        <v>91</v>
      </c>
      <c r="B1" s="28" t="s">
        <v>92</v>
      </c>
      <c r="C1" s="28" t="s">
        <v>93</v>
      </c>
      <c r="D1" s="28" t="s">
        <v>94</v>
      </c>
      <c r="E1" s="28" t="s">
        <v>95</v>
      </c>
      <c r="F1" s="28" t="s">
        <v>96</v>
      </c>
      <c r="G1" s="28" t="s">
        <v>97</v>
      </c>
      <c r="H1" s="28" t="s">
        <v>98</v>
      </c>
      <c r="I1" s="28" t="s">
        <v>99</v>
      </c>
      <c r="J1" s="44" t="s">
        <v>147</v>
      </c>
      <c r="K1" s="28" t="s">
        <v>100</v>
      </c>
      <c r="L1" s="28" t="s">
        <v>101</v>
      </c>
      <c r="M1" s="28" t="s">
        <v>102</v>
      </c>
      <c r="N1" s="28" t="s">
        <v>103</v>
      </c>
      <c r="O1" s="28" t="s">
        <v>122</v>
      </c>
      <c r="P1" s="28" t="s">
        <v>159</v>
      </c>
      <c r="Q1" s="28" t="s">
        <v>177</v>
      </c>
      <c r="R1" s="48" t="s">
        <v>105</v>
      </c>
      <c r="S1" s="28" t="s">
        <v>175</v>
      </c>
      <c r="T1" s="28" t="s">
        <v>160</v>
      </c>
      <c r="U1" s="28" t="s">
        <v>178</v>
      </c>
      <c r="V1" s="28" t="s">
        <v>176</v>
      </c>
    </row>
    <row r="2" spans="1:22" x14ac:dyDescent="0.3">
      <c r="A2" s="29" t="s">
        <v>113</v>
      </c>
      <c r="B2" s="29" t="s">
        <v>114</v>
      </c>
      <c r="C2" s="29" t="s">
        <v>112</v>
      </c>
      <c r="D2" s="30">
        <v>648000</v>
      </c>
      <c r="E2" s="30">
        <v>324000</v>
      </c>
      <c r="F2" s="31">
        <v>6156000</v>
      </c>
      <c r="G2" s="30">
        <v>25000</v>
      </c>
      <c r="H2" s="32">
        <v>5554.29</v>
      </c>
      <c r="I2" s="31">
        <v>1050000</v>
      </c>
      <c r="J2" s="31">
        <v>233280</v>
      </c>
      <c r="K2" s="32">
        <v>32214.86</v>
      </c>
      <c r="L2" s="32">
        <v>9072000</v>
      </c>
      <c r="M2" s="32">
        <v>9104214.8599999994</v>
      </c>
      <c r="N2" s="32">
        <f t="shared" ref="N2:N8" si="0">F2+I2</f>
        <v>7206000</v>
      </c>
      <c r="O2" s="32">
        <f>E2*0.97</f>
        <v>314280</v>
      </c>
      <c r="P2" s="31">
        <f>O2*'Product Mapping'!$F$10</f>
        <v>9271260</v>
      </c>
      <c r="Q2" s="31">
        <f>D2/7500*30</f>
        <v>2592</v>
      </c>
      <c r="R2" s="49">
        <f>Q2*'Product Mapping'!$F$5</f>
        <v>155520</v>
      </c>
      <c r="S2" s="30">
        <f>Q2*'Product Mapping'!$H$5</f>
        <v>17625.599999999999</v>
      </c>
      <c r="T2" s="30">
        <f>O2*'Product Mapping'!$H$10</f>
        <v>4085640</v>
      </c>
      <c r="U2" s="30">
        <f>S2+T2</f>
        <v>4103265.6</v>
      </c>
      <c r="V2" s="32">
        <f>P2+R2</f>
        <v>9426780</v>
      </c>
    </row>
    <row r="3" spans="1:22" x14ac:dyDescent="0.3">
      <c r="A3" s="29" t="s">
        <v>115</v>
      </c>
      <c r="B3" s="29" t="s">
        <v>111</v>
      </c>
      <c r="C3" s="29" t="s">
        <v>116</v>
      </c>
      <c r="D3" s="30">
        <v>623000</v>
      </c>
      <c r="E3" s="30">
        <v>311500</v>
      </c>
      <c r="F3" s="31">
        <v>5607000</v>
      </c>
      <c r="G3" s="30">
        <v>25500</v>
      </c>
      <c r="H3" s="32">
        <v>6230</v>
      </c>
      <c r="I3" s="31">
        <v>1020000</v>
      </c>
      <c r="J3" s="31">
        <v>249200</v>
      </c>
      <c r="K3" s="32">
        <v>34265</v>
      </c>
      <c r="L3" s="32">
        <v>9033500</v>
      </c>
      <c r="M3" s="32">
        <v>9067765</v>
      </c>
      <c r="N3" s="32">
        <f t="shared" si="0"/>
        <v>6627000</v>
      </c>
      <c r="O3" s="32">
        <f t="shared" ref="O3:O8" si="1">E3*0.97</f>
        <v>302155</v>
      </c>
      <c r="P3" s="31">
        <f>O3*'Product Mapping'!$F$10</f>
        <v>8913572.5</v>
      </c>
      <c r="Q3" s="31">
        <f t="shared" ref="Q3:Q8" si="2">D3/7500*30</f>
        <v>2492</v>
      </c>
      <c r="R3" s="49">
        <f>Q3*'Product Mapping'!$F$5</f>
        <v>149520</v>
      </c>
      <c r="S3" s="30">
        <f>Q3*'Product Mapping'!$H$5</f>
        <v>16945.599999999999</v>
      </c>
      <c r="T3" s="30">
        <f>O3*'Product Mapping'!$H$10</f>
        <v>3928015</v>
      </c>
      <c r="U3" s="30">
        <f t="shared" ref="U3:U8" si="3">S3+T3</f>
        <v>3944960.6</v>
      </c>
      <c r="V3" s="32">
        <f t="shared" ref="V3:V8" si="4">P3+R3</f>
        <v>9063092.5</v>
      </c>
    </row>
    <row r="4" spans="1:22" x14ac:dyDescent="0.3">
      <c r="A4" s="29" t="s">
        <v>110</v>
      </c>
      <c r="B4" s="29" t="s">
        <v>111</v>
      </c>
      <c r="C4" s="29" t="s">
        <v>112</v>
      </c>
      <c r="D4" s="30">
        <v>530000</v>
      </c>
      <c r="E4" s="30">
        <v>265000</v>
      </c>
      <c r="F4" s="31">
        <v>5035000</v>
      </c>
      <c r="G4" s="30">
        <v>19500</v>
      </c>
      <c r="H4" s="32">
        <v>5300</v>
      </c>
      <c r="I4" s="31">
        <v>780000</v>
      </c>
      <c r="J4" s="31">
        <v>212000</v>
      </c>
      <c r="K4" s="32">
        <v>29150</v>
      </c>
      <c r="L4" s="32">
        <v>7420000</v>
      </c>
      <c r="M4" s="32">
        <v>7449150</v>
      </c>
      <c r="N4" s="32">
        <f t="shared" si="0"/>
        <v>5815000</v>
      </c>
      <c r="O4" s="32">
        <f t="shared" si="1"/>
        <v>257050</v>
      </c>
      <c r="P4" s="31">
        <f>O4*'Product Mapping'!$F$10</f>
        <v>7582975</v>
      </c>
      <c r="Q4" s="31">
        <f t="shared" si="2"/>
        <v>2120</v>
      </c>
      <c r="R4" s="49">
        <f>Q4*'Product Mapping'!$F$5</f>
        <v>127200</v>
      </c>
      <c r="S4" s="30">
        <f>Q4*'Product Mapping'!$H$5</f>
        <v>14416</v>
      </c>
      <c r="T4" s="30">
        <f>O4*'Product Mapping'!$H$10</f>
        <v>3341650</v>
      </c>
      <c r="U4" s="30">
        <f t="shared" si="3"/>
        <v>3356066</v>
      </c>
      <c r="V4" s="32">
        <f t="shared" si="4"/>
        <v>7710175</v>
      </c>
    </row>
    <row r="5" spans="1:22" x14ac:dyDescent="0.3">
      <c r="A5" s="29" t="s">
        <v>117</v>
      </c>
      <c r="B5" s="29" t="s">
        <v>111</v>
      </c>
      <c r="C5" s="29" t="s">
        <v>116</v>
      </c>
      <c r="D5" s="30">
        <v>474000</v>
      </c>
      <c r="E5" s="30">
        <v>237000</v>
      </c>
      <c r="F5" s="31">
        <v>4266000</v>
      </c>
      <c r="G5" s="30">
        <v>13200</v>
      </c>
      <c r="H5" s="32">
        <v>4740</v>
      </c>
      <c r="I5" s="31">
        <v>528000</v>
      </c>
      <c r="J5" s="31">
        <v>189600</v>
      </c>
      <c r="K5" s="32">
        <v>26070</v>
      </c>
      <c r="L5" s="32">
        <v>6873000</v>
      </c>
      <c r="M5" s="32">
        <v>6899070</v>
      </c>
      <c r="N5" s="32">
        <f t="shared" si="0"/>
        <v>4794000</v>
      </c>
      <c r="O5" s="32">
        <f t="shared" si="1"/>
        <v>229890</v>
      </c>
      <c r="P5" s="31">
        <f>O5*'Product Mapping'!$F$10</f>
        <v>6781755</v>
      </c>
      <c r="Q5" s="31">
        <f t="shared" si="2"/>
        <v>1896</v>
      </c>
      <c r="R5" s="49">
        <f>Q5*'Product Mapping'!$F$5</f>
        <v>113760</v>
      </c>
      <c r="S5" s="30">
        <f>Q5*'Product Mapping'!$H$5</f>
        <v>12892.8</v>
      </c>
      <c r="T5" s="30">
        <f>O5*'Product Mapping'!$H$10</f>
        <v>2988570</v>
      </c>
      <c r="U5" s="30">
        <f t="shared" si="3"/>
        <v>3001462.8</v>
      </c>
      <c r="V5" s="32">
        <f t="shared" si="4"/>
        <v>6895515</v>
      </c>
    </row>
    <row r="6" spans="1:22" x14ac:dyDescent="0.3">
      <c r="A6" s="29" t="s">
        <v>119</v>
      </c>
      <c r="B6" s="29" t="s">
        <v>114</v>
      </c>
      <c r="C6" s="29" t="s">
        <v>116</v>
      </c>
      <c r="D6" s="30">
        <v>421400</v>
      </c>
      <c r="E6" s="30">
        <v>210700</v>
      </c>
      <c r="F6" s="31">
        <v>3792600</v>
      </c>
      <c r="G6" s="30">
        <v>14500</v>
      </c>
      <c r="H6" s="32">
        <v>3612</v>
      </c>
      <c r="I6" s="31">
        <v>609000</v>
      </c>
      <c r="J6" s="31">
        <v>151704</v>
      </c>
      <c r="K6" s="32">
        <v>20949.599999999999</v>
      </c>
      <c r="L6" s="32">
        <v>6110300</v>
      </c>
      <c r="M6" s="32">
        <v>6131249.5999999996</v>
      </c>
      <c r="N6" s="32">
        <f t="shared" si="0"/>
        <v>4401600</v>
      </c>
      <c r="O6" s="32">
        <f t="shared" si="1"/>
        <v>204379</v>
      </c>
      <c r="P6" s="31">
        <f>O6*'Product Mapping'!$F$10</f>
        <v>6029180.5</v>
      </c>
      <c r="Q6" s="31">
        <f t="shared" si="2"/>
        <v>1685.6</v>
      </c>
      <c r="R6" s="49">
        <f>Q6*'Product Mapping'!$F$5</f>
        <v>101136</v>
      </c>
      <c r="S6" s="30">
        <f>Q6*'Product Mapping'!$H$5</f>
        <v>11462.08</v>
      </c>
      <c r="T6" s="30">
        <f>O6*'Product Mapping'!$H$10</f>
        <v>2656927</v>
      </c>
      <c r="U6" s="30">
        <f t="shared" si="3"/>
        <v>2668389.08</v>
      </c>
      <c r="V6" s="32">
        <f t="shared" si="4"/>
        <v>6130316.5</v>
      </c>
    </row>
    <row r="7" spans="1:22" x14ac:dyDescent="0.3">
      <c r="A7" s="29" t="s">
        <v>120</v>
      </c>
      <c r="B7" s="29" t="s">
        <v>111</v>
      </c>
      <c r="C7" s="29" t="s">
        <v>112</v>
      </c>
      <c r="D7" s="30">
        <v>361800</v>
      </c>
      <c r="E7" s="30">
        <v>180900</v>
      </c>
      <c r="F7" s="31">
        <v>3437100</v>
      </c>
      <c r="G7" s="30">
        <v>17800</v>
      </c>
      <c r="H7" s="32">
        <v>3618</v>
      </c>
      <c r="I7" s="31">
        <v>712000</v>
      </c>
      <c r="J7" s="31">
        <v>144720</v>
      </c>
      <c r="K7" s="32">
        <v>19899</v>
      </c>
      <c r="L7" s="32">
        <v>5065200</v>
      </c>
      <c r="M7" s="32">
        <v>5085099</v>
      </c>
      <c r="N7" s="32">
        <f t="shared" si="0"/>
        <v>4149100</v>
      </c>
      <c r="O7" s="32">
        <f t="shared" si="1"/>
        <v>175473</v>
      </c>
      <c r="P7" s="31">
        <f>O7*'Product Mapping'!$F$10</f>
        <v>5176453.5</v>
      </c>
      <c r="Q7" s="31">
        <f t="shared" si="2"/>
        <v>1447.2</v>
      </c>
      <c r="R7" s="49">
        <f>Q7*'Product Mapping'!$F$5</f>
        <v>86832</v>
      </c>
      <c r="S7" s="30">
        <f>Q7*'Product Mapping'!$H$5</f>
        <v>9840.9600000000009</v>
      </c>
      <c r="T7" s="30">
        <f>O7*'Product Mapping'!$H$10</f>
        <v>2281149</v>
      </c>
      <c r="U7" s="30">
        <f t="shared" si="3"/>
        <v>2290989.96</v>
      </c>
      <c r="V7" s="32">
        <f t="shared" si="4"/>
        <v>5263285.5</v>
      </c>
    </row>
    <row r="8" spans="1:22" x14ac:dyDescent="0.3">
      <c r="A8" s="29" t="s">
        <v>118</v>
      </c>
      <c r="B8" s="29" t="s">
        <v>114</v>
      </c>
      <c r="C8" s="29" t="s">
        <v>112</v>
      </c>
      <c r="D8" s="30">
        <v>274000</v>
      </c>
      <c r="E8" s="30">
        <v>137000</v>
      </c>
      <c r="F8" s="31">
        <v>2603000</v>
      </c>
      <c r="G8" s="30">
        <v>8300</v>
      </c>
      <c r="H8" s="32">
        <v>2348.5700000000002</v>
      </c>
      <c r="I8" s="31">
        <v>348600</v>
      </c>
      <c r="J8" s="31">
        <v>98640</v>
      </c>
      <c r="K8" s="32">
        <v>13621.71</v>
      </c>
      <c r="L8" s="32">
        <v>3836000</v>
      </c>
      <c r="M8" s="32">
        <v>3849621.71</v>
      </c>
      <c r="N8" s="32">
        <f t="shared" si="0"/>
        <v>2951600</v>
      </c>
      <c r="O8" s="32">
        <f t="shared" si="1"/>
        <v>132890</v>
      </c>
      <c r="P8" s="31">
        <f>O8*'Product Mapping'!$F$10</f>
        <v>3920255</v>
      </c>
      <c r="Q8" s="31">
        <f t="shared" si="2"/>
        <v>1096</v>
      </c>
      <c r="R8" s="49">
        <f>Q8*'Product Mapping'!$F$5</f>
        <v>65760</v>
      </c>
      <c r="S8" s="30">
        <f>Q8*'Product Mapping'!$H$5</f>
        <v>7452.8</v>
      </c>
      <c r="T8" s="30">
        <f>O8*'Product Mapping'!$H$10</f>
        <v>1727570</v>
      </c>
      <c r="U8" s="30">
        <f t="shared" si="3"/>
        <v>1735022.8</v>
      </c>
      <c r="V8" s="32">
        <f t="shared" si="4"/>
        <v>3986015</v>
      </c>
    </row>
  </sheetData>
  <autoFilter ref="A1:V1" xr:uid="{85E42F50-C462-4B81-83E5-4C8B5BA2C0F1}">
    <sortState xmlns:xlrd2="http://schemas.microsoft.com/office/spreadsheetml/2017/richdata2" ref="A2:V9">
      <sortCondition descending="1" ref="D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D446-EED4-42C9-9EA5-E5C757FE7E06}">
  <dimension ref="A1:V36"/>
  <sheetViews>
    <sheetView topLeftCell="N1" zoomScale="80" zoomScaleNormal="80" workbookViewId="0">
      <selection activeCell="R2" sqref="R2"/>
    </sheetView>
  </sheetViews>
  <sheetFormatPr defaultRowHeight="14.4" x14ac:dyDescent="0.3"/>
  <cols>
    <col min="1" max="1" width="28.44140625" bestFit="1" customWidth="1"/>
    <col min="2" max="2" width="17.21875" bestFit="1" customWidth="1"/>
    <col min="3" max="3" width="15" bestFit="1" customWidth="1"/>
    <col min="4" max="4" width="22.44140625" bestFit="1" customWidth="1"/>
    <col min="5" max="5" width="22.77734375" bestFit="1" customWidth="1"/>
    <col min="6" max="6" width="26" bestFit="1" customWidth="1"/>
    <col min="7" max="7" width="30" bestFit="1" customWidth="1"/>
    <col min="8" max="8" width="29.44140625" bestFit="1" customWidth="1"/>
    <col min="9" max="9" width="30.77734375" bestFit="1" customWidth="1"/>
    <col min="10" max="10" width="28.44140625" bestFit="1" customWidth="1"/>
    <col min="11" max="11" width="20.6640625" bestFit="1" customWidth="1"/>
    <col min="12" max="12" width="20.5546875" bestFit="1" customWidth="1"/>
    <col min="13" max="13" width="21.109375" bestFit="1" customWidth="1"/>
    <col min="14" max="14" width="19.88671875" bestFit="1" customWidth="1"/>
    <col min="15" max="15" width="28.33203125" bestFit="1" customWidth="1"/>
    <col min="16" max="16" width="25" bestFit="1" customWidth="1"/>
    <col min="17" max="17" width="25" customWidth="1"/>
    <col min="18" max="18" width="46.6640625" style="50" bestFit="1" customWidth="1"/>
    <col min="19" max="20" width="18.5546875" bestFit="1" customWidth="1"/>
    <col min="21" max="21" width="21.109375" bestFit="1" customWidth="1"/>
    <col min="22" max="22" width="21.21875" bestFit="1" customWidth="1"/>
  </cols>
  <sheetData>
    <row r="1" spans="1:22" ht="28.8" x14ac:dyDescent="0.3">
      <c r="A1" s="28" t="s">
        <v>91</v>
      </c>
      <c r="B1" s="28" t="s">
        <v>92</v>
      </c>
      <c r="C1" s="28" t="s">
        <v>93</v>
      </c>
      <c r="D1" s="28" t="s">
        <v>94</v>
      </c>
      <c r="E1" s="28" t="s">
        <v>95</v>
      </c>
      <c r="F1" s="28" t="s">
        <v>96</v>
      </c>
      <c r="G1" s="28" t="s">
        <v>97</v>
      </c>
      <c r="H1" s="28" t="s">
        <v>98</v>
      </c>
      <c r="I1" s="28" t="s">
        <v>99</v>
      </c>
      <c r="J1" s="44" t="s">
        <v>147</v>
      </c>
      <c r="K1" s="28" t="s">
        <v>100</v>
      </c>
      <c r="L1" s="28" t="s">
        <v>101</v>
      </c>
      <c r="M1" s="28" t="s">
        <v>102</v>
      </c>
      <c r="N1" s="28" t="s">
        <v>103</v>
      </c>
      <c r="O1" s="28" t="s">
        <v>122</v>
      </c>
      <c r="P1" s="28" t="s">
        <v>159</v>
      </c>
      <c r="Q1" s="28" t="s">
        <v>177</v>
      </c>
      <c r="R1" s="48" t="s">
        <v>105</v>
      </c>
      <c r="S1" s="28" t="s">
        <v>175</v>
      </c>
      <c r="T1" s="28" t="s">
        <v>160</v>
      </c>
      <c r="U1" s="28" t="s">
        <v>178</v>
      </c>
      <c r="V1" s="28" t="s">
        <v>176</v>
      </c>
    </row>
    <row r="2" spans="1:22" x14ac:dyDescent="0.3">
      <c r="A2" s="29" t="s">
        <v>113</v>
      </c>
      <c r="B2" s="29" t="s">
        <v>114</v>
      </c>
      <c r="C2" s="29" t="s">
        <v>112</v>
      </c>
      <c r="D2" s="30">
        <v>648000</v>
      </c>
      <c r="E2" s="30">
        <v>324000</v>
      </c>
      <c r="F2" s="31">
        <v>6156000</v>
      </c>
      <c r="G2" s="30">
        <v>25000</v>
      </c>
      <c r="H2" s="32">
        <v>5554.29</v>
      </c>
      <c r="I2" s="31">
        <v>1050000</v>
      </c>
      <c r="J2" s="31">
        <v>233280</v>
      </c>
      <c r="K2" s="32">
        <v>32214.86</v>
      </c>
      <c r="L2" s="32">
        <v>9072000</v>
      </c>
      <c r="M2" s="32">
        <v>9104214.8599999994</v>
      </c>
      <c r="N2" s="32">
        <f t="shared" ref="N2:N9" si="0">F2+I2</f>
        <v>7206000</v>
      </c>
      <c r="O2" s="32">
        <f>E2*0.97</f>
        <v>314280</v>
      </c>
      <c r="P2" s="31">
        <f>O2*'Product Mapping'!$F$10</f>
        <v>9271260</v>
      </c>
      <c r="Q2" s="31">
        <f>D2/7500*30</f>
        <v>2592</v>
      </c>
      <c r="R2" s="49">
        <f>Q2*'Product Mapping'!$F$5</f>
        <v>155520</v>
      </c>
      <c r="S2" s="30">
        <f>Q2*'Product Mapping'!$H$5</f>
        <v>17625.599999999999</v>
      </c>
      <c r="T2" s="30">
        <f>O2*'Product Mapping'!$H$10</f>
        <v>4085640</v>
      </c>
      <c r="U2" s="30">
        <f>S2+T2</f>
        <v>4103265.6</v>
      </c>
      <c r="V2" s="32">
        <f>P2+R2</f>
        <v>9426780</v>
      </c>
    </row>
    <row r="3" spans="1:22" x14ac:dyDescent="0.3">
      <c r="A3" s="29" t="s">
        <v>115</v>
      </c>
      <c r="B3" s="29" t="s">
        <v>111</v>
      </c>
      <c r="C3" s="29" t="s">
        <v>116</v>
      </c>
      <c r="D3" s="30">
        <v>623000</v>
      </c>
      <c r="E3" s="30">
        <v>311500</v>
      </c>
      <c r="F3" s="31">
        <v>5607000</v>
      </c>
      <c r="G3" s="30">
        <v>25500</v>
      </c>
      <c r="H3" s="32">
        <v>6230</v>
      </c>
      <c r="I3" s="31">
        <v>1020000</v>
      </c>
      <c r="J3" s="31">
        <v>249200</v>
      </c>
      <c r="K3" s="32">
        <v>34265</v>
      </c>
      <c r="L3" s="32">
        <v>9033500</v>
      </c>
      <c r="M3" s="32">
        <v>9067765</v>
      </c>
      <c r="N3" s="32">
        <f t="shared" si="0"/>
        <v>6627000</v>
      </c>
      <c r="O3" s="32">
        <f t="shared" ref="O3:O8" si="1">E3*0.97</f>
        <v>302155</v>
      </c>
      <c r="P3" s="31">
        <f>O3*'Product Mapping'!$F$10</f>
        <v>8913572.5</v>
      </c>
      <c r="Q3" s="31">
        <f t="shared" ref="Q3:Q8" si="2">D3/7500*30</f>
        <v>2492</v>
      </c>
      <c r="R3" s="49">
        <f>Q3*'Product Mapping'!$F$5</f>
        <v>149520</v>
      </c>
      <c r="S3" s="30">
        <f>Q3*'Product Mapping'!$H$5</f>
        <v>16945.599999999999</v>
      </c>
      <c r="T3" s="30">
        <f>O3*'Product Mapping'!$H$10</f>
        <v>3928015</v>
      </c>
      <c r="U3" s="30">
        <f t="shared" ref="U3:U8" si="3">S3+T3</f>
        <v>3944960.6</v>
      </c>
      <c r="V3" s="32">
        <f t="shared" ref="V3:V9" si="4">P3+R3</f>
        <v>9063092.5</v>
      </c>
    </row>
    <row r="4" spans="1:22" x14ac:dyDescent="0.3">
      <c r="A4" s="29" t="s">
        <v>110</v>
      </c>
      <c r="B4" s="29" t="s">
        <v>111</v>
      </c>
      <c r="C4" s="29" t="s">
        <v>112</v>
      </c>
      <c r="D4" s="30">
        <v>530000</v>
      </c>
      <c r="E4" s="30">
        <v>265000</v>
      </c>
      <c r="F4" s="31">
        <v>5035000</v>
      </c>
      <c r="G4" s="30">
        <v>19500</v>
      </c>
      <c r="H4" s="32">
        <v>5300</v>
      </c>
      <c r="I4" s="31">
        <v>780000</v>
      </c>
      <c r="J4" s="31">
        <v>212000</v>
      </c>
      <c r="K4" s="32">
        <v>29150</v>
      </c>
      <c r="L4" s="32">
        <v>7420000</v>
      </c>
      <c r="M4" s="32">
        <v>7449150</v>
      </c>
      <c r="N4" s="32">
        <f t="shared" si="0"/>
        <v>5815000</v>
      </c>
      <c r="O4" s="32">
        <f t="shared" si="1"/>
        <v>257050</v>
      </c>
      <c r="P4" s="31">
        <f>O4*'Product Mapping'!$F$10</f>
        <v>7582975</v>
      </c>
      <c r="Q4" s="31">
        <f t="shared" si="2"/>
        <v>2120</v>
      </c>
      <c r="R4" s="49">
        <f>Q4*'Product Mapping'!$F$5</f>
        <v>127200</v>
      </c>
      <c r="S4" s="30">
        <f>Q4*'Product Mapping'!$H$5</f>
        <v>14416</v>
      </c>
      <c r="T4" s="30">
        <f>O4*'Product Mapping'!$H$10</f>
        <v>3341650</v>
      </c>
      <c r="U4" s="30">
        <f t="shared" si="3"/>
        <v>3356066</v>
      </c>
      <c r="V4" s="32">
        <f t="shared" si="4"/>
        <v>7710175</v>
      </c>
    </row>
    <row r="5" spans="1:22" x14ac:dyDescent="0.3">
      <c r="A5" s="29" t="s">
        <v>117</v>
      </c>
      <c r="B5" s="29" t="s">
        <v>111</v>
      </c>
      <c r="C5" s="29" t="s">
        <v>116</v>
      </c>
      <c r="D5" s="30">
        <v>474000</v>
      </c>
      <c r="E5" s="30">
        <v>237000</v>
      </c>
      <c r="F5" s="31">
        <v>4266000</v>
      </c>
      <c r="G5" s="30">
        <v>13200</v>
      </c>
      <c r="H5" s="32">
        <v>4740</v>
      </c>
      <c r="I5" s="31">
        <v>528000</v>
      </c>
      <c r="J5" s="31">
        <v>189600</v>
      </c>
      <c r="K5" s="32">
        <v>26070</v>
      </c>
      <c r="L5" s="32">
        <v>6873000</v>
      </c>
      <c r="M5" s="32">
        <v>6899070</v>
      </c>
      <c r="N5" s="32">
        <f t="shared" si="0"/>
        <v>4794000</v>
      </c>
      <c r="O5" s="32">
        <f t="shared" si="1"/>
        <v>229890</v>
      </c>
      <c r="P5" s="31">
        <f>O5*'Product Mapping'!$F$10</f>
        <v>6781755</v>
      </c>
      <c r="Q5" s="31">
        <f t="shared" si="2"/>
        <v>1896</v>
      </c>
      <c r="R5" s="49">
        <f>Q5*'Product Mapping'!$F$5</f>
        <v>113760</v>
      </c>
      <c r="S5" s="30">
        <f>Q5*'Product Mapping'!$H$5</f>
        <v>12892.8</v>
      </c>
      <c r="T5" s="30">
        <f>O5*'Product Mapping'!$H$10</f>
        <v>2988570</v>
      </c>
      <c r="U5" s="30">
        <f t="shared" si="3"/>
        <v>3001462.8</v>
      </c>
      <c r="V5" s="32">
        <f t="shared" si="4"/>
        <v>6895515</v>
      </c>
    </row>
    <row r="6" spans="1:22" x14ac:dyDescent="0.3">
      <c r="A6" s="29" t="s">
        <v>119</v>
      </c>
      <c r="B6" s="29" t="s">
        <v>114</v>
      </c>
      <c r="C6" s="29" t="s">
        <v>116</v>
      </c>
      <c r="D6" s="30">
        <v>421400</v>
      </c>
      <c r="E6" s="30">
        <v>210700</v>
      </c>
      <c r="F6" s="31">
        <v>3792600</v>
      </c>
      <c r="G6" s="30">
        <v>14500</v>
      </c>
      <c r="H6" s="32">
        <v>3612</v>
      </c>
      <c r="I6" s="31">
        <v>609000</v>
      </c>
      <c r="J6" s="31">
        <v>151704</v>
      </c>
      <c r="K6" s="32">
        <v>20949.599999999999</v>
      </c>
      <c r="L6" s="32">
        <v>6110300</v>
      </c>
      <c r="M6" s="32">
        <v>6131249.5999999996</v>
      </c>
      <c r="N6" s="32">
        <f t="shared" si="0"/>
        <v>4401600</v>
      </c>
      <c r="O6" s="32">
        <f t="shared" si="1"/>
        <v>204379</v>
      </c>
      <c r="P6" s="31">
        <f>O6*'Product Mapping'!$F$10</f>
        <v>6029180.5</v>
      </c>
      <c r="Q6" s="31">
        <f t="shared" si="2"/>
        <v>1685.6</v>
      </c>
      <c r="R6" s="49">
        <f>Q6*'Product Mapping'!$F$5</f>
        <v>101136</v>
      </c>
      <c r="S6" s="30">
        <f>Q6*'Product Mapping'!$H$5</f>
        <v>11462.08</v>
      </c>
      <c r="T6" s="30">
        <f>O6*'Product Mapping'!$H$10</f>
        <v>2656927</v>
      </c>
      <c r="U6" s="30">
        <f t="shared" si="3"/>
        <v>2668389.08</v>
      </c>
      <c r="V6" s="32">
        <f t="shared" si="4"/>
        <v>6130316.5</v>
      </c>
    </row>
    <row r="7" spans="1:22" x14ac:dyDescent="0.3">
      <c r="A7" s="29" t="s">
        <v>120</v>
      </c>
      <c r="B7" s="29" t="s">
        <v>111</v>
      </c>
      <c r="C7" s="29" t="s">
        <v>112</v>
      </c>
      <c r="D7" s="30">
        <v>361800</v>
      </c>
      <c r="E7" s="30">
        <v>180900</v>
      </c>
      <c r="F7" s="31">
        <v>3437100</v>
      </c>
      <c r="G7" s="30">
        <v>17800</v>
      </c>
      <c r="H7" s="32">
        <v>3618</v>
      </c>
      <c r="I7" s="31">
        <v>712000</v>
      </c>
      <c r="J7" s="31">
        <v>144720</v>
      </c>
      <c r="K7" s="32">
        <v>19899</v>
      </c>
      <c r="L7" s="32">
        <v>5065200</v>
      </c>
      <c r="M7" s="32">
        <v>5085099</v>
      </c>
      <c r="N7" s="32">
        <f t="shared" si="0"/>
        <v>4149100</v>
      </c>
      <c r="O7" s="32">
        <f t="shared" si="1"/>
        <v>175473</v>
      </c>
      <c r="P7" s="31">
        <f>O7*'Product Mapping'!$F$10</f>
        <v>5176453.5</v>
      </c>
      <c r="Q7" s="31">
        <f t="shared" si="2"/>
        <v>1447.2</v>
      </c>
      <c r="R7" s="49">
        <f>Q7*'Product Mapping'!$F$5</f>
        <v>86832</v>
      </c>
      <c r="S7" s="30">
        <f>Q7*'Product Mapping'!$H$5</f>
        <v>9840.9600000000009</v>
      </c>
      <c r="T7" s="30">
        <f>O7*'Product Mapping'!$H$10</f>
        <v>2281149</v>
      </c>
      <c r="U7" s="30">
        <f t="shared" si="3"/>
        <v>2290989.96</v>
      </c>
      <c r="V7" s="32">
        <f t="shared" si="4"/>
        <v>5263285.5</v>
      </c>
    </row>
    <row r="8" spans="1:22" x14ac:dyDescent="0.3">
      <c r="A8" s="29" t="s">
        <v>118</v>
      </c>
      <c r="B8" s="29" t="s">
        <v>114</v>
      </c>
      <c r="C8" s="29" t="s">
        <v>112</v>
      </c>
      <c r="D8" s="30">
        <v>274000</v>
      </c>
      <c r="E8" s="30">
        <v>137000</v>
      </c>
      <c r="F8" s="31">
        <v>2603000</v>
      </c>
      <c r="G8" s="30">
        <v>8300</v>
      </c>
      <c r="H8" s="32">
        <v>2348.5700000000002</v>
      </c>
      <c r="I8" s="31">
        <v>348600</v>
      </c>
      <c r="J8" s="31">
        <v>98640</v>
      </c>
      <c r="K8" s="32">
        <v>13621.71</v>
      </c>
      <c r="L8" s="32">
        <v>3836000</v>
      </c>
      <c r="M8" s="32">
        <v>3849621.71</v>
      </c>
      <c r="N8" s="32">
        <f t="shared" si="0"/>
        <v>2951600</v>
      </c>
      <c r="O8" s="32">
        <f t="shared" si="1"/>
        <v>132890</v>
      </c>
      <c r="P8" s="31">
        <f>O8*'Product Mapping'!$F$10</f>
        <v>3920255</v>
      </c>
      <c r="Q8" s="31">
        <f t="shared" si="2"/>
        <v>1096</v>
      </c>
      <c r="R8" s="49">
        <f>Q8*'Product Mapping'!$F$5</f>
        <v>65760</v>
      </c>
      <c r="S8" s="30">
        <f>Q8*'Product Mapping'!$H$5</f>
        <v>7452.8</v>
      </c>
      <c r="T8" s="30">
        <f>O8*'Product Mapping'!$H$10</f>
        <v>1727570</v>
      </c>
      <c r="U8" s="30">
        <f t="shared" si="3"/>
        <v>1735022.8</v>
      </c>
      <c r="V8" s="32">
        <f t="shared" si="4"/>
        <v>3986015</v>
      </c>
    </row>
    <row r="9" spans="1:22" x14ac:dyDescent="0.3">
      <c r="A9" s="28" t="s">
        <v>121</v>
      </c>
      <c r="B9" s="28"/>
      <c r="C9" s="28"/>
      <c r="D9" s="45">
        <v>3332200</v>
      </c>
      <c r="E9" s="45">
        <v>1666100</v>
      </c>
      <c r="F9" s="46">
        <v>30896700</v>
      </c>
      <c r="G9" s="45">
        <v>123800</v>
      </c>
      <c r="H9" s="47">
        <v>31402.86</v>
      </c>
      <c r="I9" s="46">
        <v>5047600</v>
      </c>
      <c r="J9" s="46">
        <v>1279144</v>
      </c>
      <c r="K9" s="47">
        <v>176170.17</v>
      </c>
      <c r="L9" s="47">
        <v>47410000</v>
      </c>
      <c r="M9" s="47">
        <v>47586170.170000002</v>
      </c>
      <c r="N9" s="47">
        <f t="shared" si="0"/>
        <v>35944300</v>
      </c>
      <c r="O9" s="47">
        <f t="shared" ref="O9:U9" si="5">SUM(O2:O8)</f>
        <v>1616117</v>
      </c>
      <c r="P9" s="46">
        <f t="shared" si="5"/>
        <v>47675451.5</v>
      </c>
      <c r="Q9" s="46">
        <f t="shared" si="5"/>
        <v>13328.800000000001</v>
      </c>
      <c r="R9" s="48">
        <f t="shared" si="5"/>
        <v>799728</v>
      </c>
      <c r="S9" s="45">
        <f t="shared" si="5"/>
        <v>90635.840000000011</v>
      </c>
      <c r="T9" s="45">
        <f t="shared" si="5"/>
        <v>21009521</v>
      </c>
      <c r="U9" s="45">
        <f t="shared" si="5"/>
        <v>21100156.84</v>
      </c>
      <c r="V9" s="45">
        <f t="shared" si="4"/>
        <v>48475179.5</v>
      </c>
    </row>
    <row r="12" spans="1:22" x14ac:dyDescent="0.3">
      <c r="A12" s="35"/>
      <c r="B12" s="36" t="s">
        <v>123</v>
      </c>
      <c r="C12" s="36" t="s">
        <v>124</v>
      </c>
      <c r="D12" s="36" t="s">
        <v>125</v>
      </c>
      <c r="E12" s="36" t="s">
        <v>126</v>
      </c>
      <c r="F12" s="36" t="s">
        <v>127</v>
      </c>
      <c r="H12" s="51" t="s">
        <v>148</v>
      </c>
      <c r="I12" s="52"/>
    </row>
    <row r="13" spans="1:22" x14ac:dyDescent="0.3">
      <c r="A13" s="35"/>
      <c r="B13" s="37" t="s">
        <v>163</v>
      </c>
      <c r="C13" s="37" t="s">
        <v>162</v>
      </c>
      <c r="D13" s="37" t="s">
        <v>164</v>
      </c>
      <c r="E13" s="37" t="s">
        <v>165</v>
      </c>
      <c r="F13" s="37" t="s">
        <v>166</v>
      </c>
      <c r="H13" s="3"/>
      <c r="I13" s="3"/>
    </row>
    <row r="14" spans="1:22" ht="28.8" x14ac:dyDescent="0.3">
      <c r="A14" s="35"/>
      <c r="B14" s="38"/>
      <c r="C14" s="38"/>
      <c r="D14" s="38"/>
      <c r="E14" s="38"/>
      <c r="F14" s="38"/>
      <c r="H14" s="3" t="s">
        <v>123</v>
      </c>
      <c r="I14" s="53" t="s">
        <v>186</v>
      </c>
    </row>
    <row r="15" spans="1:22" x14ac:dyDescent="0.3">
      <c r="A15" s="36" t="s">
        <v>184</v>
      </c>
      <c r="B15" s="39">
        <f>$R$9</f>
        <v>799728</v>
      </c>
      <c r="C15" s="39">
        <f t="shared" ref="C15:F15" si="6">$R$9</f>
        <v>799728</v>
      </c>
      <c r="D15" s="39">
        <f t="shared" si="6"/>
        <v>799728</v>
      </c>
      <c r="E15" s="39">
        <f t="shared" si="6"/>
        <v>799728</v>
      </c>
      <c r="F15" s="39">
        <f t="shared" si="6"/>
        <v>799728</v>
      </c>
      <c r="H15" s="3" t="s">
        <v>124</v>
      </c>
      <c r="I15" s="3" t="s">
        <v>168</v>
      </c>
    </row>
    <row r="16" spans="1:22" x14ac:dyDescent="0.3">
      <c r="A16" s="36" t="s">
        <v>133</v>
      </c>
      <c r="B16" s="38">
        <f>$S$9</f>
        <v>90635.840000000011</v>
      </c>
      <c r="C16" s="38">
        <f t="shared" ref="C16:F16" si="7">$S$9</f>
        <v>90635.840000000011</v>
      </c>
      <c r="D16" s="38">
        <f t="shared" si="7"/>
        <v>90635.840000000011</v>
      </c>
      <c r="E16" s="38">
        <f t="shared" si="7"/>
        <v>90635.840000000011</v>
      </c>
      <c r="F16" s="38">
        <f t="shared" si="7"/>
        <v>90635.840000000011</v>
      </c>
      <c r="H16" s="3" t="s">
        <v>125</v>
      </c>
      <c r="I16" s="3" t="s">
        <v>169</v>
      </c>
    </row>
    <row r="17" spans="1:9" ht="43.2" x14ac:dyDescent="0.3">
      <c r="A17" s="40" t="s">
        <v>134</v>
      </c>
      <c r="B17" s="41">
        <f>B15</f>
        <v>799728</v>
      </c>
      <c r="C17" s="41">
        <f>C15</f>
        <v>799728</v>
      </c>
      <c r="D17" s="41">
        <f>D15</f>
        <v>799728</v>
      </c>
      <c r="E17" s="41">
        <f>E15</f>
        <v>799728</v>
      </c>
      <c r="F17" s="41">
        <f>I25-4*F15</f>
        <v>569544</v>
      </c>
      <c r="H17" s="3" t="s">
        <v>126</v>
      </c>
      <c r="I17" s="3" t="s">
        <v>170</v>
      </c>
    </row>
    <row r="18" spans="1:9" x14ac:dyDescent="0.3">
      <c r="A18" s="36"/>
      <c r="B18" s="38"/>
      <c r="C18" s="38"/>
      <c r="D18" s="38"/>
      <c r="E18" s="38"/>
      <c r="F18" s="38"/>
      <c r="H18" s="3" t="s">
        <v>127</v>
      </c>
      <c r="I18" s="3" t="s">
        <v>171</v>
      </c>
    </row>
    <row r="19" spans="1:9" x14ac:dyDescent="0.3">
      <c r="A19" s="36" t="s">
        <v>158</v>
      </c>
      <c r="B19" s="39">
        <f>P2</f>
        <v>9271260</v>
      </c>
      <c r="C19" s="39">
        <f>P3+P2</f>
        <v>18184832.5</v>
      </c>
      <c r="D19" s="39">
        <f>P4+P3+P2</f>
        <v>25767807.5</v>
      </c>
      <c r="E19" s="39">
        <f>P9-P6-P7-P8</f>
        <v>32549562.5</v>
      </c>
      <c r="F19" s="39">
        <f>P9-P7-P8</f>
        <v>38578743</v>
      </c>
      <c r="H19" s="3"/>
      <c r="I19" s="3"/>
    </row>
    <row r="20" spans="1:9" x14ac:dyDescent="0.3">
      <c r="A20" s="36" t="s">
        <v>183</v>
      </c>
      <c r="B20" s="38">
        <f>T2</f>
        <v>4085640</v>
      </c>
      <c r="C20" s="42">
        <f>T3+T2</f>
        <v>8013655</v>
      </c>
      <c r="D20" s="38">
        <f>T4+T3+T2</f>
        <v>11355305</v>
      </c>
      <c r="E20" s="38">
        <f>T9-T8-T7-T6</f>
        <v>14343875</v>
      </c>
      <c r="F20" s="38">
        <f>T9-T7-T8</f>
        <v>17000802</v>
      </c>
      <c r="H20" s="3"/>
      <c r="I20" s="3"/>
    </row>
    <row r="21" spans="1:9" x14ac:dyDescent="0.3">
      <c r="A21" s="36"/>
      <c r="B21" s="38"/>
      <c r="C21" s="38"/>
      <c r="D21" s="38"/>
      <c r="E21" s="38"/>
      <c r="F21" s="38"/>
      <c r="H21" s="3"/>
      <c r="I21" s="3"/>
    </row>
    <row r="22" spans="1:9" x14ac:dyDescent="0.3">
      <c r="A22" s="36" t="s">
        <v>136</v>
      </c>
      <c r="B22" s="39">
        <f>F9-F2</f>
        <v>24740700</v>
      </c>
      <c r="C22" s="39">
        <f>F9-F2-F3</f>
        <v>19133700</v>
      </c>
      <c r="D22" s="39">
        <f>F9-F2-F3-F4</f>
        <v>14098700</v>
      </c>
      <c r="E22" s="39">
        <f>F6+F7+F8</f>
        <v>9832700</v>
      </c>
      <c r="F22" s="43">
        <f>F7+F8</f>
        <v>6040100</v>
      </c>
      <c r="H22" s="3"/>
      <c r="I22" s="3"/>
    </row>
    <row r="23" spans="1:9" x14ac:dyDescent="0.3">
      <c r="A23" s="36" t="s">
        <v>137</v>
      </c>
      <c r="B23" s="38">
        <f>L9-L2</f>
        <v>38338000</v>
      </c>
      <c r="C23" s="38">
        <f>L9-L2-L3</f>
        <v>29304500</v>
      </c>
      <c r="D23" s="38">
        <f>L9-L2-L3-L4</f>
        <v>21884500</v>
      </c>
      <c r="E23" s="38">
        <f>L6+L7+L8</f>
        <v>15011500</v>
      </c>
      <c r="F23" s="38">
        <f>L7+L8</f>
        <v>8901200</v>
      </c>
      <c r="H23" s="3"/>
      <c r="I23" s="3"/>
    </row>
    <row r="24" spans="1:9" x14ac:dyDescent="0.3">
      <c r="A24" s="36"/>
      <c r="B24" s="38"/>
      <c r="C24" s="38"/>
      <c r="D24" s="38"/>
      <c r="E24" s="38"/>
      <c r="F24" s="38"/>
      <c r="H24" s="53"/>
      <c r="I24" s="3"/>
    </row>
    <row r="25" spans="1:9" ht="28.8" x14ac:dyDescent="0.3">
      <c r="A25" s="36" t="s">
        <v>138</v>
      </c>
      <c r="B25" s="39">
        <f>B19+B22</f>
        <v>34011960</v>
      </c>
      <c r="C25" s="39">
        <f>C19+C22</f>
        <v>37318532.5</v>
      </c>
      <c r="D25" s="39">
        <f>D19+D22</f>
        <v>39866507.5</v>
      </c>
      <c r="E25" s="39">
        <f>E19+E22</f>
        <v>42382262.5</v>
      </c>
      <c r="F25" s="39">
        <f>F19+F22+F15-F17</f>
        <v>44849027</v>
      </c>
      <c r="H25" s="54" t="s">
        <v>152</v>
      </c>
      <c r="I25" s="55">
        <f>I9-J9</f>
        <v>3768456</v>
      </c>
    </row>
    <row r="26" spans="1:9" x14ac:dyDescent="0.3">
      <c r="A26" s="36" t="s">
        <v>139</v>
      </c>
      <c r="B26" s="38">
        <f>B16+B20+B23</f>
        <v>42514275.840000004</v>
      </c>
      <c r="C26" s="38">
        <f>C16+C20+C23</f>
        <v>37408790.840000004</v>
      </c>
      <c r="D26" s="38">
        <f>D16+D20+D23</f>
        <v>33330440.84</v>
      </c>
      <c r="E26" s="38">
        <f>E16+E20+E23</f>
        <v>29446010.84</v>
      </c>
      <c r="F26" s="38">
        <f>F16+F20+F23</f>
        <v>25992637.84</v>
      </c>
    </row>
    <row r="27" spans="1:9" x14ac:dyDescent="0.3">
      <c r="A27" s="36"/>
      <c r="B27" s="38"/>
      <c r="C27" s="38"/>
      <c r="D27" s="38"/>
      <c r="E27" s="38"/>
      <c r="F27" s="38"/>
    </row>
    <row r="28" spans="1:9" x14ac:dyDescent="0.3">
      <c r="A28" s="56" t="s">
        <v>140</v>
      </c>
      <c r="B28" s="64">
        <f>$M$9-B26</f>
        <v>5071894.3299999982</v>
      </c>
      <c r="C28" s="64">
        <f>$M$9-C26</f>
        <v>10177379.329999998</v>
      </c>
      <c r="D28" s="64">
        <f>$M$9-D26</f>
        <v>14255729.330000002</v>
      </c>
      <c r="E28" s="64">
        <f>$M$9-E26</f>
        <v>18140159.330000002</v>
      </c>
      <c r="F28" s="64">
        <f t="shared" ref="F28" si="8">$M$9-F26</f>
        <v>21593532.330000002</v>
      </c>
    </row>
    <row r="29" spans="1:9" x14ac:dyDescent="0.3">
      <c r="A29" s="56" t="s">
        <v>141</v>
      </c>
      <c r="B29" s="57">
        <f>B28/$M$9</f>
        <v>0.10658336890489034</v>
      </c>
      <c r="C29" s="57">
        <f>C28/$M$9</f>
        <v>0.2138726292458849</v>
      </c>
      <c r="D29" s="57">
        <f>D28/$M$9</f>
        <v>0.29957715191350526</v>
      </c>
      <c r="E29" s="57">
        <f>E28/$M$9</f>
        <v>0.38120654100119611</v>
      </c>
      <c r="F29" s="57">
        <f>F28/$M$9</f>
        <v>0.45377747889476772</v>
      </c>
    </row>
    <row r="30" spans="1:9" ht="43.2" customHeight="1" x14ac:dyDescent="0.3">
      <c r="A30" s="65" t="s">
        <v>153</v>
      </c>
      <c r="B30" s="66">
        <f>B25+B$17</f>
        <v>34811688</v>
      </c>
      <c r="C30" s="66">
        <f>C25+C$17</f>
        <v>38118260.5</v>
      </c>
      <c r="D30" s="66">
        <f>D25+D$17</f>
        <v>40666235.5</v>
      </c>
      <c r="E30" s="66">
        <f>E25+E$17</f>
        <v>43181990.5</v>
      </c>
      <c r="F30" s="66">
        <f>F25+F$17</f>
        <v>45418571</v>
      </c>
    </row>
    <row r="31" spans="1:9" ht="32.4" customHeight="1" x14ac:dyDescent="0.3">
      <c r="A31" s="65" t="s">
        <v>144</v>
      </c>
      <c r="B31" s="66">
        <f>B30-$N$9</f>
        <v>-1132612</v>
      </c>
      <c r="C31" s="66">
        <f t="shared" ref="C31:F31" si="9">C30-$N$9</f>
        <v>2173960.5</v>
      </c>
      <c r="D31" s="66">
        <f t="shared" si="9"/>
        <v>4721935.5</v>
      </c>
      <c r="E31" s="66">
        <f t="shared" si="9"/>
        <v>7237690.5</v>
      </c>
      <c r="F31" s="66">
        <f t="shared" si="9"/>
        <v>9474271</v>
      </c>
    </row>
    <row r="32" spans="1:9" ht="28.8" x14ac:dyDescent="0.3">
      <c r="A32" s="65" t="s">
        <v>145</v>
      </c>
      <c r="B32" s="67">
        <f>B31/$N$9</f>
        <v>-3.1510197722587445E-2</v>
      </c>
      <c r="C32" s="67">
        <f t="shared" ref="C32:F32" si="10">C31/$N$9</f>
        <v>6.0481369786030054E-2</v>
      </c>
      <c r="D32" s="67">
        <f t="shared" si="10"/>
        <v>0.13136813069109707</v>
      </c>
      <c r="E32" s="67">
        <f t="shared" si="10"/>
        <v>0.20135850468641758</v>
      </c>
      <c r="F32" s="67">
        <f t="shared" si="10"/>
        <v>0.26358201439449369</v>
      </c>
    </row>
    <row r="33" spans="1:6" ht="28.8" x14ac:dyDescent="0.3">
      <c r="A33" s="58" t="s">
        <v>144</v>
      </c>
      <c r="B33" s="59">
        <f>B25-$N$9</f>
        <v>-1932340</v>
      </c>
      <c r="C33" s="59">
        <f>C25-$N$9</f>
        <v>1374232.5</v>
      </c>
      <c r="D33" s="59">
        <f>D25-$N$9</f>
        <v>3922207.5</v>
      </c>
      <c r="E33" s="59">
        <f>E25-$N$9</f>
        <v>6437962.5</v>
      </c>
      <c r="F33" s="59">
        <f>F25-$N$9</f>
        <v>8904727</v>
      </c>
    </row>
    <row r="34" spans="1:6" ht="28.8" x14ac:dyDescent="0.3">
      <c r="A34" s="58" t="s">
        <v>145</v>
      </c>
      <c r="B34" s="60">
        <f>B33/$N$9</f>
        <v>-5.3759288677203337E-2</v>
      </c>
      <c r="C34" s="60">
        <f t="shared" ref="C34:E34" si="11">C33/$N$9</f>
        <v>3.8232278831414161E-2</v>
      </c>
      <c r="D34" s="60">
        <f t="shared" si="11"/>
        <v>0.10911903973648117</v>
      </c>
      <c r="E34" s="60">
        <f t="shared" si="11"/>
        <v>0.1791094137318017</v>
      </c>
      <c r="F34" s="60">
        <f>F33/$N$9</f>
        <v>0.24773683170906097</v>
      </c>
    </row>
    <row r="35" spans="1:6" ht="28.8" x14ac:dyDescent="0.3">
      <c r="A35" s="61" t="s">
        <v>142</v>
      </c>
      <c r="B35" s="62">
        <f>B25-N9</f>
        <v>-1932340</v>
      </c>
      <c r="C35" s="62">
        <f>C25-B25</f>
        <v>3306572.5</v>
      </c>
      <c r="D35" s="62">
        <f>D25-C25</f>
        <v>2547975</v>
      </c>
      <c r="E35" s="62">
        <f>E25-D25</f>
        <v>2515755</v>
      </c>
      <c r="F35" s="62">
        <f>F25-E25</f>
        <v>2466764.5</v>
      </c>
    </row>
    <row r="36" spans="1:6" ht="28.8" x14ac:dyDescent="0.3">
      <c r="A36" s="61" t="s">
        <v>143</v>
      </c>
      <c r="B36" s="63">
        <f>B35/N9</f>
        <v>-5.3759288677203337E-2</v>
      </c>
      <c r="C36" s="63">
        <f>C35/B25</f>
        <v>9.7217934514800083E-2</v>
      </c>
      <c r="D36" s="63">
        <f>D35/C25</f>
        <v>6.8276398596327448E-2</v>
      </c>
      <c r="E36" s="63">
        <f>E35/D25</f>
        <v>6.3104474351057718E-2</v>
      </c>
      <c r="F36" s="63">
        <f>F35/E25</f>
        <v>5.8202756400746659E-2</v>
      </c>
    </row>
  </sheetData>
  <autoFilter ref="A1:V1" xr:uid="{85E42F50-C462-4B81-83E5-4C8B5BA2C0F1}">
    <sortState xmlns:xlrd2="http://schemas.microsoft.com/office/spreadsheetml/2017/richdata2" ref="A2:V9">
      <sortCondition descending="1" ref="D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2906-8822-4DAC-B37A-0BEED01F2A2C}">
  <dimension ref="A2:M26"/>
  <sheetViews>
    <sheetView workbookViewId="0">
      <selection activeCell="J22" sqref="J22"/>
    </sheetView>
  </sheetViews>
  <sheetFormatPr defaultRowHeight="14.4" x14ac:dyDescent="0.3"/>
  <cols>
    <col min="1" max="1" width="14.5546875" bestFit="1" customWidth="1"/>
    <col min="2" max="2" width="16.77734375" bestFit="1" customWidth="1"/>
    <col min="3" max="3" width="18.5546875" bestFit="1" customWidth="1"/>
    <col min="4" max="4" width="27.21875" bestFit="1" customWidth="1"/>
    <col min="5" max="5" width="19.6640625" bestFit="1" customWidth="1"/>
    <col min="6" max="6" width="18.21875" style="24" bestFit="1" customWidth="1"/>
    <col min="7" max="7" width="23.5546875" bestFit="1" customWidth="1"/>
    <col min="8" max="8" width="17.77734375" bestFit="1" customWidth="1"/>
    <col min="9" max="9" width="10" bestFit="1" customWidth="1"/>
    <col min="10" max="10" width="18.88671875" bestFit="1" customWidth="1"/>
    <col min="11" max="11" width="17.77734375" bestFit="1" customWidth="1"/>
    <col min="12" max="12" width="9.33203125" bestFit="1" customWidth="1"/>
    <col min="13" max="13" width="23.33203125" bestFit="1" customWidth="1"/>
  </cols>
  <sheetData>
    <row r="2" spans="1:12" ht="28.8" x14ac:dyDescent="0.3">
      <c r="A2" t="s">
        <v>77</v>
      </c>
      <c r="B2" t="s">
        <v>79</v>
      </c>
      <c r="C2" t="s">
        <v>81</v>
      </c>
      <c r="D2" t="s">
        <v>84</v>
      </c>
      <c r="E2" t="s">
        <v>85</v>
      </c>
      <c r="F2" s="33" t="s">
        <v>90</v>
      </c>
      <c r="G2" s="26" t="s">
        <v>172</v>
      </c>
      <c r="H2" s="27" t="s">
        <v>173</v>
      </c>
      <c r="I2" s="27" t="s">
        <v>174</v>
      </c>
      <c r="J2" s="26" t="s">
        <v>156</v>
      </c>
      <c r="K2" s="27" t="s">
        <v>157</v>
      </c>
      <c r="L2" s="27" t="s">
        <v>158</v>
      </c>
    </row>
    <row r="3" spans="1:12" x14ac:dyDescent="0.3">
      <c r="A3" s="20" t="s">
        <v>14</v>
      </c>
      <c r="B3">
        <v>284500</v>
      </c>
      <c r="C3">
        <v>569000</v>
      </c>
      <c r="D3">
        <v>7527250</v>
      </c>
      <c r="E3">
        <v>5815000</v>
      </c>
    </row>
    <row r="4" spans="1:12" x14ac:dyDescent="0.3">
      <c r="A4" s="23" t="s">
        <v>19</v>
      </c>
      <c r="B4">
        <v>265000</v>
      </c>
      <c r="C4">
        <v>530000</v>
      </c>
      <c r="D4">
        <v>7420000</v>
      </c>
      <c r="E4">
        <v>5035000</v>
      </c>
      <c r="J4">
        <f>GETPIVOTDATA("Sum of Volume (L)",$A$2,"Country","England","Product Name","Diesel C3X")*0.97</f>
        <v>257050</v>
      </c>
      <c r="K4">
        <f>J4*'Product Mapping'!$H$10</f>
        <v>3341650</v>
      </c>
      <c r="L4">
        <f>J4*'Product Mapping'!$F$10</f>
        <v>7582975</v>
      </c>
    </row>
    <row r="5" spans="1:12" x14ac:dyDescent="0.3">
      <c r="A5" s="23" t="s">
        <v>17</v>
      </c>
      <c r="B5">
        <v>19500</v>
      </c>
      <c r="C5">
        <v>39000</v>
      </c>
      <c r="D5">
        <v>107250</v>
      </c>
      <c r="E5">
        <v>780000</v>
      </c>
      <c r="F5" s="24">
        <f>GETPIVOTDATA("Sum of Km Travelled",$A$2,"Country","England","Product Name","Diesel C3X")/3000*30</f>
        <v>5300</v>
      </c>
      <c r="G5">
        <f>GETPIVOTDATA("Sum of Km Travelled",$A$2,"Country","England","Product Name","Diesel C3X")/7500*30</f>
        <v>2120</v>
      </c>
      <c r="H5">
        <f>G5*'Product Mapping'!$H$5</f>
        <v>14416</v>
      </c>
      <c r="I5">
        <f>G5*'Product Mapping'!$F$5</f>
        <v>127200</v>
      </c>
    </row>
    <row r="6" spans="1:12" x14ac:dyDescent="0.3">
      <c r="A6" s="20" t="s">
        <v>25</v>
      </c>
      <c r="B6">
        <v>349000</v>
      </c>
      <c r="C6">
        <v>698000</v>
      </c>
      <c r="D6">
        <v>9217000</v>
      </c>
      <c r="E6">
        <v>7206000</v>
      </c>
      <c r="H6">
        <f>G6*'Product Mapping'!$H$5</f>
        <v>0</v>
      </c>
      <c r="I6">
        <f>G6*'Product Mapping'!$F$5</f>
        <v>0</v>
      </c>
    </row>
    <row r="7" spans="1:12" x14ac:dyDescent="0.3">
      <c r="A7" s="23" t="s">
        <v>19</v>
      </c>
      <c r="B7">
        <v>324000</v>
      </c>
      <c r="C7">
        <v>648000</v>
      </c>
      <c r="D7">
        <v>9072000</v>
      </c>
      <c r="E7">
        <v>6156000</v>
      </c>
      <c r="H7">
        <f>G7*'Product Mapping'!$H$5</f>
        <v>0</v>
      </c>
      <c r="I7">
        <f>G7*'Product Mapping'!$F$5</f>
        <v>0</v>
      </c>
      <c r="J7">
        <f>GETPIVOTDATA("Sum of Volume (L)",$A$2,"Country","France","Product Name","Diesel C3X")*0.97</f>
        <v>314280</v>
      </c>
      <c r="K7">
        <f>J7*'Product Mapping'!$H$10</f>
        <v>4085640</v>
      </c>
      <c r="L7">
        <f>J7*'Product Mapping'!$F$10</f>
        <v>9271260</v>
      </c>
    </row>
    <row r="8" spans="1:12" x14ac:dyDescent="0.3">
      <c r="A8" s="23" t="s">
        <v>22</v>
      </c>
      <c r="B8">
        <v>25000</v>
      </c>
      <c r="C8">
        <v>50000</v>
      </c>
      <c r="D8">
        <v>145000</v>
      </c>
      <c r="E8">
        <v>1050000</v>
      </c>
      <c r="F8" s="24">
        <f>GETPIVOTDATA("Sum of Km Travelled",$A$2,"Country","France","Product Name","Diesel C3X")/3500*30</f>
        <v>5554.2857142857138</v>
      </c>
      <c r="G8">
        <f>GETPIVOTDATA("Sum of Km Travelled",$A$2,"Country","France","Product Name","Diesel C3X")/7500*30</f>
        <v>2592</v>
      </c>
      <c r="H8">
        <f>G8*'Product Mapping'!$H$5</f>
        <v>17625.599999999999</v>
      </c>
      <c r="I8">
        <f>G8*'Product Mapping'!$F$5</f>
        <v>155520</v>
      </c>
    </row>
    <row r="9" spans="1:12" x14ac:dyDescent="0.3">
      <c r="A9" s="20" t="s">
        <v>33</v>
      </c>
      <c r="B9">
        <v>337000</v>
      </c>
      <c r="C9">
        <v>674000</v>
      </c>
      <c r="D9">
        <v>9173750</v>
      </c>
      <c r="E9">
        <v>6627000</v>
      </c>
      <c r="H9">
        <f>G9*'Product Mapping'!$H$5</f>
        <v>0</v>
      </c>
      <c r="I9">
        <f>G9*'Product Mapping'!$F$5</f>
        <v>0</v>
      </c>
    </row>
    <row r="10" spans="1:12" x14ac:dyDescent="0.3">
      <c r="A10" s="23" t="s">
        <v>23</v>
      </c>
      <c r="B10">
        <v>311500</v>
      </c>
      <c r="C10">
        <v>623000</v>
      </c>
      <c r="D10">
        <v>9033500</v>
      </c>
      <c r="E10">
        <v>5607000</v>
      </c>
      <c r="H10">
        <f>G10*'Product Mapping'!$H$5</f>
        <v>0</v>
      </c>
      <c r="I10">
        <f>G10*'Product Mapping'!$F$5</f>
        <v>0</v>
      </c>
      <c r="J10">
        <f>GETPIVOTDATA("Sum of Volume (L)",$A$2,"Country","Germany","Product Name","Diesel C2")*0.97</f>
        <v>302155</v>
      </c>
      <c r="K10">
        <f>J10*'Product Mapping'!$H$10</f>
        <v>3928015</v>
      </c>
      <c r="L10">
        <f>J10*'Product Mapping'!$F$10</f>
        <v>8913572.5</v>
      </c>
    </row>
    <row r="11" spans="1:12" x14ac:dyDescent="0.3">
      <c r="A11" s="23" t="s">
        <v>17</v>
      </c>
      <c r="B11">
        <v>25500</v>
      </c>
      <c r="C11">
        <v>51000</v>
      </c>
      <c r="D11">
        <v>140250</v>
      </c>
      <c r="E11">
        <v>1020000</v>
      </c>
      <c r="F11" s="24">
        <f>GETPIVOTDATA("Sum of Km Travelled",$A$2,"Country","Germany","Product Name","Diesel C2")/3000*30</f>
        <v>6230</v>
      </c>
      <c r="G11">
        <f>GETPIVOTDATA("Sum of Km Travelled",$A$2,"Country","Germany","Product Name","Diesel C2")/7500*30</f>
        <v>2492</v>
      </c>
      <c r="H11">
        <f>G11*'Product Mapping'!$H$5</f>
        <v>16945.599999999999</v>
      </c>
      <c r="I11">
        <f>G11*'Product Mapping'!$F$5</f>
        <v>149520</v>
      </c>
    </row>
    <row r="12" spans="1:12" x14ac:dyDescent="0.3">
      <c r="A12" s="20" t="s">
        <v>27</v>
      </c>
      <c r="B12">
        <v>250200</v>
      </c>
      <c r="C12">
        <v>500400</v>
      </c>
      <c r="D12">
        <v>6945600</v>
      </c>
      <c r="E12">
        <v>4794000</v>
      </c>
      <c r="H12">
        <f>G12*'Product Mapping'!$H$5</f>
        <v>0</v>
      </c>
      <c r="I12">
        <f>G12*'Product Mapping'!$F$5</f>
        <v>0</v>
      </c>
    </row>
    <row r="13" spans="1:12" x14ac:dyDescent="0.3">
      <c r="A13" s="23" t="s">
        <v>23</v>
      </c>
      <c r="B13">
        <v>237000</v>
      </c>
      <c r="C13">
        <v>474000</v>
      </c>
      <c r="D13">
        <v>6873000</v>
      </c>
      <c r="E13">
        <v>4266000</v>
      </c>
      <c r="H13">
        <f>G13*'Product Mapping'!$H$5</f>
        <v>0</v>
      </c>
      <c r="I13">
        <f>G13*'Product Mapping'!$F$5</f>
        <v>0</v>
      </c>
      <c r="J13">
        <f>GETPIVOTDATA("Sum of Volume (L)",$A$2,"Country","Ireland","Product Name","Diesel C2")*0.97</f>
        <v>229890</v>
      </c>
      <c r="K13">
        <f>J13*'Product Mapping'!$H$10</f>
        <v>2988570</v>
      </c>
      <c r="L13">
        <f>J13*'Product Mapping'!$F$10</f>
        <v>6781755</v>
      </c>
    </row>
    <row r="14" spans="1:12" x14ac:dyDescent="0.3">
      <c r="A14" s="23" t="s">
        <v>17</v>
      </c>
      <c r="B14">
        <v>13200</v>
      </c>
      <c r="C14">
        <v>26400</v>
      </c>
      <c r="D14">
        <v>72600</v>
      </c>
      <c r="E14">
        <v>528000</v>
      </c>
      <c r="F14" s="24">
        <f>GETPIVOTDATA("Sum of Km Travelled",$A$2,"Country","Ireland","Product Name","Diesel C2")/3000*30</f>
        <v>4740</v>
      </c>
      <c r="G14">
        <f>GETPIVOTDATA("Sum of Km Travelled",$A$2,"Country","Ireland","Product Name","Diesel C2")/7500*30</f>
        <v>1896</v>
      </c>
      <c r="H14">
        <f>G14*'Product Mapping'!$H$5</f>
        <v>12892.8</v>
      </c>
      <c r="I14">
        <f>G14*'Product Mapping'!$F$5</f>
        <v>113760</v>
      </c>
    </row>
    <row r="15" spans="1:12" x14ac:dyDescent="0.3">
      <c r="A15" s="20" t="s">
        <v>29</v>
      </c>
      <c r="B15">
        <v>145300</v>
      </c>
      <c r="C15">
        <v>290600</v>
      </c>
      <c r="D15">
        <v>3884140</v>
      </c>
      <c r="E15">
        <v>2951600</v>
      </c>
      <c r="H15">
        <f>G15*'Product Mapping'!$H$5</f>
        <v>0</v>
      </c>
      <c r="I15">
        <f>G15*'Product Mapping'!$F$5</f>
        <v>0</v>
      </c>
    </row>
    <row r="16" spans="1:12" x14ac:dyDescent="0.3">
      <c r="A16" s="23" t="s">
        <v>19</v>
      </c>
      <c r="B16">
        <v>137000</v>
      </c>
      <c r="C16">
        <v>274000</v>
      </c>
      <c r="D16">
        <v>3836000</v>
      </c>
      <c r="E16">
        <v>2603000</v>
      </c>
      <c r="H16">
        <f>G16*'Product Mapping'!$H$5</f>
        <v>0</v>
      </c>
      <c r="I16">
        <f>G16*'Product Mapping'!$F$5</f>
        <v>0</v>
      </c>
      <c r="J16">
        <f>GETPIVOTDATA("Sum of Volume (L)",$A$2,"Country","Norway","Product Name","Diesel C3X")*0.97</f>
        <v>132890</v>
      </c>
      <c r="K16">
        <f>J16*'Product Mapping'!$H$10</f>
        <v>1727570</v>
      </c>
      <c r="L16">
        <f>J16*'Product Mapping'!$F$10</f>
        <v>3920255</v>
      </c>
    </row>
    <row r="17" spans="1:13" x14ac:dyDescent="0.3">
      <c r="A17" s="23" t="s">
        <v>22</v>
      </c>
      <c r="B17">
        <v>8300</v>
      </c>
      <c r="C17">
        <v>16600</v>
      </c>
      <c r="D17">
        <v>48140</v>
      </c>
      <c r="E17">
        <v>348600</v>
      </c>
      <c r="F17" s="24">
        <f>GETPIVOTDATA("Sum of Km Travelled",$A$2,"Country","Norway","Product Name","Diesel C3X")/3500*30</f>
        <v>2348.5714285714289</v>
      </c>
      <c r="G17">
        <f>GETPIVOTDATA("Sum of Km Travelled",$A$2,"Country","Norway","Product Name","Diesel C3X")/7500*30</f>
        <v>1096</v>
      </c>
      <c r="H17">
        <f>G17*'Product Mapping'!$H$5</f>
        <v>7452.8</v>
      </c>
      <c r="I17">
        <f>G17*'Product Mapping'!$F$5</f>
        <v>65760</v>
      </c>
    </row>
    <row r="18" spans="1:13" x14ac:dyDescent="0.3">
      <c r="A18" s="20" t="s">
        <v>21</v>
      </c>
      <c r="B18">
        <v>225200</v>
      </c>
      <c r="C18">
        <v>450400</v>
      </c>
      <c r="D18">
        <v>6194400</v>
      </c>
      <c r="E18">
        <v>4401600</v>
      </c>
      <c r="H18">
        <f>G18*'Product Mapping'!$H$5</f>
        <v>0</v>
      </c>
      <c r="I18">
        <f>G18*'Product Mapping'!$F$5</f>
        <v>0</v>
      </c>
    </row>
    <row r="19" spans="1:13" x14ac:dyDescent="0.3">
      <c r="A19" s="23" t="s">
        <v>23</v>
      </c>
      <c r="B19">
        <v>210700</v>
      </c>
      <c r="C19">
        <v>421400</v>
      </c>
      <c r="D19">
        <v>6110300</v>
      </c>
      <c r="E19">
        <v>3792600</v>
      </c>
      <c r="H19">
        <f>G19*'Product Mapping'!$H$5</f>
        <v>0</v>
      </c>
      <c r="I19">
        <f>G19*'Product Mapping'!$F$5</f>
        <v>0</v>
      </c>
      <c r="J19">
        <f>GETPIVOTDATA("Sum of Volume (L)",$A$2,"Country","Scotland","Product Name","Diesel C2")*0.97</f>
        <v>204379</v>
      </c>
      <c r="K19">
        <f>J19*'Product Mapping'!$H$10</f>
        <v>2656927</v>
      </c>
      <c r="L19">
        <f>J19*'Product Mapping'!$F$10</f>
        <v>6029180.5</v>
      </c>
    </row>
    <row r="20" spans="1:13" x14ac:dyDescent="0.3">
      <c r="A20" s="23" t="s">
        <v>22</v>
      </c>
      <c r="B20">
        <v>14500</v>
      </c>
      <c r="C20">
        <v>29000</v>
      </c>
      <c r="D20">
        <v>84100</v>
      </c>
      <c r="E20">
        <v>609000</v>
      </c>
      <c r="F20" s="24">
        <f>GETPIVOTDATA("Sum of Km Travelled",$A$2,"Country","Scotland","Product Name","Diesel C2")/3500*30</f>
        <v>3612</v>
      </c>
      <c r="G20">
        <f>GETPIVOTDATA("Sum of Km Travelled",$A$2,"Country","Scotland","Product Name","Diesel C2")/7500*30</f>
        <v>1685.6</v>
      </c>
      <c r="H20">
        <f>G20*'Product Mapping'!$H$5</f>
        <v>11462.08</v>
      </c>
      <c r="I20">
        <f>G20*'Product Mapping'!$F$5</f>
        <v>101136</v>
      </c>
    </row>
    <row r="21" spans="1:13" x14ac:dyDescent="0.3">
      <c r="A21" s="20" t="s">
        <v>31</v>
      </c>
      <c r="B21">
        <v>198700</v>
      </c>
      <c r="C21">
        <v>397400</v>
      </c>
      <c r="D21">
        <v>5163100</v>
      </c>
      <c r="E21">
        <v>4149100</v>
      </c>
      <c r="H21">
        <f>G21*'Product Mapping'!$H$5</f>
        <v>0</v>
      </c>
      <c r="I21">
        <f>G21*'Product Mapping'!$F$5</f>
        <v>0</v>
      </c>
    </row>
    <row r="22" spans="1:13" x14ac:dyDescent="0.3">
      <c r="A22" s="23" t="s">
        <v>19</v>
      </c>
      <c r="B22">
        <v>180900</v>
      </c>
      <c r="C22">
        <v>361800</v>
      </c>
      <c r="D22">
        <v>5065200</v>
      </c>
      <c r="E22">
        <v>3437100</v>
      </c>
      <c r="H22">
        <f>G22*'Product Mapping'!$H$5</f>
        <v>0</v>
      </c>
      <c r="I22">
        <f>G22*'Product Mapping'!$F$5</f>
        <v>0</v>
      </c>
      <c r="J22">
        <f>GETPIVOTDATA("Sum of Volume (L)",$A$2,"Country","Wales","Product Name","Diesel C3X")*0.97</f>
        <v>175473</v>
      </c>
      <c r="K22">
        <f>J22*'Product Mapping'!$H$10</f>
        <v>2281149</v>
      </c>
      <c r="L22">
        <f>J22*'Product Mapping'!$F$10</f>
        <v>5176453.5</v>
      </c>
    </row>
    <row r="23" spans="1:13" x14ac:dyDescent="0.3">
      <c r="A23" s="23" t="s">
        <v>17</v>
      </c>
      <c r="B23">
        <v>17800</v>
      </c>
      <c r="C23">
        <v>35600</v>
      </c>
      <c r="D23">
        <v>97900</v>
      </c>
      <c r="E23">
        <v>712000</v>
      </c>
      <c r="F23" s="24">
        <f>GETPIVOTDATA("Sum of Km Travelled",$A$2,"Country","Wales","Product Name","Diesel C3X")/3000*30</f>
        <v>3618</v>
      </c>
      <c r="G23">
        <f>GETPIVOTDATA("Sum of Km Travelled",$A$2,"Country","Wales","Product Name","Diesel C3X")/7500*30</f>
        <v>1447.2</v>
      </c>
      <c r="H23">
        <f>G23*'Product Mapping'!$H$5</f>
        <v>9840.9600000000009</v>
      </c>
      <c r="I23">
        <f>G23*'Product Mapping'!$F$5</f>
        <v>86832</v>
      </c>
    </row>
    <row r="24" spans="1:13" x14ac:dyDescent="0.3">
      <c r="A24" s="20" t="s">
        <v>78</v>
      </c>
      <c r="B24">
        <v>1789900</v>
      </c>
      <c r="C24">
        <v>3579800</v>
      </c>
      <c r="D24">
        <v>48105240</v>
      </c>
      <c r="E24">
        <v>35944300</v>
      </c>
      <c r="F24" s="34">
        <f>SUM(F5:F23)</f>
        <v>31402.857142857141</v>
      </c>
      <c r="G24" s="25">
        <f>SUM(G5:G23)</f>
        <v>13328.800000000001</v>
      </c>
      <c r="H24" s="34">
        <f>SUM(H4:H23)</f>
        <v>90635.840000000011</v>
      </c>
      <c r="I24" s="25">
        <f>SUM(I5:I23)</f>
        <v>799728</v>
      </c>
      <c r="J24" s="25">
        <f>SUM(J4:J22)</f>
        <v>1616117</v>
      </c>
      <c r="K24" s="25">
        <f>SUM(K4:K23)</f>
        <v>21009521</v>
      </c>
      <c r="L24" s="25">
        <f>SUM(L4:L23)</f>
        <v>47675451.5</v>
      </c>
      <c r="M24">
        <f>L24+I24</f>
        <v>48475179.5</v>
      </c>
    </row>
    <row r="26" spans="1:13" x14ac:dyDescent="0.3">
      <c r="K26" s="24"/>
    </row>
  </sheetData>
  <autoFilter ref="F2:L24" xr:uid="{828232E3-6765-405B-ABC4-7D56190A0665}"/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9408-0DBF-453C-9853-09E2A5D97887}">
  <dimension ref="A1:V8"/>
  <sheetViews>
    <sheetView topLeftCell="K1" zoomScale="80" zoomScaleNormal="80" workbookViewId="0">
      <selection activeCell="P12" sqref="P12"/>
    </sheetView>
  </sheetViews>
  <sheetFormatPr defaultRowHeight="14.4" x14ac:dyDescent="0.3"/>
  <cols>
    <col min="1" max="1" width="28.44140625" bestFit="1" customWidth="1"/>
    <col min="2" max="2" width="17.21875" bestFit="1" customWidth="1"/>
    <col min="3" max="3" width="15" bestFit="1" customWidth="1"/>
    <col min="4" max="4" width="22.44140625" bestFit="1" customWidth="1"/>
    <col min="5" max="5" width="22.77734375" bestFit="1" customWidth="1"/>
    <col min="6" max="6" width="26" bestFit="1" customWidth="1"/>
    <col min="7" max="7" width="30" bestFit="1" customWidth="1"/>
    <col min="8" max="8" width="29.44140625" bestFit="1" customWidth="1"/>
    <col min="9" max="9" width="30.77734375" bestFit="1" customWidth="1"/>
    <col min="10" max="10" width="28.44140625" bestFit="1" customWidth="1"/>
    <col min="11" max="11" width="20.6640625" bestFit="1" customWidth="1"/>
    <col min="12" max="12" width="20.5546875" bestFit="1" customWidth="1"/>
    <col min="13" max="13" width="21.109375" bestFit="1" customWidth="1"/>
    <col min="14" max="14" width="19.88671875" bestFit="1" customWidth="1"/>
    <col min="15" max="15" width="28.33203125" bestFit="1" customWidth="1"/>
    <col min="16" max="16" width="25" bestFit="1" customWidth="1"/>
    <col min="17" max="17" width="25" customWidth="1"/>
    <col min="18" max="18" width="46.6640625" style="50" bestFit="1" customWidth="1"/>
    <col min="19" max="20" width="18.5546875" bestFit="1" customWidth="1"/>
    <col min="21" max="21" width="21.109375" bestFit="1" customWidth="1"/>
    <col min="22" max="22" width="21.21875" bestFit="1" customWidth="1"/>
  </cols>
  <sheetData>
    <row r="1" spans="1:22" ht="28.8" x14ac:dyDescent="0.3">
      <c r="A1" s="28" t="s">
        <v>91</v>
      </c>
      <c r="B1" s="28" t="s">
        <v>92</v>
      </c>
      <c r="C1" s="28" t="s">
        <v>93</v>
      </c>
      <c r="D1" s="28" t="s">
        <v>94</v>
      </c>
      <c r="E1" s="28" t="s">
        <v>95</v>
      </c>
      <c r="F1" s="28" t="s">
        <v>96</v>
      </c>
      <c r="G1" s="28" t="s">
        <v>97</v>
      </c>
      <c r="H1" s="28" t="s">
        <v>98</v>
      </c>
      <c r="I1" s="28" t="s">
        <v>99</v>
      </c>
      <c r="J1" s="44" t="s">
        <v>147</v>
      </c>
      <c r="K1" s="28" t="s">
        <v>100</v>
      </c>
      <c r="L1" s="28" t="s">
        <v>101</v>
      </c>
      <c r="M1" s="28" t="s">
        <v>102</v>
      </c>
      <c r="N1" s="28" t="s">
        <v>103</v>
      </c>
      <c r="O1" s="28" t="s">
        <v>122</v>
      </c>
      <c r="P1" s="28" t="s">
        <v>159</v>
      </c>
      <c r="Q1" s="28" t="s">
        <v>177</v>
      </c>
      <c r="R1" s="48" t="s">
        <v>105</v>
      </c>
      <c r="S1" s="28" t="s">
        <v>175</v>
      </c>
      <c r="T1" s="28" t="s">
        <v>107</v>
      </c>
      <c r="U1" s="28" t="s">
        <v>181</v>
      </c>
      <c r="V1" s="28" t="s">
        <v>182</v>
      </c>
    </row>
    <row r="2" spans="1:22" x14ac:dyDescent="0.3">
      <c r="A2" s="29" t="s">
        <v>113</v>
      </c>
      <c r="B2" s="29" t="s">
        <v>114</v>
      </c>
      <c r="C2" s="29" t="s">
        <v>112</v>
      </c>
      <c r="D2" s="30">
        <v>648000</v>
      </c>
      <c r="E2" s="30">
        <v>324000</v>
      </c>
      <c r="F2" s="31">
        <v>6156000</v>
      </c>
      <c r="G2" s="30">
        <v>25000</v>
      </c>
      <c r="H2" s="32">
        <v>5554.29</v>
      </c>
      <c r="I2" s="31">
        <v>1050000</v>
      </c>
      <c r="J2" s="31">
        <v>233280</v>
      </c>
      <c r="K2" s="32">
        <v>32214.86</v>
      </c>
      <c r="L2" s="32">
        <v>9072000</v>
      </c>
      <c r="M2" s="32">
        <v>9104214.8599999994</v>
      </c>
      <c r="N2" s="32">
        <f t="shared" ref="N2:N8" si="0">F2+I2</f>
        <v>7206000</v>
      </c>
      <c r="O2" s="32">
        <f>E2*0.97</f>
        <v>314280</v>
      </c>
      <c r="P2" s="31">
        <f>O2*'Product Mapping'!$F$9</f>
        <v>8799840</v>
      </c>
      <c r="Q2" s="31">
        <f>D2/7500*30</f>
        <v>2592</v>
      </c>
      <c r="R2" s="49">
        <f>Q2*'Product Mapping'!$F$5</f>
        <v>155520</v>
      </c>
      <c r="S2" s="30">
        <f>Q2*'Product Mapping'!$H$5</f>
        <v>17625.599999999999</v>
      </c>
      <c r="T2" s="30">
        <f>O2*'Product Mapping'!$H$9</f>
        <v>4399920</v>
      </c>
      <c r="U2" s="30">
        <f>S2+T2</f>
        <v>4417545.5999999996</v>
      </c>
      <c r="V2" s="32">
        <f>P2+R2</f>
        <v>8955360</v>
      </c>
    </row>
    <row r="3" spans="1:22" x14ac:dyDescent="0.3">
      <c r="A3" s="29" t="s">
        <v>115</v>
      </c>
      <c r="B3" s="29" t="s">
        <v>111</v>
      </c>
      <c r="C3" s="29" t="s">
        <v>116</v>
      </c>
      <c r="D3" s="30">
        <v>623000</v>
      </c>
      <c r="E3" s="30">
        <v>311500</v>
      </c>
      <c r="F3" s="31">
        <v>5607000</v>
      </c>
      <c r="G3" s="30">
        <v>25500</v>
      </c>
      <c r="H3" s="32">
        <v>6230</v>
      </c>
      <c r="I3" s="31">
        <v>1020000</v>
      </c>
      <c r="J3" s="31">
        <v>249200</v>
      </c>
      <c r="K3" s="32">
        <v>34265</v>
      </c>
      <c r="L3" s="32">
        <v>9033500</v>
      </c>
      <c r="M3" s="32">
        <v>9067765</v>
      </c>
      <c r="N3" s="32">
        <f t="shared" si="0"/>
        <v>6627000</v>
      </c>
      <c r="O3" s="32">
        <f t="shared" ref="O3:O8" si="1">E3*0.97</f>
        <v>302155</v>
      </c>
      <c r="P3" s="31">
        <f>O3*'Product Mapping'!$F$9</f>
        <v>8460340</v>
      </c>
      <c r="Q3" s="31">
        <f t="shared" ref="Q3:Q8" si="2">D3/7500*30</f>
        <v>2492</v>
      </c>
      <c r="R3" s="49">
        <f>Q3*'Product Mapping'!$F$5</f>
        <v>149520</v>
      </c>
      <c r="S3" s="30">
        <f>Q3*'Product Mapping'!$H$5</f>
        <v>16945.599999999999</v>
      </c>
      <c r="T3" s="30">
        <f>O3*'Product Mapping'!$H$9</f>
        <v>4230170</v>
      </c>
      <c r="U3" s="30">
        <f t="shared" ref="U3:U8" si="3">S3+T3</f>
        <v>4247115.5999999996</v>
      </c>
      <c r="V3" s="32">
        <f t="shared" ref="V3:V8" si="4">P3+R3</f>
        <v>8609860</v>
      </c>
    </row>
    <row r="4" spans="1:22" x14ac:dyDescent="0.3">
      <c r="A4" s="29" t="s">
        <v>110</v>
      </c>
      <c r="B4" s="29" t="s">
        <v>111</v>
      </c>
      <c r="C4" s="29" t="s">
        <v>112</v>
      </c>
      <c r="D4" s="30">
        <v>530000</v>
      </c>
      <c r="E4" s="30">
        <v>265000</v>
      </c>
      <c r="F4" s="31">
        <v>5035000</v>
      </c>
      <c r="G4" s="30">
        <v>19500</v>
      </c>
      <c r="H4" s="32">
        <v>5300</v>
      </c>
      <c r="I4" s="31">
        <v>780000</v>
      </c>
      <c r="J4" s="31">
        <v>212000</v>
      </c>
      <c r="K4" s="32">
        <v>29150</v>
      </c>
      <c r="L4" s="32">
        <v>7420000</v>
      </c>
      <c r="M4" s="32">
        <v>7449150</v>
      </c>
      <c r="N4" s="32">
        <f t="shared" si="0"/>
        <v>5815000</v>
      </c>
      <c r="O4" s="32">
        <f t="shared" si="1"/>
        <v>257050</v>
      </c>
      <c r="P4" s="31">
        <f>O4*'Product Mapping'!$F$9</f>
        <v>7197400</v>
      </c>
      <c r="Q4" s="31">
        <f t="shared" si="2"/>
        <v>2120</v>
      </c>
      <c r="R4" s="49">
        <f>Q4*'Product Mapping'!$F$5</f>
        <v>127200</v>
      </c>
      <c r="S4" s="30">
        <f>Q4*'Product Mapping'!$H$5</f>
        <v>14416</v>
      </c>
      <c r="T4" s="30">
        <f>O4*'Product Mapping'!$H$9</f>
        <v>3598700</v>
      </c>
      <c r="U4" s="30">
        <f t="shared" si="3"/>
        <v>3613116</v>
      </c>
      <c r="V4" s="32">
        <f t="shared" si="4"/>
        <v>7324600</v>
      </c>
    </row>
    <row r="5" spans="1:22" x14ac:dyDescent="0.3">
      <c r="A5" s="29" t="s">
        <v>117</v>
      </c>
      <c r="B5" s="29" t="s">
        <v>111</v>
      </c>
      <c r="C5" s="29" t="s">
        <v>116</v>
      </c>
      <c r="D5" s="30">
        <v>474000</v>
      </c>
      <c r="E5" s="30">
        <v>237000</v>
      </c>
      <c r="F5" s="31">
        <v>4266000</v>
      </c>
      <c r="G5" s="30">
        <v>13200</v>
      </c>
      <c r="H5" s="32">
        <v>4740</v>
      </c>
      <c r="I5" s="31">
        <v>528000</v>
      </c>
      <c r="J5" s="31">
        <v>189600</v>
      </c>
      <c r="K5" s="32">
        <v>26070</v>
      </c>
      <c r="L5" s="32">
        <v>6873000</v>
      </c>
      <c r="M5" s="32">
        <v>6899070</v>
      </c>
      <c r="N5" s="32">
        <f t="shared" si="0"/>
        <v>4794000</v>
      </c>
      <c r="O5" s="32">
        <f t="shared" si="1"/>
        <v>229890</v>
      </c>
      <c r="P5" s="31">
        <f>O5*'Product Mapping'!$F$9</f>
        <v>6436920</v>
      </c>
      <c r="Q5" s="31">
        <f t="shared" si="2"/>
        <v>1896</v>
      </c>
      <c r="R5" s="49">
        <f>Q5*'Product Mapping'!$F$5</f>
        <v>113760</v>
      </c>
      <c r="S5" s="30">
        <f>Q5*'Product Mapping'!$H$5</f>
        <v>12892.8</v>
      </c>
      <c r="T5" s="30">
        <f>O5*'Product Mapping'!$H$9</f>
        <v>3218460</v>
      </c>
      <c r="U5" s="30">
        <f t="shared" si="3"/>
        <v>3231352.8</v>
      </c>
      <c r="V5" s="32">
        <f t="shared" si="4"/>
        <v>6550680</v>
      </c>
    </row>
    <row r="6" spans="1:22" x14ac:dyDescent="0.3">
      <c r="A6" s="29" t="s">
        <v>119</v>
      </c>
      <c r="B6" s="29" t="s">
        <v>114</v>
      </c>
      <c r="C6" s="29" t="s">
        <v>116</v>
      </c>
      <c r="D6" s="30">
        <v>421400</v>
      </c>
      <c r="E6" s="30">
        <v>210700</v>
      </c>
      <c r="F6" s="31">
        <v>3792600</v>
      </c>
      <c r="G6" s="30">
        <v>14500</v>
      </c>
      <c r="H6" s="32">
        <v>3612</v>
      </c>
      <c r="I6" s="31">
        <v>609000</v>
      </c>
      <c r="J6" s="31">
        <v>151704</v>
      </c>
      <c r="K6" s="32">
        <v>20949.599999999999</v>
      </c>
      <c r="L6" s="32">
        <v>6110300</v>
      </c>
      <c r="M6" s="32">
        <v>6131249.5999999996</v>
      </c>
      <c r="N6" s="32">
        <f t="shared" si="0"/>
        <v>4401600</v>
      </c>
      <c r="O6" s="32">
        <f t="shared" si="1"/>
        <v>204379</v>
      </c>
      <c r="P6" s="31">
        <f>O6*'Product Mapping'!$F$9</f>
        <v>5722612</v>
      </c>
      <c r="Q6" s="31">
        <f t="shared" si="2"/>
        <v>1685.6</v>
      </c>
      <c r="R6" s="49">
        <f>Q6*'Product Mapping'!$F$5</f>
        <v>101136</v>
      </c>
      <c r="S6" s="30">
        <f>Q6*'Product Mapping'!$H$5</f>
        <v>11462.08</v>
      </c>
      <c r="T6" s="30">
        <f>O6*'Product Mapping'!$H$9</f>
        <v>2861306</v>
      </c>
      <c r="U6" s="30">
        <f t="shared" si="3"/>
        <v>2872768.08</v>
      </c>
      <c r="V6" s="32">
        <f t="shared" si="4"/>
        <v>5823748</v>
      </c>
    </row>
    <row r="7" spans="1:22" x14ac:dyDescent="0.3">
      <c r="A7" s="29" t="s">
        <v>120</v>
      </c>
      <c r="B7" s="29" t="s">
        <v>111</v>
      </c>
      <c r="C7" s="29" t="s">
        <v>112</v>
      </c>
      <c r="D7" s="30">
        <v>361800</v>
      </c>
      <c r="E7" s="30">
        <v>180900</v>
      </c>
      <c r="F7" s="31">
        <v>3437100</v>
      </c>
      <c r="G7" s="30">
        <v>17800</v>
      </c>
      <c r="H7" s="32">
        <v>3618</v>
      </c>
      <c r="I7" s="31">
        <v>712000</v>
      </c>
      <c r="J7" s="31">
        <v>144720</v>
      </c>
      <c r="K7" s="32">
        <v>19899</v>
      </c>
      <c r="L7" s="32">
        <v>5065200</v>
      </c>
      <c r="M7" s="32">
        <v>5085099</v>
      </c>
      <c r="N7" s="32">
        <f t="shared" si="0"/>
        <v>4149100</v>
      </c>
      <c r="O7" s="32">
        <f t="shared" si="1"/>
        <v>175473</v>
      </c>
      <c r="P7" s="31">
        <f>O7*'Product Mapping'!$F$9</f>
        <v>4913244</v>
      </c>
      <c r="Q7" s="31">
        <f t="shared" si="2"/>
        <v>1447.2</v>
      </c>
      <c r="R7" s="49">
        <f>Q7*'Product Mapping'!$F$5</f>
        <v>86832</v>
      </c>
      <c r="S7" s="30">
        <f>Q7*'Product Mapping'!$H$5</f>
        <v>9840.9600000000009</v>
      </c>
      <c r="T7" s="30">
        <f>O7*'Product Mapping'!$H$9</f>
        <v>2456622</v>
      </c>
      <c r="U7" s="30">
        <f t="shared" si="3"/>
        <v>2466462.96</v>
      </c>
      <c r="V7" s="32">
        <f t="shared" si="4"/>
        <v>5000076</v>
      </c>
    </row>
    <row r="8" spans="1:22" x14ac:dyDescent="0.3">
      <c r="A8" s="29" t="s">
        <v>118</v>
      </c>
      <c r="B8" s="29" t="s">
        <v>114</v>
      </c>
      <c r="C8" s="29" t="s">
        <v>112</v>
      </c>
      <c r="D8" s="30">
        <v>274000</v>
      </c>
      <c r="E8" s="30">
        <v>137000</v>
      </c>
      <c r="F8" s="31">
        <v>2603000</v>
      </c>
      <c r="G8" s="30">
        <v>8300</v>
      </c>
      <c r="H8" s="32">
        <v>2348.5700000000002</v>
      </c>
      <c r="I8" s="31">
        <v>348600</v>
      </c>
      <c r="J8" s="31">
        <v>98640</v>
      </c>
      <c r="K8" s="32">
        <v>13621.71</v>
      </c>
      <c r="L8" s="32">
        <v>3836000</v>
      </c>
      <c r="M8" s="32">
        <v>3849621.71</v>
      </c>
      <c r="N8" s="32">
        <f t="shared" si="0"/>
        <v>2951600</v>
      </c>
      <c r="O8" s="32">
        <f t="shared" si="1"/>
        <v>132890</v>
      </c>
      <c r="P8" s="31">
        <f>O8*'Product Mapping'!$F$9</f>
        <v>3720920</v>
      </c>
      <c r="Q8" s="31">
        <f t="shared" si="2"/>
        <v>1096</v>
      </c>
      <c r="R8" s="49">
        <f>Q8*'Product Mapping'!$F$5</f>
        <v>65760</v>
      </c>
      <c r="S8" s="30">
        <f>Q8*'Product Mapping'!$H$5</f>
        <v>7452.8</v>
      </c>
      <c r="T8" s="30">
        <f>O8*'Product Mapping'!$H$9</f>
        <v>1860460</v>
      </c>
      <c r="U8" s="30">
        <f t="shared" si="3"/>
        <v>1867912.8</v>
      </c>
      <c r="V8" s="32">
        <f t="shared" si="4"/>
        <v>3786680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47D5-6681-4047-AE5A-0AE3C4AD867D}">
  <dimension ref="A1:V36"/>
  <sheetViews>
    <sheetView topLeftCell="L1" zoomScale="80" zoomScaleNormal="80" workbookViewId="0">
      <selection activeCell="R12" sqref="R12"/>
    </sheetView>
  </sheetViews>
  <sheetFormatPr defaultRowHeight="14.4" x14ac:dyDescent="0.3"/>
  <cols>
    <col min="1" max="1" width="28.44140625" bestFit="1" customWidth="1"/>
    <col min="2" max="2" width="17.21875" bestFit="1" customWidth="1"/>
    <col min="3" max="3" width="15" bestFit="1" customWidth="1"/>
    <col min="4" max="4" width="22.44140625" bestFit="1" customWidth="1"/>
    <col min="5" max="5" width="22.77734375" bestFit="1" customWidth="1"/>
    <col min="6" max="6" width="26" bestFit="1" customWidth="1"/>
    <col min="7" max="7" width="30" bestFit="1" customWidth="1"/>
    <col min="8" max="8" width="29.44140625" bestFit="1" customWidth="1"/>
    <col min="9" max="9" width="30.77734375" bestFit="1" customWidth="1"/>
    <col min="10" max="10" width="28.44140625" bestFit="1" customWidth="1"/>
    <col min="11" max="11" width="20.6640625" bestFit="1" customWidth="1"/>
    <col min="12" max="12" width="20.5546875" bestFit="1" customWidth="1"/>
    <col min="13" max="13" width="21.109375" bestFit="1" customWidth="1"/>
    <col min="14" max="14" width="19.88671875" bestFit="1" customWidth="1"/>
    <col min="15" max="15" width="28.33203125" bestFit="1" customWidth="1"/>
    <col min="16" max="16" width="25" bestFit="1" customWidth="1"/>
    <col min="17" max="17" width="25" customWidth="1"/>
    <col min="18" max="18" width="46.6640625" style="50" bestFit="1" customWidth="1"/>
    <col min="19" max="20" width="18.5546875" bestFit="1" customWidth="1"/>
    <col min="21" max="21" width="21.109375" bestFit="1" customWidth="1"/>
    <col min="22" max="22" width="21.21875" bestFit="1" customWidth="1"/>
  </cols>
  <sheetData>
    <row r="1" spans="1:22" ht="28.8" x14ac:dyDescent="0.3">
      <c r="A1" s="28" t="s">
        <v>91</v>
      </c>
      <c r="B1" s="28" t="s">
        <v>92</v>
      </c>
      <c r="C1" s="28" t="s">
        <v>93</v>
      </c>
      <c r="D1" s="28" t="s">
        <v>94</v>
      </c>
      <c r="E1" s="28" t="s">
        <v>95</v>
      </c>
      <c r="F1" s="28" t="s">
        <v>96</v>
      </c>
      <c r="G1" s="28" t="s">
        <v>97</v>
      </c>
      <c r="H1" s="28" t="s">
        <v>98</v>
      </c>
      <c r="I1" s="28" t="s">
        <v>99</v>
      </c>
      <c r="J1" s="44" t="s">
        <v>147</v>
      </c>
      <c r="K1" s="28" t="s">
        <v>100</v>
      </c>
      <c r="L1" s="28" t="s">
        <v>101</v>
      </c>
      <c r="M1" s="28" t="s">
        <v>102</v>
      </c>
      <c r="N1" s="28" t="s">
        <v>103</v>
      </c>
      <c r="O1" s="28" t="s">
        <v>122</v>
      </c>
      <c r="P1" s="28" t="s">
        <v>159</v>
      </c>
      <c r="Q1" s="28" t="s">
        <v>177</v>
      </c>
      <c r="R1" s="48" t="s">
        <v>105</v>
      </c>
      <c r="S1" s="28" t="s">
        <v>175</v>
      </c>
      <c r="T1" s="28" t="s">
        <v>107</v>
      </c>
      <c r="U1" s="28" t="s">
        <v>181</v>
      </c>
      <c r="V1" s="28" t="s">
        <v>182</v>
      </c>
    </row>
    <row r="2" spans="1:22" x14ac:dyDescent="0.3">
      <c r="A2" s="29" t="s">
        <v>113</v>
      </c>
      <c r="B2" s="29" t="s">
        <v>114</v>
      </c>
      <c r="C2" s="29" t="s">
        <v>112</v>
      </c>
      <c r="D2" s="30">
        <v>648000</v>
      </c>
      <c r="E2" s="30">
        <v>324000</v>
      </c>
      <c r="F2" s="31">
        <v>6156000</v>
      </c>
      <c r="G2" s="30">
        <v>25000</v>
      </c>
      <c r="H2" s="32">
        <v>5554.29</v>
      </c>
      <c r="I2" s="31">
        <v>1050000</v>
      </c>
      <c r="J2" s="31">
        <v>233280</v>
      </c>
      <c r="K2" s="32">
        <v>32214.86</v>
      </c>
      <c r="L2" s="32">
        <v>9072000</v>
      </c>
      <c r="M2" s="32">
        <v>9104214.8599999994</v>
      </c>
      <c r="N2" s="32">
        <f t="shared" ref="N2:N9" si="0">F2+I2</f>
        <v>7206000</v>
      </c>
      <c r="O2" s="32">
        <f>E2*0.97</f>
        <v>314280</v>
      </c>
      <c r="P2" s="31">
        <f>O2*'Product Mapping'!$F$9</f>
        <v>8799840</v>
      </c>
      <c r="Q2" s="31">
        <f>D2/7500*30</f>
        <v>2592</v>
      </c>
      <c r="R2" s="49">
        <f>Q2*'Product Mapping'!$F$5</f>
        <v>155520</v>
      </c>
      <c r="S2" s="30">
        <f>Q2*'Product Mapping'!$H$5</f>
        <v>17625.599999999999</v>
      </c>
      <c r="T2" s="30">
        <f>O2*'Product Mapping'!$H$9</f>
        <v>4399920</v>
      </c>
      <c r="U2" s="30">
        <f>S2+T2</f>
        <v>4417545.5999999996</v>
      </c>
      <c r="V2" s="32">
        <f>P2+R2</f>
        <v>8955360</v>
      </c>
    </row>
    <row r="3" spans="1:22" x14ac:dyDescent="0.3">
      <c r="A3" s="29" t="s">
        <v>115</v>
      </c>
      <c r="B3" s="29" t="s">
        <v>111</v>
      </c>
      <c r="C3" s="29" t="s">
        <v>116</v>
      </c>
      <c r="D3" s="30">
        <v>623000</v>
      </c>
      <c r="E3" s="30">
        <v>311500</v>
      </c>
      <c r="F3" s="31">
        <v>5607000</v>
      </c>
      <c r="G3" s="30">
        <v>25500</v>
      </c>
      <c r="H3" s="32">
        <v>6230</v>
      </c>
      <c r="I3" s="31">
        <v>1020000</v>
      </c>
      <c r="J3" s="31">
        <v>249200</v>
      </c>
      <c r="K3" s="32">
        <v>34265</v>
      </c>
      <c r="L3" s="32">
        <v>9033500</v>
      </c>
      <c r="M3" s="32">
        <v>9067765</v>
      </c>
      <c r="N3" s="32">
        <f t="shared" si="0"/>
        <v>6627000</v>
      </c>
      <c r="O3" s="32">
        <f t="shared" ref="O3:O8" si="1">E3*0.97</f>
        <v>302155</v>
      </c>
      <c r="P3" s="31">
        <f>O3*'Product Mapping'!$F$9</f>
        <v>8460340</v>
      </c>
      <c r="Q3" s="31">
        <f t="shared" ref="Q3:Q8" si="2">D3/7500*30</f>
        <v>2492</v>
      </c>
      <c r="R3" s="49">
        <f>Q3*'Product Mapping'!$F$5</f>
        <v>149520</v>
      </c>
      <c r="S3" s="30">
        <f>Q3*'Product Mapping'!$H$5</f>
        <v>16945.599999999999</v>
      </c>
      <c r="T3" s="30">
        <f>O3*'Product Mapping'!$H$9</f>
        <v>4230170</v>
      </c>
      <c r="U3" s="30">
        <f t="shared" ref="U3:U8" si="3">S3+T3</f>
        <v>4247115.5999999996</v>
      </c>
      <c r="V3" s="32">
        <f t="shared" ref="V3:V9" si="4">P3+R3</f>
        <v>8609860</v>
      </c>
    </row>
    <row r="4" spans="1:22" x14ac:dyDescent="0.3">
      <c r="A4" s="29" t="s">
        <v>110</v>
      </c>
      <c r="B4" s="29" t="s">
        <v>111</v>
      </c>
      <c r="C4" s="29" t="s">
        <v>112</v>
      </c>
      <c r="D4" s="30">
        <v>530000</v>
      </c>
      <c r="E4" s="30">
        <v>265000</v>
      </c>
      <c r="F4" s="31">
        <v>5035000</v>
      </c>
      <c r="G4" s="30">
        <v>19500</v>
      </c>
      <c r="H4" s="32">
        <v>5300</v>
      </c>
      <c r="I4" s="31">
        <v>780000</v>
      </c>
      <c r="J4" s="31">
        <v>212000</v>
      </c>
      <c r="K4" s="32">
        <v>29150</v>
      </c>
      <c r="L4" s="32">
        <v>7420000</v>
      </c>
      <c r="M4" s="32">
        <v>7449150</v>
      </c>
      <c r="N4" s="32">
        <f t="shared" si="0"/>
        <v>5815000</v>
      </c>
      <c r="O4" s="32">
        <f t="shared" si="1"/>
        <v>257050</v>
      </c>
      <c r="P4" s="31">
        <f>O4*'Product Mapping'!$F$9</f>
        <v>7197400</v>
      </c>
      <c r="Q4" s="31">
        <f t="shared" si="2"/>
        <v>2120</v>
      </c>
      <c r="R4" s="49">
        <f>Q4*'Product Mapping'!$F$5</f>
        <v>127200</v>
      </c>
      <c r="S4" s="30">
        <f>Q4*'Product Mapping'!$H$5</f>
        <v>14416</v>
      </c>
      <c r="T4" s="30">
        <f>O4*'Product Mapping'!$H$9</f>
        <v>3598700</v>
      </c>
      <c r="U4" s="30">
        <f t="shared" si="3"/>
        <v>3613116</v>
      </c>
      <c r="V4" s="32">
        <f t="shared" si="4"/>
        <v>7324600</v>
      </c>
    </row>
    <row r="5" spans="1:22" x14ac:dyDescent="0.3">
      <c r="A5" s="29" t="s">
        <v>117</v>
      </c>
      <c r="B5" s="29" t="s">
        <v>111</v>
      </c>
      <c r="C5" s="29" t="s">
        <v>116</v>
      </c>
      <c r="D5" s="30">
        <v>474000</v>
      </c>
      <c r="E5" s="30">
        <v>237000</v>
      </c>
      <c r="F5" s="31">
        <v>4266000</v>
      </c>
      <c r="G5" s="30">
        <v>13200</v>
      </c>
      <c r="H5" s="32">
        <v>4740</v>
      </c>
      <c r="I5" s="31">
        <v>528000</v>
      </c>
      <c r="J5" s="31">
        <v>189600</v>
      </c>
      <c r="K5" s="32">
        <v>26070</v>
      </c>
      <c r="L5" s="32">
        <v>6873000</v>
      </c>
      <c r="M5" s="32">
        <v>6899070</v>
      </c>
      <c r="N5" s="32">
        <f t="shared" si="0"/>
        <v>4794000</v>
      </c>
      <c r="O5" s="32">
        <f t="shared" si="1"/>
        <v>229890</v>
      </c>
      <c r="P5" s="31">
        <f>O5*'Product Mapping'!$F$9</f>
        <v>6436920</v>
      </c>
      <c r="Q5" s="31">
        <f t="shared" si="2"/>
        <v>1896</v>
      </c>
      <c r="R5" s="49">
        <f>Q5*'Product Mapping'!$F$5</f>
        <v>113760</v>
      </c>
      <c r="S5" s="30">
        <f>Q5*'Product Mapping'!$H$5</f>
        <v>12892.8</v>
      </c>
      <c r="T5" s="30">
        <f>O5*'Product Mapping'!$H$9</f>
        <v>3218460</v>
      </c>
      <c r="U5" s="30">
        <f t="shared" si="3"/>
        <v>3231352.8</v>
      </c>
      <c r="V5" s="32">
        <f t="shared" si="4"/>
        <v>6550680</v>
      </c>
    </row>
    <row r="6" spans="1:22" x14ac:dyDescent="0.3">
      <c r="A6" s="29" t="s">
        <v>119</v>
      </c>
      <c r="B6" s="29" t="s">
        <v>114</v>
      </c>
      <c r="C6" s="29" t="s">
        <v>116</v>
      </c>
      <c r="D6" s="30">
        <v>421400</v>
      </c>
      <c r="E6" s="30">
        <v>210700</v>
      </c>
      <c r="F6" s="31">
        <v>3792600</v>
      </c>
      <c r="G6" s="30">
        <v>14500</v>
      </c>
      <c r="H6" s="32">
        <v>3612</v>
      </c>
      <c r="I6" s="31">
        <v>609000</v>
      </c>
      <c r="J6" s="31">
        <v>151704</v>
      </c>
      <c r="K6" s="32">
        <v>20949.599999999999</v>
      </c>
      <c r="L6" s="32">
        <v>6110300</v>
      </c>
      <c r="M6" s="32">
        <v>6131249.5999999996</v>
      </c>
      <c r="N6" s="32">
        <f t="shared" si="0"/>
        <v>4401600</v>
      </c>
      <c r="O6" s="32">
        <f t="shared" si="1"/>
        <v>204379</v>
      </c>
      <c r="P6" s="31">
        <f>O6*'Product Mapping'!$F$9</f>
        <v>5722612</v>
      </c>
      <c r="Q6" s="31">
        <f t="shared" si="2"/>
        <v>1685.6</v>
      </c>
      <c r="R6" s="49">
        <f>Q6*'Product Mapping'!$F$5</f>
        <v>101136</v>
      </c>
      <c r="S6" s="30">
        <f>Q6*'Product Mapping'!$H$5</f>
        <v>11462.08</v>
      </c>
      <c r="T6" s="30">
        <f>O6*'Product Mapping'!$H$9</f>
        <v>2861306</v>
      </c>
      <c r="U6" s="30">
        <f t="shared" si="3"/>
        <v>2872768.08</v>
      </c>
      <c r="V6" s="32">
        <f t="shared" si="4"/>
        <v>5823748</v>
      </c>
    </row>
    <row r="7" spans="1:22" x14ac:dyDescent="0.3">
      <c r="A7" s="29" t="s">
        <v>120</v>
      </c>
      <c r="B7" s="29" t="s">
        <v>111</v>
      </c>
      <c r="C7" s="29" t="s">
        <v>112</v>
      </c>
      <c r="D7" s="30">
        <v>361800</v>
      </c>
      <c r="E7" s="30">
        <v>180900</v>
      </c>
      <c r="F7" s="31">
        <v>3437100</v>
      </c>
      <c r="G7" s="30">
        <v>17800</v>
      </c>
      <c r="H7" s="32">
        <v>3618</v>
      </c>
      <c r="I7" s="31">
        <v>712000</v>
      </c>
      <c r="J7" s="31">
        <v>144720</v>
      </c>
      <c r="K7" s="32">
        <v>19899</v>
      </c>
      <c r="L7" s="32">
        <v>5065200</v>
      </c>
      <c r="M7" s="32">
        <v>5085099</v>
      </c>
      <c r="N7" s="32">
        <f t="shared" si="0"/>
        <v>4149100</v>
      </c>
      <c r="O7" s="32">
        <f t="shared" si="1"/>
        <v>175473</v>
      </c>
      <c r="P7" s="31">
        <f>O7*'Product Mapping'!$F$9</f>
        <v>4913244</v>
      </c>
      <c r="Q7" s="31">
        <f t="shared" si="2"/>
        <v>1447.2</v>
      </c>
      <c r="R7" s="49">
        <f>Q7*'Product Mapping'!$F$5</f>
        <v>86832</v>
      </c>
      <c r="S7" s="30">
        <f>Q7*'Product Mapping'!$H$5</f>
        <v>9840.9600000000009</v>
      </c>
      <c r="T7" s="30">
        <f>O7*'Product Mapping'!$H$9</f>
        <v>2456622</v>
      </c>
      <c r="U7" s="30">
        <f t="shared" si="3"/>
        <v>2466462.96</v>
      </c>
      <c r="V7" s="32">
        <f t="shared" si="4"/>
        <v>5000076</v>
      </c>
    </row>
    <row r="8" spans="1:22" x14ac:dyDescent="0.3">
      <c r="A8" s="29" t="s">
        <v>118</v>
      </c>
      <c r="B8" s="29" t="s">
        <v>114</v>
      </c>
      <c r="C8" s="29" t="s">
        <v>112</v>
      </c>
      <c r="D8" s="30">
        <v>274000</v>
      </c>
      <c r="E8" s="30">
        <v>137000</v>
      </c>
      <c r="F8" s="31">
        <v>2603000</v>
      </c>
      <c r="G8" s="30">
        <v>8300</v>
      </c>
      <c r="H8" s="32">
        <v>2348.5700000000002</v>
      </c>
      <c r="I8" s="31">
        <v>348600</v>
      </c>
      <c r="J8" s="31">
        <v>98640</v>
      </c>
      <c r="K8" s="32">
        <v>13621.71</v>
      </c>
      <c r="L8" s="32">
        <v>3836000</v>
      </c>
      <c r="M8" s="32">
        <v>3849621.71</v>
      </c>
      <c r="N8" s="32">
        <f t="shared" si="0"/>
        <v>2951600</v>
      </c>
      <c r="O8" s="32">
        <f t="shared" si="1"/>
        <v>132890</v>
      </c>
      <c r="P8" s="31">
        <f>O8*'Product Mapping'!$F$9</f>
        <v>3720920</v>
      </c>
      <c r="Q8" s="31">
        <f t="shared" si="2"/>
        <v>1096</v>
      </c>
      <c r="R8" s="49">
        <f>Q8*'Product Mapping'!$F$5</f>
        <v>65760</v>
      </c>
      <c r="S8" s="30">
        <f>Q8*'Product Mapping'!$H$5</f>
        <v>7452.8</v>
      </c>
      <c r="T8" s="30">
        <f>O8*'Product Mapping'!$H$9</f>
        <v>1860460</v>
      </c>
      <c r="U8" s="30">
        <f t="shared" si="3"/>
        <v>1867912.8</v>
      </c>
      <c r="V8" s="32">
        <f t="shared" si="4"/>
        <v>3786680</v>
      </c>
    </row>
    <row r="9" spans="1:22" x14ac:dyDescent="0.3">
      <c r="A9" s="28" t="s">
        <v>121</v>
      </c>
      <c r="B9" s="28"/>
      <c r="C9" s="28"/>
      <c r="D9" s="45">
        <v>3332200</v>
      </c>
      <c r="E9" s="45">
        <v>1666100</v>
      </c>
      <c r="F9" s="46">
        <v>30896700</v>
      </c>
      <c r="G9" s="45">
        <v>123800</v>
      </c>
      <c r="H9" s="47">
        <v>31402.86</v>
      </c>
      <c r="I9" s="46">
        <v>5047600</v>
      </c>
      <c r="J9" s="46">
        <v>1279144</v>
      </c>
      <c r="K9" s="47">
        <v>176170.17</v>
      </c>
      <c r="L9" s="47">
        <v>47410000</v>
      </c>
      <c r="M9" s="47">
        <v>47586170.170000002</v>
      </c>
      <c r="N9" s="47">
        <f t="shared" si="0"/>
        <v>35944300</v>
      </c>
      <c r="O9" s="47">
        <f t="shared" ref="O9:U9" si="5">SUM(O2:O8)</f>
        <v>1616117</v>
      </c>
      <c r="P9" s="46">
        <f t="shared" si="5"/>
        <v>45251276</v>
      </c>
      <c r="Q9" s="46">
        <f t="shared" si="5"/>
        <v>13328.800000000001</v>
      </c>
      <c r="R9" s="48">
        <f t="shared" si="5"/>
        <v>799728</v>
      </c>
      <c r="S9" s="45">
        <f t="shared" si="5"/>
        <v>90635.840000000011</v>
      </c>
      <c r="T9" s="45">
        <f t="shared" si="5"/>
        <v>22625638</v>
      </c>
      <c r="U9" s="45">
        <f t="shared" si="5"/>
        <v>22716273.84</v>
      </c>
      <c r="V9" s="45">
        <f t="shared" si="4"/>
        <v>46051004</v>
      </c>
    </row>
    <row r="12" spans="1:22" x14ac:dyDescent="0.3">
      <c r="A12" s="35"/>
      <c r="B12" s="36" t="s">
        <v>123</v>
      </c>
      <c r="C12" s="36" t="s">
        <v>124</v>
      </c>
      <c r="D12" s="36" t="s">
        <v>125</v>
      </c>
      <c r="E12" s="36" t="s">
        <v>126</v>
      </c>
      <c r="F12" s="36" t="s">
        <v>127</v>
      </c>
      <c r="H12" s="51" t="s">
        <v>148</v>
      </c>
      <c r="I12" s="52"/>
    </row>
    <row r="13" spans="1:22" x14ac:dyDescent="0.3">
      <c r="A13" s="35"/>
      <c r="B13" s="37" t="s">
        <v>163</v>
      </c>
      <c r="C13" s="37" t="s">
        <v>162</v>
      </c>
      <c r="D13" s="37" t="s">
        <v>164</v>
      </c>
      <c r="E13" s="37" t="s">
        <v>165</v>
      </c>
      <c r="F13" s="37" t="s">
        <v>166</v>
      </c>
      <c r="H13" s="3"/>
      <c r="I13" s="3"/>
    </row>
    <row r="14" spans="1:22" ht="28.8" x14ac:dyDescent="0.3">
      <c r="A14" s="35"/>
      <c r="B14" s="38"/>
      <c r="C14" s="38"/>
      <c r="D14" s="38"/>
      <c r="E14" s="38"/>
      <c r="F14" s="38"/>
      <c r="H14" s="3" t="s">
        <v>123</v>
      </c>
      <c r="I14" s="53" t="s">
        <v>185</v>
      </c>
    </row>
    <row r="15" spans="1:22" x14ac:dyDescent="0.3">
      <c r="A15" s="36" t="s">
        <v>184</v>
      </c>
      <c r="B15" s="39">
        <f>$R$9</f>
        <v>799728</v>
      </c>
      <c r="C15" s="39">
        <f t="shared" ref="C15:F15" si="6">$R$9</f>
        <v>799728</v>
      </c>
      <c r="D15" s="39">
        <f t="shared" si="6"/>
        <v>799728</v>
      </c>
      <c r="E15" s="39">
        <f t="shared" si="6"/>
        <v>799728</v>
      </c>
      <c r="F15" s="39">
        <f t="shared" si="6"/>
        <v>799728</v>
      </c>
      <c r="H15" s="3" t="s">
        <v>124</v>
      </c>
      <c r="I15" s="3" t="s">
        <v>155</v>
      </c>
    </row>
    <row r="16" spans="1:22" x14ac:dyDescent="0.3">
      <c r="A16" s="36" t="s">
        <v>133</v>
      </c>
      <c r="B16" s="38">
        <f>$S$9</f>
        <v>90635.840000000011</v>
      </c>
      <c r="C16" s="38">
        <f t="shared" ref="C16:F16" si="7">$S$9</f>
        <v>90635.840000000011</v>
      </c>
      <c r="D16" s="38">
        <f t="shared" si="7"/>
        <v>90635.840000000011</v>
      </c>
      <c r="E16" s="38">
        <f t="shared" si="7"/>
        <v>90635.840000000011</v>
      </c>
      <c r="F16" s="38">
        <f t="shared" si="7"/>
        <v>90635.840000000011</v>
      </c>
      <c r="H16" s="3" t="s">
        <v>125</v>
      </c>
      <c r="I16" s="3" t="s">
        <v>151</v>
      </c>
    </row>
    <row r="17" spans="1:9" ht="43.2" x14ac:dyDescent="0.3">
      <c r="A17" s="40" t="s">
        <v>134</v>
      </c>
      <c r="B17" s="41">
        <f>B15</f>
        <v>799728</v>
      </c>
      <c r="C17" s="41">
        <f>C15</f>
        <v>799728</v>
      </c>
      <c r="D17" s="41">
        <f>D15</f>
        <v>799728</v>
      </c>
      <c r="E17" s="41">
        <f>E15</f>
        <v>799728</v>
      </c>
      <c r="F17" s="41">
        <f>I25-4*F15</f>
        <v>569544</v>
      </c>
      <c r="H17" s="3" t="s">
        <v>126</v>
      </c>
      <c r="I17" s="3" t="s">
        <v>149</v>
      </c>
    </row>
    <row r="18" spans="1:9" x14ac:dyDescent="0.3">
      <c r="A18" s="36"/>
      <c r="B18" s="38"/>
      <c r="C18" s="38"/>
      <c r="D18" s="38"/>
      <c r="E18" s="38"/>
      <c r="F18" s="38"/>
      <c r="H18" s="3" t="s">
        <v>127</v>
      </c>
      <c r="I18" s="3" t="s">
        <v>150</v>
      </c>
    </row>
    <row r="19" spans="1:9" x14ac:dyDescent="0.3">
      <c r="A19" s="36" t="s">
        <v>158</v>
      </c>
      <c r="B19" s="39">
        <f>P2</f>
        <v>8799840</v>
      </c>
      <c r="C19" s="39">
        <f>P3+P2</f>
        <v>17260180</v>
      </c>
      <c r="D19" s="39">
        <f>P4+P3+P2</f>
        <v>24457580</v>
      </c>
      <c r="E19" s="39">
        <f>P9-P6-P7-P8</f>
        <v>30894500</v>
      </c>
      <c r="F19" s="39">
        <f>P9-P7-P8</f>
        <v>36617112</v>
      </c>
      <c r="H19" s="3"/>
      <c r="I19" s="3"/>
    </row>
    <row r="20" spans="1:9" x14ac:dyDescent="0.3">
      <c r="A20" s="36" t="s">
        <v>135</v>
      </c>
      <c r="B20" s="38">
        <f>T2</f>
        <v>4399920</v>
      </c>
      <c r="C20" s="42">
        <f>T3+T2</f>
        <v>8630090</v>
      </c>
      <c r="D20" s="38">
        <f>T4+T3+T2</f>
        <v>12228790</v>
      </c>
      <c r="E20" s="38">
        <f>T9-T8-T7-T6</f>
        <v>15447250</v>
      </c>
      <c r="F20" s="38">
        <f>T9-T7-T8</f>
        <v>18308556</v>
      </c>
      <c r="H20" s="3"/>
      <c r="I20" s="3"/>
    </row>
    <row r="21" spans="1:9" x14ac:dyDescent="0.3">
      <c r="A21" s="36"/>
      <c r="B21" s="38"/>
      <c r="C21" s="38"/>
      <c r="D21" s="38"/>
      <c r="E21" s="38"/>
      <c r="F21" s="38"/>
      <c r="H21" s="3"/>
      <c r="I21" s="3"/>
    </row>
    <row r="22" spans="1:9" x14ac:dyDescent="0.3">
      <c r="A22" s="36" t="s">
        <v>136</v>
      </c>
      <c r="B22" s="39">
        <f>F9-F2</f>
        <v>24740700</v>
      </c>
      <c r="C22" s="39">
        <f>F9-F2-F3</f>
        <v>19133700</v>
      </c>
      <c r="D22" s="39">
        <f>F9-F2-F3-F4</f>
        <v>14098700</v>
      </c>
      <c r="E22" s="39">
        <f>F6+F7+F8</f>
        <v>9832700</v>
      </c>
      <c r="F22" s="43">
        <f>F7+F8</f>
        <v>6040100</v>
      </c>
      <c r="H22" s="3"/>
      <c r="I22" s="3"/>
    </row>
    <row r="23" spans="1:9" x14ac:dyDescent="0.3">
      <c r="A23" s="36" t="s">
        <v>137</v>
      </c>
      <c r="B23" s="38">
        <f>L9-L2</f>
        <v>38338000</v>
      </c>
      <c r="C23" s="38">
        <f>L9-L2-L3</f>
        <v>29304500</v>
      </c>
      <c r="D23" s="38">
        <f>L9-L2-L3-L4</f>
        <v>21884500</v>
      </c>
      <c r="E23" s="38">
        <f>L6+L7+L8</f>
        <v>15011500</v>
      </c>
      <c r="F23" s="38">
        <f>L7+L8</f>
        <v>8901200</v>
      </c>
      <c r="H23" s="3"/>
      <c r="I23" s="3"/>
    </row>
    <row r="24" spans="1:9" x14ac:dyDescent="0.3">
      <c r="A24" s="36"/>
      <c r="B24" s="38"/>
      <c r="C24" s="38"/>
      <c r="D24" s="38"/>
      <c r="E24" s="38"/>
      <c r="F24" s="38"/>
      <c r="H24" s="53"/>
      <c r="I24" s="3"/>
    </row>
    <row r="25" spans="1:9" ht="28.8" x14ac:dyDescent="0.3">
      <c r="A25" s="36" t="s">
        <v>138</v>
      </c>
      <c r="B25" s="39">
        <f>B19+B22</f>
        <v>33540540</v>
      </c>
      <c r="C25" s="39">
        <f>C19+C22</f>
        <v>36393880</v>
      </c>
      <c r="D25" s="39">
        <f>D19+D22</f>
        <v>38556280</v>
      </c>
      <c r="E25" s="39">
        <f>E19+E22</f>
        <v>40727200</v>
      </c>
      <c r="F25" s="39">
        <f>F19+F22+F15-F17</f>
        <v>42887396</v>
      </c>
      <c r="H25" s="54" t="s">
        <v>152</v>
      </c>
      <c r="I25" s="55">
        <f>I9-J9</f>
        <v>3768456</v>
      </c>
    </row>
    <row r="26" spans="1:9" x14ac:dyDescent="0.3">
      <c r="A26" s="36" t="s">
        <v>139</v>
      </c>
      <c r="B26" s="38">
        <f>B16+B20+B23</f>
        <v>42828555.840000004</v>
      </c>
      <c r="C26" s="38">
        <f>C16+C20+C23</f>
        <v>38025225.840000004</v>
      </c>
      <c r="D26" s="38">
        <f>D16+D20+D23</f>
        <v>34203925.840000004</v>
      </c>
      <c r="E26" s="38">
        <f>E16+E20+E23</f>
        <v>30549385.84</v>
      </c>
      <c r="F26" s="38">
        <f>F16+F20+F23</f>
        <v>27300391.84</v>
      </c>
    </row>
    <row r="27" spans="1:9" x14ac:dyDescent="0.3">
      <c r="A27" s="36"/>
      <c r="B27" s="38"/>
      <c r="C27" s="38"/>
      <c r="D27" s="38"/>
      <c r="E27" s="38"/>
      <c r="F27" s="38"/>
    </row>
    <row r="28" spans="1:9" x14ac:dyDescent="0.3">
      <c r="A28" s="56" t="s">
        <v>140</v>
      </c>
      <c r="B28" s="64">
        <f>$M$9-B26</f>
        <v>4757614.3299999982</v>
      </c>
      <c r="C28" s="64">
        <f>$M$9-C26</f>
        <v>9560944.3299999982</v>
      </c>
      <c r="D28" s="64">
        <f>$M$9-D26</f>
        <v>13382244.329999998</v>
      </c>
      <c r="E28" s="64">
        <f>$M$9-E26</f>
        <v>17036784.330000002</v>
      </c>
      <c r="F28" s="64">
        <f t="shared" ref="F28" si="8">$M$9-F26</f>
        <v>20285778.330000002</v>
      </c>
    </row>
    <row r="29" spans="1:9" x14ac:dyDescent="0.3">
      <c r="A29" s="56" t="s">
        <v>141</v>
      </c>
      <c r="B29" s="57">
        <f>B28/$M$9</f>
        <v>9.9978929025041935E-2</v>
      </c>
      <c r="C29" s="57">
        <f>C28/$M$9</f>
        <v>0.20091855040747855</v>
      </c>
      <c r="D29" s="57">
        <f>D28/$M$9</f>
        <v>0.28122129354374131</v>
      </c>
      <c r="E29" s="57">
        <f>E28/$M$9</f>
        <v>0.35801965716376544</v>
      </c>
      <c r="F29" s="57">
        <f>F28/$M$9</f>
        <v>0.42629567072806523</v>
      </c>
    </row>
    <row r="30" spans="1:9" ht="43.2" customHeight="1" x14ac:dyDescent="0.3">
      <c r="A30" s="65" t="s">
        <v>153</v>
      </c>
      <c r="B30" s="66">
        <f>B25+B$17</f>
        <v>34340268</v>
      </c>
      <c r="C30" s="66">
        <f>C25+C$17</f>
        <v>37193608</v>
      </c>
      <c r="D30" s="66">
        <f>D25+D$17</f>
        <v>39356008</v>
      </c>
      <c r="E30" s="66">
        <f>E25+E$17</f>
        <v>41526928</v>
      </c>
      <c r="F30" s="66">
        <f>F25+F$17</f>
        <v>43456940</v>
      </c>
    </row>
    <row r="31" spans="1:9" ht="32.4" customHeight="1" x14ac:dyDescent="0.3">
      <c r="A31" s="65" t="s">
        <v>144</v>
      </c>
      <c r="B31" s="66">
        <f>B30-$N$9</f>
        <v>-1604032</v>
      </c>
      <c r="C31" s="66">
        <f t="shared" ref="C31:F31" si="9">C30-$N$9</f>
        <v>1249308</v>
      </c>
      <c r="D31" s="66">
        <f t="shared" si="9"/>
        <v>3411708</v>
      </c>
      <c r="E31" s="66">
        <f t="shared" si="9"/>
        <v>5582628</v>
      </c>
      <c r="F31" s="66">
        <f t="shared" si="9"/>
        <v>7512640</v>
      </c>
    </row>
    <row r="32" spans="1:9" ht="28.8" x14ac:dyDescent="0.3">
      <c r="A32" s="65" t="s">
        <v>145</v>
      </c>
      <c r="B32" s="67">
        <f>B31/$N$9</f>
        <v>-4.462548999424109E-2</v>
      </c>
      <c r="C32" s="67">
        <f t="shared" ref="C32:F32" si="10">C31/$N$9</f>
        <v>3.4756776456906939E-2</v>
      </c>
      <c r="D32" s="67">
        <f t="shared" si="10"/>
        <v>9.491652362126958E-2</v>
      </c>
      <c r="E32" s="67">
        <f t="shared" si="10"/>
        <v>0.15531330419565828</v>
      </c>
      <c r="F32" s="67">
        <f t="shared" si="10"/>
        <v>0.20900782599744605</v>
      </c>
    </row>
    <row r="33" spans="1:6" ht="28.8" x14ac:dyDescent="0.3">
      <c r="A33" s="58" t="s">
        <v>144</v>
      </c>
      <c r="B33" s="59">
        <f>B25-$N$9</f>
        <v>-2403760</v>
      </c>
      <c r="C33" s="59">
        <f>C25-$N$9</f>
        <v>449580</v>
      </c>
      <c r="D33" s="59">
        <f>D25-$N$9</f>
        <v>2611980</v>
      </c>
      <c r="E33" s="59">
        <f>E25-$N$9</f>
        <v>4782900</v>
      </c>
      <c r="F33" s="59">
        <f>F25-$N$9</f>
        <v>6943096</v>
      </c>
    </row>
    <row r="34" spans="1:6" ht="28.8" x14ac:dyDescent="0.3">
      <c r="A34" s="58" t="s">
        <v>145</v>
      </c>
      <c r="B34" s="60">
        <f>B33/$N$9</f>
        <v>-6.6874580948856982E-2</v>
      </c>
      <c r="C34" s="60">
        <f t="shared" ref="C34:E34" si="11">C33/$N$9</f>
        <v>1.2507685502291045E-2</v>
      </c>
      <c r="D34" s="60">
        <f t="shared" si="11"/>
        <v>7.2667432666653681E-2</v>
      </c>
      <c r="E34" s="60">
        <f t="shared" si="11"/>
        <v>0.1330642132410424</v>
      </c>
      <c r="F34" s="60">
        <f>F33/$N$9</f>
        <v>0.1931626433120133</v>
      </c>
    </row>
    <row r="35" spans="1:6" ht="28.8" x14ac:dyDescent="0.3">
      <c r="A35" s="61" t="s">
        <v>142</v>
      </c>
      <c r="B35" s="62">
        <f>B25-N9</f>
        <v>-2403760</v>
      </c>
      <c r="C35" s="62">
        <f>C25-B25</f>
        <v>2853340</v>
      </c>
      <c r="D35" s="62">
        <f>D25-C25</f>
        <v>2162400</v>
      </c>
      <c r="E35" s="62">
        <f>E25-D25</f>
        <v>2170920</v>
      </c>
      <c r="F35" s="62">
        <f>F25-E25</f>
        <v>2160196</v>
      </c>
    </row>
    <row r="36" spans="1:6" ht="28.8" x14ac:dyDescent="0.3">
      <c r="A36" s="61" t="s">
        <v>143</v>
      </c>
      <c r="B36" s="63">
        <f>B35/N9</f>
        <v>-6.6874580948856982E-2</v>
      </c>
      <c r="C36" s="63">
        <f>C35/B25</f>
        <v>8.5071379292044794E-2</v>
      </c>
      <c r="D36" s="63">
        <f>D35/C25</f>
        <v>5.9416583227729497E-2</v>
      </c>
      <c r="E36" s="63">
        <f>E35/D25</f>
        <v>5.6305224466675727E-2</v>
      </c>
      <c r="F36" s="63">
        <f>F35/E25</f>
        <v>5.3040621501109823E-2</v>
      </c>
    </row>
  </sheetData>
  <autoFilter ref="A1:V1" xr:uid="{85E42F50-C462-4B81-83E5-4C8B5BA2C0F1}">
    <sortState xmlns:xlrd2="http://schemas.microsoft.com/office/spreadsheetml/2017/richdata2" ref="A2:V9">
      <sortCondition descending="1" ref="D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73DC-2294-4AF5-A07B-04000A256511}">
  <dimension ref="A2:M26"/>
  <sheetViews>
    <sheetView topLeftCell="D1" workbookViewId="0">
      <selection activeCell="L4" sqref="L4"/>
    </sheetView>
  </sheetViews>
  <sheetFormatPr defaultRowHeight="14.4" x14ac:dyDescent="0.3"/>
  <cols>
    <col min="1" max="1" width="14.5546875" bestFit="1" customWidth="1"/>
    <col min="2" max="2" width="16.77734375" bestFit="1" customWidth="1"/>
    <col min="3" max="3" width="18.5546875" bestFit="1" customWidth="1"/>
    <col min="4" max="4" width="27.21875" bestFit="1" customWidth="1"/>
    <col min="5" max="5" width="19.6640625" bestFit="1" customWidth="1"/>
    <col min="6" max="6" width="18.21875" style="24" bestFit="1" customWidth="1"/>
    <col min="7" max="7" width="23.5546875" bestFit="1" customWidth="1"/>
    <col min="8" max="8" width="17.77734375" bestFit="1" customWidth="1"/>
    <col min="9" max="9" width="10" bestFit="1" customWidth="1"/>
    <col min="10" max="10" width="18.88671875" bestFit="1" customWidth="1"/>
    <col min="11" max="11" width="17.77734375" bestFit="1" customWidth="1"/>
    <col min="12" max="12" width="9.33203125" bestFit="1" customWidth="1"/>
    <col min="13" max="13" width="23.33203125" bestFit="1" customWidth="1"/>
  </cols>
  <sheetData>
    <row r="2" spans="1:12" ht="28.8" x14ac:dyDescent="0.3">
      <c r="A2" t="s">
        <v>77</v>
      </c>
      <c r="B2" t="s">
        <v>79</v>
      </c>
      <c r="C2" t="s">
        <v>81</v>
      </c>
      <c r="D2" t="s">
        <v>84</v>
      </c>
      <c r="E2" t="s">
        <v>85</v>
      </c>
      <c r="F2" s="33" t="s">
        <v>90</v>
      </c>
      <c r="G2" s="26" t="s">
        <v>172</v>
      </c>
      <c r="H2" s="27" t="s">
        <v>173</v>
      </c>
      <c r="I2" s="27" t="s">
        <v>174</v>
      </c>
      <c r="J2" s="26" t="s">
        <v>83</v>
      </c>
      <c r="K2" s="27" t="s">
        <v>86</v>
      </c>
      <c r="L2" s="27" t="s">
        <v>89</v>
      </c>
    </row>
    <row r="3" spans="1:12" x14ac:dyDescent="0.3">
      <c r="A3" s="20" t="s">
        <v>14</v>
      </c>
      <c r="B3">
        <v>284500</v>
      </c>
      <c r="C3">
        <v>569000</v>
      </c>
      <c r="D3">
        <v>7527250</v>
      </c>
      <c r="E3">
        <v>5815000</v>
      </c>
    </row>
    <row r="4" spans="1:12" x14ac:dyDescent="0.3">
      <c r="A4" s="23" t="s">
        <v>19</v>
      </c>
      <c r="B4">
        <v>265000</v>
      </c>
      <c r="C4">
        <v>530000</v>
      </c>
      <c r="D4">
        <v>7420000</v>
      </c>
      <c r="E4">
        <v>5035000</v>
      </c>
      <c r="J4">
        <f>GETPIVOTDATA("Sum of Volume (L)",$A$2,"Country","England","Product Name","Diesel C3X")*0.97</f>
        <v>257050</v>
      </c>
      <c r="K4">
        <f>J4*'Product Mapping'!$H$9</f>
        <v>3598700</v>
      </c>
      <c r="L4">
        <f>J4*'Product Mapping'!$F$9</f>
        <v>7197400</v>
      </c>
    </row>
    <row r="5" spans="1:12" x14ac:dyDescent="0.3">
      <c r="A5" s="23" t="s">
        <v>17</v>
      </c>
      <c r="B5">
        <v>19500</v>
      </c>
      <c r="C5">
        <v>39000</v>
      </c>
      <c r="D5">
        <v>107250</v>
      </c>
      <c r="E5">
        <v>780000</v>
      </c>
      <c r="F5" s="24">
        <f>GETPIVOTDATA("Sum of Km Travelled",$A$2,"Country","England","Product Name","Diesel C3X")/3000*30</f>
        <v>5300</v>
      </c>
      <c r="G5">
        <f>GETPIVOTDATA("Sum of Km Travelled",$A$2,"Country","England","Product Name","Diesel C3X")/7500*30</f>
        <v>2120</v>
      </c>
      <c r="H5">
        <f>G5*'Product Mapping'!$H$5</f>
        <v>14416</v>
      </c>
      <c r="I5">
        <f>G5*'Product Mapping'!$F$5</f>
        <v>127200</v>
      </c>
    </row>
    <row r="6" spans="1:12" x14ac:dyDescent="0.3">
      <c r="A6" s="20" t="s">
        <v>25</v>
      </c>
      <c r="B6">
        <v>349000</v>
      </c>
      <c r="C6">
        <v>698000</v>
      </c>
      <c r="D6">
        <v>9217000</v>
      </c>
      <c r="E6">
        <v>7206000</v>
      </c>
    </row>
    <row r="7" spans="1:12" x14ac:dyDescent="0.3">
      <c r="A7" s="23" t="s">
        <v>19</v>
      </c>
      <c r="B7">
        <v>324000</v>
      </c>
      <c r="C7">
        <v>648000</v>
      </c>
      <c r="D7">
        <v>9072000</v>
      </c>
      <c r="E7">
        <v>6156000</v>
      </c>
      <c r="J7">
        <f>GETPIVOTDATA("Sum of Volume (L)",$A$2,"Country","France","Product Name","Diesel C3X")*0.97</f>
        <v>314280</v>
      </c>
      <c r="K7">
        <f>J7*'Product Mapping'!$H$9</f>
        <v>4399920</v>
      </c>
      <c r="L7">
        <f>J7*'Product Mapping'!$F$9</f>
        <v>8799840</v>
      </c>
    </row>
    <row r="8" spans="1:12" x14ac:dyDescent="0.3">
      <c r="A8" s="23" t="s">
        <v>22</v>
      </c>
      <c r="B8">
        <v>25000</v>
      </c>
      <c r="C8">
        <v>50000</v>
      </c>
      <c r="D8">
        <v>145000</v>
      </c>
      <c r="E8">
        <v>1050000</v>
      </c>
      <c r="F8" s="24">
        <f>GETPIVOTDATA("Sum of Km Travelled",$A$2,"Country","France","Product Name","Diesel C3X")/3500*30</f>
        <v>5554.2857142857138</v>
      </c>
      <c r="G8">
        <f>GETPIVOTDATA("Sum of Km Travelled",$A$2,"Country","France","Product Name","Diesel C3X")/7500*30</f>
        <v>2592</v>
      </c>
      <c r="H8">
        <f>G8*'Product Mapping'!$H$5</f>
        <v>17625.599999999999</v>
      </c>
      <c r="I8">
        <f>G8*'Product Mapping'!$F$5</f>
        <v>155520</v>
      </c>
    </row>
    <row r="9" spans="1:12" x14ac:dyDescent="0.3">
      <c r="A9" s="20" t="s">
        <v>33</v>
      </c>
      <c r="B9">
        <v>337000</v>
      </c>
      <c r="C9">
        <v>674000</v>
      </c>
      <c r="D9">
        <v>9173750</v>
      </c>
      <c r="E9">
        <v>6627000</v>
      </c>
    </row>
    <row r="10" spans="1:12" x14ac:dyDescent="0.3">
      <c r="A10" s="23" t="s">
        <v>23</v>
      </c>
      <c r="B10">
        <v>311500</v>
      </c>
      <c r="C10">
        <v>623000</v>
      </c>
      <c r="D10">
        <v>9033500</v>
      </c>
      <c r="E10">
        <v>5607000</v>
      </c>
      <c r="J10">
        <f>GETPIVOTDATA("Sum of Volume (L)",$A$2,"Country","Germany","Product Name","Diesel C2")*0.97</f>
        <v>302155</v>
      </c>
      <c r="K10">
        <f>J10*'Product Mapping'!$H$9</f>
        <v>4230170</v>
      </c>
      <c r="L10">
        <f>J10*'Product Mapping'!$F$9</f>
        <v>8460340</v>
      </c>
    </row>
    <row r="11" spans="1:12" x14ac:dyDescent="0.3">
      <c r="A11" s="23" t="s">
        <v>17</v>
      </c>
      <c r="B11">
        <v>25500</v>
      </c>
      <c r="C11">
        <v>51000</v>
      </c>
      <c r="D11">
        <v>140250</v>
      </c>
      <c r="E11">
        <v>1020000</v>
      </c>
      <c r="F11" s="24">
        <f>GETPIVOTDATA("Sum of Km Travelled",$A$2,"Country","Germany","Product Name","Diesel C2")/3000*30</f>
        <v>6230</v>
      </c>
      <c r="G11">
        <f>GETPIVOTDATA("Sum of Km Travelled",$A$2,"Country","Germany","Product Name","Diesel C2")/7500*30</f>
        <v>2492</v>
      </c>
      <c r="H11">
        <f>G11*'Product Mapping'!$H$5</f>
        <v>16945.599999999999</v>
      </c>
      <c r="I11">
        <f>G11*'Product Mapping'!$F$5</f>
        <v>149520</v>
      </c>
    </row>
    <row r="12" spans="1:12" x14ac:dyDescent="0.3">
      <c r="A12" s="20" t="s">
        <v>27</v>
      </c>
      <c r="B12">
        <v>250200</v>
      </c>
      <c r="C12">
        <v>500400</v>
      </c>
      <c r="D12">
        <v>6945600</v>
      </c>
      <c r="E12">
        <v>4794000</v>
      </c>
    </row>
    <row r="13" spans="1:12" x14ac:dyDescent="0.3">
      <c r="A13" s="23" t="s">
        <v>23</v>
      </c>
      <c r="B13">
        <v>237000</v>
      </c>
      <c r="C13">
        <v>474000</v>
      </c>
      <c r="D13">
        <v>6873000</v>
      </c>
      <c r="E13">
        <v>4266000</v>
      </c>
      <c r="J13">
        <f>GETPIVOTDATA("Sum of Volume (L)",$A$2,"Country","Ireland","Product Name","Diesel C2")*0.97</f>
        <v>229890</v>
      </c>
      <c r="K13">
        <f>J13*'Product Mapping'!$H$9</f>
        <v>3218460</v>
      </c>
      <c r="L13">
        <f>J13*'Product Mapping'!$F$9</f>
        <v>6436920</v>
      </c>
    </row>
    <row r="14" spans="1:12" x14ac:dyDescent="0.3">
      <c r="A14" s="23" t="s">
        <v>17</v>
      </c>
      <c r="B14">
        <v>13200</v>
      </c>
      <c r="C14">
        <v>26400</v>
      </c>
      <c r="D14">
        <v>72600</v>
      </c>
      <c r="E14">
        <v>528000</v>
      </c>
      <c r="F14" s="24">
        <f>GETPIVOTDATA("Sum of Km Travelled",$A$2,"Country","Ireland","Product Name","Diesel C2")/3000*30</f>
        <v>4740</v>
      </c>
      <c r="G14">
        <f>GETPIVOTDATA("Sum of Km Travelled",$A$2,"Country","Ireland","Product Name","Diesel C2")/7500*30</f>
        <v>1896</v>
      </c>
      <c r="H14">
        <f>G14*'Product Mapping'!$H$5</f>
        <v>12892.8</v>
      </c>
      <c r="I14">
        <f>G14*'Product Mapping'!$F$5</f>
        <v>113760</v>
      </c>
    </row>
    <row r="15" spans="1:12" x14ac:dyDescent="0.3">
      <c r="A15" s="20" t="s">
        <v>29</v>
      </c>
      <c r="B15">
        <v>145300</v>
      </c>
      <c r="C15">
        <v>290600</v>
      </c>
      <c r="D15">
        <v>3884140</v>
      </c>
      <c r="E15">
        <v>2951600</v>
      </c>
    </row>
    <row r="16" spans="1:12" x14ac:dyDescent="0.3">
      <c r="A16" s="23" t="s">
        <v>19</v>
      </c>
      <c r="B16">
        <v>137000</v>
      </c>
      <c r="C16">
        <v>274000</v>
      </c>
      <c r="D16">
        <v>3836000</v>
      </c>
      <c r="E16">
        <v>2603000</v>
      </c>
      <c r="J16">
        <f>GETPIVOTDATA("Sum of Volume (L)",$A$2,"Country","Norway","Product Name","Diesel C3X")*0.97</f>
        <v>132890</v>
      </c>
      <c r="K16">
        <f>J16*'Product Mapping'!$H$9</f>
        <v>1860460</v>
      </c>
      <c r="L16">
        <f>J16*'Product Mapping'!$F$9</f>
        <v>3720920</v>
      </c>
    </row>
    <row r="17" spans="1:13" x14ac:dyDescent="0.3">
      <c r="A17" s="23" t="s">
        <v>22</v>
      </c>
      <c r="B17">
        <v>8300</v>
      </c>
      <c r="C17">
        <v>16600</v>
      </c>
      <c r="D17">
        <v>48140</v>
      </c>
      <c r="E17">
        <v>348600</v>
      </c>
      <c r="F17" s="24">
        <f>GETPIVOTDATA("Sum of Km Travelled",$A$2,"Country","Norway","Product Name","Diesel C3X")/3500*30</f>
        <v>2348.5714285714289</v>
      </c>
      <c r="G17">
        <f>GETPIVOTDATA("Sum of Km Travelled",$A$2,"Country","Norway","Product Name","Diesel C3X")/7500*30</f>
        <v>1096</v>
      </c>
      <c r="H17">
        <f>G17*'Product Mapping'!$H$5</f>
        <v>7452.8</v>
      </c>
      <c r="I17">
        <f>G17*'Product Mapping'!$F$5</f>
        <v>65760</v>
      </c>
    </row>
    <row r="18" spans="1:13" x14ac:dyDescent="0.3">
      <c r="A18" s="20" t="s">
        <v>21</v>
      </c>
      <c r="B18">
        <v>225200</v>
      </c>
      <c r="C18">
        <v>450400</v>
      </c>
      <c r="D18">
        <v>6194400</v>
      </c>
      <c r="E18">
        <v>4401600</v>
      </c>
    </row>
    <row r="19" spans="1:13" x14ac:dyDescent="0.3">
      <c r="A19" s="23" t="s">
        <v>23</v>
      </c>
      <c r="B19">
        <v>210700</v>
      </c>
      <c r="C19">
        <v>421400</v>
      </c>
      <c r="D19">
        <v>6110300</v>
      </c>
      <c r="E19">
        <v>3792600</v>
      </c>
      <c r="J19">
        <f>GETPIVOTDATA("Sum of Volume (L)",$A$2,"Country","Scotland","Product Name","Diesel C2")*0.97</f>
        <v>204379</v>
      </c>
      <c r="K19">
        <f>J19*'Product Mapping'!$H$9</f>
        <v>2861306</v>
      </c>
      <c r="L19">
        <f>J19*'Product Mapping'!$F$9</f>
        <v>5722612</v>
      </c>
    </row>
    <row r="20" spans="1:13" x14ac:dyDescent="0.3">
      <c r="A20" s="23" t="s">
        <v>22</v>
      </c>
      <c r="B20">
        <v>14500</v>
      </c>
      <c r="C20">
        <v>29000</v>
      </c>
      <c r="D20">
        <v>84100</v>
      </c>
      <c r="E20">
        <v>609000</v>
      </c>
      <c r="F20" s="24">
        <f>GETPIVOTDATA("Sum of Km Travelled",$A$2,"Country","Scotland","Product Name","Diesel C2")/3500*30</f>
        <v>3612</v>
      </c>
      <c r="G20">
        <f>GETPIVOTDATA("Sum of Km Travelled",$A$2,"Country","Scotland","Product Name","Diesel C2")/7500*30</f>
        <v>1685.6</v>
      </c>
      <c r="H20">
        <f>G20*'Product Mapping'!$H$5</f>
        <v>11462.08</v>
      </c>
      <c r="I20">
        <f>G20*'Product Mapping'!$F$5</f>
        <v>101136</v>
      </c>
    </row>
    <row r="21" spans="1:13" x14ac:dyDescent="0.3">
      <c r="A21" s="20" t="s">
        <v>31</v>
      </c>
      <c r="B21">
        <v>198700</v>
      </c>
      <c r="C21">
        <v>397400</v>
      </c>
      <c r="D21">
        <v>5163100</v>
      </c>
      <c r="E21">
        <v>4149100</v>
      </c>
    </row>
    <row r="22" spans="1:13" x14ac:dyDescent="0.3">
      <c r="A22" s="23" t="s">
        <v>19</v>
      </c>
      <c r="B22">
        <v>180900</v>
      </c>
      <c r="C22">
        <v>361800</v>
      </c>
      <c r="D22">
        <v>5065200</v>
      </c>
      <c r="E22">
        <v>3437100</v>
      </c>
      <c r="J22">
        <f>GETPIVOTDATA("Sum of Volume (L)",$A$2,"Country","Wales","Product Name","Diesel C3X")*0.97</f>
        <v>175473</v>
      </c>
      <c r="K22">
        <f>J22*'Product Mapping'!$H$9</f>
        <v>2456622</v>
      </c>
      <c r="L22">
        <f>J22*'Product Mapping'!$F$9</f>
        <v>4913244</v>
      </c>
    </row>
    <row r="23" spans="1:13" x14ac:dyDescent="0.3">
      <c r="A23" s="23" t="s">
        <v>17</v>
      </c>
      <c r="B23">
        <v>17800</v>
      </c>
      <c r="C23">
        <v>35600</v>
      </c>
      <c r="D23">
        <v>97900</v>
      </c>
      <c r="E23">
        <v>712000</v>
      </c>
      <c r="F23" s="24">
        <f>GETPIVOTDATA("Sum of Km Travelled",$A$2,"Country","Wales","Product Name","Diesel C3X")/3000*30</f>
        <v>3618</v>
      </c>
      <c r="G23">
        <f>GETPIVOTDATA("Sum of Km Travelled",$A$2,"Country","Wales","Product Name","Diesel C3X")/7500*30</f>
        <v>1447.2</v>
      </c>
      <c r="H23">
        <f>G23*'Product Mapping'!$H$5</f>
        <v>9840.9600000000009</v>
      </c>
      <c r="I23">
        <f>G23*'Product Mapping'!$F$5</f>
        <v>86832</v>
      </c>
    </row>
    <row r="24" spans="1:13" x14ac:dyDescent="0.3">
      <c r="A24" s="20" t="s">
        <v>78</v>
      </c>
      <c r="B24">
        <v>1789900</v>
      </c>
      <c r="C24">
        <v>3579800</v>
      </c>
      <c r="D24">
        <v>48105240</v>
      </c>
      <c r="E24">
        <v>35944300</v>
      </c>
      <c r="F24" s="34">
        <f>SUM(F5:F23)</f>
        <v>31402.857142857141</v>
      </c>
      <c r="G24" s="25">
        <f>SUM(G5:G23)</f>
        <v>13328.800000000001</v>
      </c>
      <c r="H24" s="34">
        <f>SUM(H4:H23)</f>
        <v>90635.840000000011</v>
      </c>
      <c r="I24" s="25">
        <f>SUM(I5:I23)</f>
        <v>799728</v>
      </c>
      <c r="J24" s="25">
        <f>SUM(J4:J22)</f>
        <v>1616117</v>
      </c>
      <c r="K24" s="25">
        <f>SUM(K4:K23)</f>
        <v>22625638</v>
      </c>
      <c r="L24" s="25">
        <f>SUM(L4:L23)</f>
        <v>45251276</v>
      </c>
      <c r="M24">
        <f>L24+I24</f>
        <v>46051004</v>
      </c>
    </row>
    <row r="26" spans="1:13" x14ac:dyDescent="0.3">
      <c r="K26" s="24"/>
    </row>
  </sheetData>
  <autoFilter ref="F2:L24" xr:uid="{828232E3-6765-405B-ABC4-7D56190A0665}"/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81CE-4B1B-41BE-97E6-DF2B48F5B5CF}">
  <dimension ref="A1:N158"/>
  <sheetViews>
    <sheetView topLeftCell="J1" workbookViewId="0">
      <selection activeCell="M2" sqref="M2"/>
    </sheetView>
  </sheetViews>
  <sheetFormatPr defaultRowHeight="14.4" x14ac:dyDescent="0.3"/>
  <cols>
    <col min="1" max="1" width="14.44140625" bestFit="1" customWidth="1"/>
    <col min="2" max="2" width="17.88671875" bestFit="1" customWidth="1"/>
    <col min="3" max="3" width="16.6640625" bestFit="1" customWidth="1"/>
    <col min="4" max="4" width="14.44140625" bestFit="1" customWidth="1"/>
    <col min="5" max="5" width="10" bestFit="1" customWidth="1"/>
    <col min="6" max="6" width="18" bestFit="1" customWidth="1"/>
    <col min="7" max="7" width="12.88671875" bestFit="1" customWidth="1"/>
    <col min="8" max="8" width="15.44140625" bestFit="1" customWidth="1"/>
    <col min="9" max="9" width="14.6640625" bestFit="1" customWidth="1"/>
    <col min="10" max="10" width="12.44140625" bestFit="1" customWidth="1"/>
    <col min="11" max="11" width="15.33203125" bestFit="1" customWidth="1"/>
    <col min="12" max="12" width="13.77734375" bestFit="1" customWidth="1"/>
    <col min="13" max="13" width="22.77734375" bestFit="1" customWidth="1"/>
    <col min="14" max="14" width="14.109375" style="2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70</v>
      </c>
      <c r="L1" t="s">
        <v>71</v>
      </c>
      <c r="M1" t="s">
        <v>10</v>
      </c>
      <c r="N1" s="21" t="s">
        <v>80</v>
      </c>
    </row>
    <row r="2" spans="1:14" x14ac:dyDescent="0.3">
      <c r="A2" s="14" t="s">
        <v>11</v>
      </c>
      <c r="B2" t="s">
        <v>12</v>
      </c>
      <c r="C2" t="s">
        <v>13</v>
      </c>
      <c r="D2">
        <v>10204958</v>
      </c>
      <c r="E2" t="s">
        <v>14</v>
      </c>
      <c r="F2" t="s">
        <v>15</v>
      </c>
      <c r="G2" t="s">
        <v>16</v>
      </c>
      <c r="H2" t="s">
        <v>17</v>
      </c>
      <c r="I2">
        <v>52005002</v>
      </c>
      <c r="J2" s="3">
        <v>2000</v>
      </c>
      <c r="K2" s="11" cm="1">
        <f t="array" ref="K2">_xlfn.XLOOKUP(I2,'Product Mapping'!$C$3:$C$10,'Product Mapping'!$F$3:$F$10*J2)</f>
        <v>80000</v>
      </c>
      <c r="L2" s="11" cm="1">
        <f t="array" ref="L2">_xlfn.XLOOKUP(I2,'Product Mapping'!$C$3:$C$10,'Product Mapping'!$G$3:$G$10*J2)</f>
        <v>14000</v>
      </c>
      <c r="M2" cm="1">
        <f t="array" ref="M2">_xlfn.XLOOKUP(I2,'Product Mapping'!$C$3:$C$10,'Product Mapping'!$H$3:$H$10*J2)</f>
        <v>11000</v>
      </c>
      <c r="N2" s="21">
        <f>Table14[[#This Row],[Volume (L)]]/0.5</f>
        <v>4000</v>
      </c>
    </row>
    <row r="3" spans="1:14" x14ac:dyDescent="0.3">
      <c r="A3" s="14" t="s">
        <v>11</v>
      </c>
      <c r="B3" t="s">
        <v>12</v>
      </c>
      <c r="C3" t="s">
        <v>13</v>
      </c>
      <c r="D3">
        <v>10204958</v>
      </c>
      <c r="E3" t="s">
        <v>14</v>
      </c>
      <c r="F3" t="s">
        <v>18</v>
      </c>
      <c r="G3" t="s">
        <v>16</v>
      </c>
      <c r="H3" t="s">
        <v>19</v>
      </c>
      <c r="I3">
        <v>60022909</v>
      </c>
      <c r="J3" s="3">
        <v>25000</v>
      </c>
      <c r="K3" s="11" cm="1">
        <f t="array" ref="K3">_xlfn.XLOOKUP(I3,'Product Mapping'!$C$3:$C$10,'Product Mapping'!$F$3:$F$10*J3)</f>
        <v>475000</v>
      </c>
      <c r="L3" s="11" cm="1">
        <f t="array" ref="L3">_xlfn.XLOOKUP(I3,'Product Mapping'!$C$3:$C$10,'Product Mapping'!$G$3:$G$10*J3)</f>
        <v>162500</v>
      </c>
      <c r="M3" cm="1">
        <f t="array" ref="M3">_xlfn.XLOOKUP(I3,'Product Mapping'!$C$3:$C$10,'Product Mapping'!$H$3:$H$10*J3)</f>
        <v>700000</v>
      </c>
      <c r="N3" s="21">
        <f>Table14[[#This Row],[Volume (L)]]/0.5</f>
        <v>50000</v>
      </c>
    </row>
    <row r="4" spans="1:14" x14ac:dyDescent="0.3">
      <c r="A4" s="14" t="s">
        <v>11</v>
      </c>
      <c r="B4" t="s">
        <v>12</v>
      </c>
      <c r="C4" t="s">
        <v>20</v>
      </c>
      <c r="D4">
        <v>10205600</v>
      </c>
      <c r="E4" t="s">
        <v>21</v>
      </c>
      <c r="F4" t="s">
        <v>15</v>
      </c>
      <c r="G4" t="s">
        <v>16</v>
      </c>
      <c r="H4" t="s">
        <v>22</v>
      </c>
      <c r="I4">
        <v>52005050</v>
      </c>
      <c r="J4" s="3">
        <v>1500</v>
      </c>
      <c r="K4" s="11" cm="1">
        <f t="array" ref="K4">_xlfn.XLOOKUP(I4,'Product Mapping'!$C$3:$C$10,'Product Mapping'!$F$3:$F$10*J4)</f>
        <v>63000</v>
      </c>
      <c r="L4" s="11" cm="1">
        <f t="array" ref="L4">_xlfn.XLOOKUP(I4,'Product Mapping'!$C$3:$C$10,'Product Mapping'!$G$3:$G$10*J4)</f>
        <v>12750</v>
      </c>
      <c r="M4" cm="1">
        <f t="array" ref="M4">_xlfn.XLOOKUP(I4,'Product Mapping'!$C$3:$C$10,'Product Mapping'!$H$3:$H$10*J4)</f>
        <v>8700</v>
      </c>
      <c r="N4" s="21">
        <f>Table14[[#This Row],[Volume (L)]]/0.5</f>
        <v>3000</v>
      </c>
    </row>
    <row r="5" spans="1:14" x14ac:dyDescent="0.3">
      <c r="A5" s="14" t="s">
        <v>11</v>
      </c>
      <c r="B5" t="s">
        <v>12</v>
      </c>
      <c r="C5" t="s">
        <v>20</v>
      </c>
      <c r="E5" t="s">
        <v>21</v>
      </c>
      <c r="F5" t="s">
        <v>18</v>
      </c>
      <c r="G5" t="s">
        <v>16</v>
      </c>
      <c r="H5" t="s">
        <v>23</v>
      </c>
      <c r="I5">
        <v>60022300</v>
      </c>
      <c r="J5" s="3">
        <v>18700</v>
      </c>
      <c r="K5" s="11" cm="1">
        <f t="array" ref="K5">_xlfn.XLOOKUP(I5,'Product Mapping'!$C$3:$C$10,'Product Mapping'!$F$3:$F$10*J5)</f>
        <v>336600</v>
      </c>
      <c r="L5" s="11" cm="1">
        <f t="array" ref="L5">_xlfn.XLOOKUP(I5,'Product Mapping'!$C$3:$C$10,'Product Mapping'!$G$3:$G$10*J5)</f>
        <v>112200</v>
      </c>
      <c r="M5" cm="1">
        <f t="array" ref="M5">_xlfn.XLOOKUP(I5,'Product Mapping'!$C$3:$C$10,'Product Mapping'!$H$3:$H$10*J5)</f>
        <v>542300</v>
      </c>
      <c r="N5" s="21">
        <f>Table14[[#This Row],[Volume (L)]]/0.5</f>
        <v>37400</v>
      </c>
    </row>
    <row r="6" spans="1:14" x14ac:dyDescent="0.3">
      <c r="A6" s="14" t="s">
        <v>11</v>
      </c>
      <c r="B6" t="s">
        <v>12</v>
      </c>
      <c r="C6" t="s">
        <v>24</v>
      </c>
      <c r="D6">
        <v>10205252</v>
      </c>
      <c r="E6" t="s">
        <v>25</v>
      </c>
      <c r="F6" t="s">
        <v>15</v>
      </c>
      <c r="G6" t="s">
        <v>16</v>
      </c>
      <c r="H6" t="s">
        <v>22</v>
      </c>
      <c r="I6">
        <v>52005050</v>
      </c>
      <c r="J6" s="3">
        <v>2500</v>
      </c>
      <c r="K6" s="11" cm="1">
        <f t="array" ref="K6">_xlfn.XLOOKUP(I6,'Product Mapping'!$C$3:$C$10,'Product Mapping'!$F$3:$F$10*J6)</f>
        <v>105000</v>
      </c>
      <c r="L6" s="11" cm="1">
        <f t="array" ref="L6">_xlfn.XLOOKUP(I6,'Product Mapping'!$C$3:$C$10,'Product Mapping'!$G$3:$G$10*J6)</f>
        <v>21250</v>
      </c>
      <c r="M6" cm="1">
        <f t="array" ref="M6">_xlfn.XLOOKUP(I6,'Product Mapping'!$C$3:$C$10,'Product Mapping'!$H$3:$H$10*J6)</f>
        <v>14500</v>
      </c>
      <c r="N6" s="21">
        <f>Table14[[#This Row],[Volume (L)]]/0.5</f>
        <v>5000</v>
      </c>
    </row>
    <row r="7" spans="1:14" x14ac:dyDescent="0.3">
      <c r="A7" s="14" t="s">
        <v>11</v>
      </c>
      <c r="B7" t="s">
        <v>12</v>
      </c>
      <c r="C7" t="s">
        <v>24</v>
      </c>
      <c r="D7">
        <v>10205252</v>
      </c>
      <c r="E7" t="s">
        <v>25</v>
      </c>
      <c r="F7" t="s">
        <v>18</v>
      </c>
      <c r="G7" t="s">
        <v>16</v>
      </c>
      <c r="H7" t="s">
        <v>19</v>
      </c>
      <c r="I7">
        <v>60022909</v>
      </c>
      <c r="J7" s="3">
        <v>29000</v>
      </c>
      <c r="K7" s="11" cm="1">
        <f t="array" ref="K7">_xlfn.XLOOKUP(I7,'Product Mapping'!$C$3:$C$10,'Product Mapping'!$F$3:$F$10*J7)</f>
        <v>551000</v>
      </c>
      <c r="L7" s="11" cm="1">
        <f t="array" ref="L7">_xlfn.XLOOKUP(I7,'Product Mapping'!$C$3:$C$10,'Product Mapping'!$G$3:$G$10*J7)</f>
        <v>188500</v>
      </c>
      <c r="M7" cm="1">
        <f t="array" ref="M7">_xlfn.XLOOKUP(I7,'Product Mapping'!$C$3:$C$10,'Product Mapping'!$H$3:$H$10*J7)</f>
        <v>812000</v>
      </c>
      <c r="N7" s="21">
        <f>Table14[[#This Row],[Volume (L)]]/0.5</f>
        <v>58000</v>
      </c>
    </row>
    <row r="8" spans="1:14" x14ac:dyDescent="0.3">
      <c r="A8" s="14" t="s">
        <v>11</v>
      </c>
      <c r="B8" t="s">
        <v>12</v>
      </c>
      <c r="C8" t="s">
        <v>26</v>
      </c>
      <c r="D8">
        <v>10204959</v>
      </c>
      <c r="E8" t="s">
        <v>27</v>
      </c>
      <c r="F8" t="s">
        <v>15</v>
      </c>
      <c r="G8" t="s">
        <v>16</v>
      </c>
      <c r="H8" t="s">
        <v>17</v>
      </c>
      <c r="I8">
        <v>52005002</v>
      </c>
      <c r="J8" s="3">
        <v>1200</v>
      </c>
      <c r="K8" s="11" cm="1">
        <f t="array" ref="K8">_xlfn.XLOOKUP(I8,'Product Mapping'!$C$3:$C$10,'Product Mapping'!$F$3:$F$10*J8)</f>
        <v>48000</v>
      </c>
      <c r="L8" s="11" cm="1">
        <f t="array" ref="L8">_xlfn.XLOOKUP(I8,'Product Mapping'!$C$3:$C$10,'Product Mapping'!$G$3:$G$10*J8)</f>
        <v>8400</v>
      </c>
      <c r="M8" cm="1">
        <f t="array" ref="M8">_xlfn.XLOOKUP(I8,'Product Mapping'!$C$3:$C$10,'Product Mapping'!$H$3:$H$10*J8)</f>
        <v>6600</v>
      </c>
      <c r="N8" s="21">
        <f>Table14[[#This Row],[Volume (L)]]/0.5</f>
        <v>2400</v>
      </c>
    </row>
    <row r="9" spans="1:14" x14ac:dyDescent="0.3">
      <c r="A9" s="14" t="s">
        <v>11</v>
      </c>
      <c r="B9" t="s">
        <v>12</v>
      </c>
      <c r="C9" t="s">
        <v>72</v>
      </c>
      <c r="D9">
        <v>10204959</v>
      </c>
      <c r="E9" t="s">
        <v>27</v>
      </c>
      <c r="F9" t="s">
        <v>18</v>
      </c>
      <c r="G9" t="s">
        <v>16</v>
      </c>
      <c r="H9" t="s">
        <v>23</v>
      </c>
      <c r="I9">
        <v>60022300</v>
      </c>
      <c r="J9" s="3">
        <v>22000</v>
      </c>
      <c r="K9" s="11" cm="1">
        <f t="array" ref="K9">_xlfn.XLOOKUP(I9,'Product Mapping'!$C$3:$C$10,'Product Mapping'!$F$3:$F$10*J9)</f>
        <v>396000</v>
      </c>
      <c r="L9" s="11" cm="1">
        <f t="array" ref="L9">_xlfn.XLOOKUP(I9,'Product Mapping'!$C$3:$C$10,'Product Mapping'!$G$3:$G$10*J9)</f>
        <v>132000</v>
      </c>
      <c r="M9" cm="1">
        <f t="array" ref="M9">_xlfn.XLOOKUP(I9,'Product Mapping'!$C$3:$C$10,'Product Mapping'!$H$3:$H$10*J9)</f>
        <v>638000</v>
      </c>
      <c r="N9" s="21">
        <f>Table14[[#This Row],[Volume (L)]]/0.5</f>
        <v>44000</v>
      </c>
    </row>
    <row r="10" spans="1:14" x14ac:dyDescent="0.3">
      <c r="A10" s="14" t="s">
        <v>11</v>
      </c>
      <c r="B10" t="s">
        <v>12</v>
      </c>
      <c r="C10" t="s">
        <v>28</v>
      </c>
      <c r="D10">
        <v>10205590</v>
      </c>
      <c r="E10" t="s">
        <v>29</v>
      </c>
      <c r="F10" t="s">
        <v>15</v>
      </c>
      <c r="G10" t="s">
        <v>16</v>
      </c>
      <c r="H10" t="s">
        <v>22</v>
      </c>
      <c r="I10">
        <v>52005050</v>
      </c>
      <c r="J10" s="3">
        <v>800</v>
      </c>
      <c r="K10" s="11" cm="1">
        <f t="array" ref="K10">_xlfn.XLOOKUP(I10,'Product Mapping'!$C$3:$C$10,'Product Mapping'!$F$3:$F$10*J10)</f>
        <v>33600</v>
      </c>
      <c r="L10" s="11" cm="1">
        <f t="array" ref="L10">_xlfn.XLOOKUP(I10,'Product Mapping'!$C$3:$C$10,'Product Mapping'!$G$3:$G$10*J10)</f>
        <v>6800</v>
      </c>
      <c r="M10" cm="1">
        <f t="array" ref="M10">_xlfn.XLOOKUP(I10,'Product Mapping'!$C$3:$C$10,'Product Mapping'!$H$3:$H$10*J10)</f>
        <v>4640</v>
      </c>
      <c r="N10" s="21">
        <f>Table14[[#This Row],[Volume (L)]]/0.5</f>
        <v>1600</v>
      </c>
    </row>
    <row r="11" spans="1:14" x14ac:dyDescent="0.3">
      <c r="A11" s="14" t="s">
        <v>11</v>
      </c>
      <c r="B11" t="s">
        <v>12</v>
      </c>
      <c r="C11" t="s">
        <v>28</v>
      </c>
      <c r="D11">
        <v>10205590</v>
      </c>
      <c r="E11" t="s">
        <v>29</v>
      </c>
      <c r="F11" t="s">
        <v>18</v>
      </c>
      <c r="G11" t="s">
        <v>16</v>
      </c>
      <c r="H11" t="s">
        <v>19</v>
      </c>
      <c r="I11">
        <v>60022909</v>
      </c>
      <c r="J11" s="3">
        <v>12000</v>
      </c>
      <c r="K11" s="11" cm="1">
        <f t="array" ref="K11">_xlfn.XLOOKUP(I11,'Product Mapping'!$C$3:$C$10,'Product Mapping'!$F$3:$F$10*J11)</f>
        <v>228000</v>
      </c>
      <c r="L11" s="11" cm="1">
        <f t="array" ref="L11">_xlfn.XLOOKUP(I11,'Product Mapping'!$C$3:$C$10,'Product Mapping'!$G$3:$G$10*J11)</f>
        <v>78000</v>
      </c>
      <c r="M11" cm="1">
        <f t="array" ref="M11">_xlfn.XLOOKUP(I11,'Product Mapping'!$C$3:$C$10,'Product Mapping'!$H$3:$H$10*J11)</f>
        <v>336000</v>
      </c>
      <c r="N11" s="21">
        <f>Table14[[#This Row],[Volume (L)]]/0.5</f>
        <v>24000</v>
      </c>
    </row>
    <row r="12" spans="1:14" x14ac:dyDescent="0.3">
      <c r="A12" s="14" t="s">
        <v>11</v>
      </c>
      <c r="B12" t="s">
        <v>12</v>
      </c>
      <c r="C12" t="s">
        <v>30</v>
      </c>
      <c r="D12">
        <v>10204957</v>
      </c>
      <c r="E12" t="s">
        <v>31</v>
      </c>
      <c r="F12" t="s">
        <v>15</v>
      </c>
      <c r="G12" t="s">
        <v>16</v>
      </c>
      <c r="H12" t="s">
        <v>17</v>
      </c>
      <c r="I12">
        <v>52005002</v>
      </c>
      <c r="J12" s="3">
        <v>1800</v>
      </c>
      <c r="K12" s="11" cm="1">
        <f t="array" ref="K12">_xlfn.XLOOKUP(I12,'Product Mapping'!$C$3:$C$10,'Product Mapping'!$F$3:$F$10*J12)</f>
        <v>72000</v>
      </c>
      <c r="L12" s="11" cm="1">
        <f t="array" ref="L12">_xlfn.XLOOKUP(I12,'Product Mapping'!$C$3:$C$10,'Product Mapping'!$G$3:$G$10*J12)</f>
        <v>12600</v>
      </c>
      <c r="M12" cm="1">
        <f t="array" ref="M12">_xlfn.XLOOKUP(I12,'Product Mapping'!$C$3:$C$10,'Product Mapping'!$H$3:$H$10*J12)</f>
        <v>9900</v>
      </c>
      <c r="N12" s="21">
        <f>Table14[[#This Row],[Volume (L)]]/0.5</f>
        <v>3600</v>
      </c>
    </row>
    <row r="13" spans="1:14" x14ac:dyDescent="0.3">
      <c r="A13" s="14" t="s">
        <v>11</v>
      </c>
      <c r="B13" t="s">
        <v>12</v>
      </c>
      <c r="C13" t="s">
        <v>30</v>
      </c>
      <c r="D13">
        <v>10204957</v>
      </c>
      <c r="E13" t="s">
        <v>31</v>
      </c>
      <c r="F13" t="s">
        <v>18</v>
      </c>
      <c r="G13" t="s">
        <v>16</v>
      </c>
      <c r="H13" t="s">
        <v>19</v>
      </c>
      <c r="I13">
        <v>60022909</v>
      </c>
      <c r="J13" s="3">
        <v>16900</v>
      </c>
      <c r="K13" s="11" cm="1">
        <f t="array" ref="K13">_xlfn.XLOOKUP(I13,'Product Mapping'!$C$3:$C$10,'Product Mapping'!$F$3:$F$10*J13)</f>
        <v>321100</v>
      </c>
      <c r="L13" s="11" cm="1">
        <f t="array" ref="L13">_xlfn.XLOOKUP(I13,'Product Mapping'!$C$3:$C$10,'Product Mapping'!$G$3:$G$10*J13)</f>
        <v>109850</v>
      </c>
      <c r="M13" cm="1">
        <f t="array" ref="M13">_xlfn.XLOOKUP(I13,'Product Mapping'!$C$3:$C$10,'Product Mapping'!$H$3:$H$10*J13)</f>
        <v>473200</v>
      </c>
      <c r="N13" s="21">
        <f>Table14[[#This Row],[Volume (L)]]/0.5</f>
        <v>33800</v>
      </c>
    </row>
    <row r="14" spans="1:14" x14ac:dyDescent="0.3">
      <c r="A14" s="14" t="s">
        <v>11</v>
      </c>
      <c r="B14" t="s">
        <v>12</v>
      </c>
      <c r="C14" t="s">
        <v>32</v>
      </c>
      <c r="D14">
        <v>10204980</v>
      </c>
      <c r="E14" t="s">
        <v>33</v>
      </c>
      <c r="F14" t="s">
        <v>15</v>
      </c>
      <c r="G14" t="s">
        <v>16</v>
      </c>
      <c r="H14" t="s">
        <v>17</v>
      </c>
      <c r="I14">
        <v>52005002</v>
      </c>
      <c r="J14" s="3">
        <v>2500</v>
      </c>
      <c r="K14" s="11" cm="1">
        <f t="array" ref="K14">_xlfn.XLOOKUP(I14,'Product Mapping'!$C$3:$C$10,'Product Mapping'!$F$3:$F$10*J14)</f>
        <v>100000</v>
      </c>
      <c r="L14" s="11" cm="1">
        <f t="array" ref="L14">_xlfn.XLOOKUP(I14,'Product Mapping'!$C$3:$C$10,'Product Mapping'!$G$3:$G$10*J14)</f>
        <v>17500</v>
      </c>
      <c r="M14" cm="1">
        <f t="array" ref="M14">_xlfn.XLOOKUP(I14,'Product Mapping'!$C$3:$C$10,'Product Mapping'!$H$3:$H$10*J14)</f>
        <v>13750</v>
      </c>
      <c r="N14" s="21">
        <f>Table14[[#This Row],[Volume (L)]]/0.5</f>
        <v>5000</v>
      </c>
    </row>
    <row r="15" spans="1:14" x14ac:dyDescent="0.3">
      <c r="A15" s="14" t="s">
        <v>11</v>
      </c>
      <c r="B15" t="s">
        <v>12</v>
      </c>
      <c r="C15" t="s">
        <v>73</v>
      </c>
      <c r="E15" t="s">
        <v>33</v>
      </c>
      <c r="F15" t="s">
        <v>18</v>
      </c>
      <c r="G15" t="s">
        <v>16</v>
      </c>
      <c r="H15" t="s">
        <v>23</v>
      </c>
      <c r="I15">
        <v>60022300</v>
      </c>
      <c r="J15" s="3">
        <v>28000</v>
      </c>
      <c r="K15" s="11" cm="1">
        <f t="array" ref="K15">_xlfn.XLOOKUP(I15,'Product Mapping'!$C$3:$C$10,'Product Mapping'!$F$3:$F$10*J15)</f>
        <v>504000</v>
      </c>
      <c r="L15" s="11" cm="1">
        <f t="array" ref="L15">_xlfn.XLOOKUP(I15,'Product Mapping'!$C$3:$C$10,'Product Mapping'!$G$3:$G$10*J15)</f>
        <v>168000</v>
      </c>
      <c r="M15" cm="1">
        <f t="array" ref="M15">_xlfn.XLOOKUP(I15,'Product Mapping'!$C$3:$C$10,'Product Mapping'!$H$3:$H$10*J15)</f>
        <v>812000</v>
      </c>
      <c r="N15" s="21">
        <f>Table14[[#This Row],[Volume (L)]]/0.5</f>
        <v>56000</v>
      </c>
    </row>
    <row r="16" spans="1:14" x14ac:dyDescent="0.3">
      <c r="A16" s="14" t="s">
        <v>34</v>
      </c>
      <c r="B16" t="s">
        <v>12</v>
      </c>
      <c r="C16" t="s">
        <v>13</v>
      </c>
      <c r="D16">
        <v>10204958</v>
      </c>
      <c r="E16" t="s">
        <v>14</v>
      </c>
      <c r="F16" t="s">
        <v>15</v>
      </c>
      <c r="G16" t="s">
        <v>16</v>
      </c>
      <c r="H16" t="s">
        <v>17</v>
      </c>
      <c r="I16">
        <v>52005002</v>
      </c>
      <c r="J16" s="3">
        <v>1500</v>
      </c>
      <c r="K16" s="11" cm="1">
        <f t="array" ref="K16">_xlfn.XLOOKUP(I16,'Product Mapping'!$C$3:$C$10,'Product Mapping'!$F$3:$F$10*J16)</f>
        <v>60000</v>
      </c>
      <c r="L16" s="11" cm="1">
        <f t="array" ref="L16">_xlfn.XLOOKUP(I16,'Product Mapping'!$C$3:$C$10,'Product Mapping'!$G$3:$G$10*J16)</f>
        <v>10500</v>
      </c>
      <c r="M16" cm="1">
        <f t="array" ref="M16">_xlfn.XLOOKUP(I16,'Product Mapping'!$C$3:$C$10,'Product Mapping'!$H$3:$H$10*J16)</f>
        <v>8250</v>
      </c>
      <c r="N16" s="21">
        <f>Table14[[#This Row],[Volume (L)]]/0.5</f>
        <v>3000</v>
      </c>
    </row>
    <row r="17" spans="1:14" x14ac:dyDescent="0.3">
      <c r="A17" s="14" t="s">
        <v>34</v>
      </c>
      <c r="B17" t="s">
        <v>12</v>
      </c>
      <c r="C17" t="s">
        <v>13</v>
      </c>
      <c r="D17">
        <v>10204958</v>
      </c>
      <c r="E17" t="s">
        <v>14</v>
      </c>
      <c r="F17" t="s">
        <v>18</v>
      </c>
      <c r="G17" t="s">
        <v>16</v>
      </c>
      <c r="H17" t="s">
        <v>19</v>
      </c>
      <c r="I17">
        <v>60022909</v>
      </c>
      <c r="J17" s="3">
        <v>23000</v>
      </c>
      <c r="K17" s="11" cm="1">
        <f t="array" ref="K17">_xlfn.XLOOKUP(I17,'Product Mapping'!$C$3:$C$10,'Product Mapping'!$F$3:$F$10*J17)</f>
        <v>437000</v>
      </c>
      <c r="L17" s="11" cm="1">
        <f t="array" ref="L17">_xlfn.XLOOKUP(I17,'Product Mapping'!$C$3:$C$10,'Product Mapping'!$G$3:$G$10*J17)</f>
        <v>149500</v>
      </c>
      <c r="M17" cm="1">
        <f t="array" ref="M17">_xlfn.XLOOKUP(I17,'Product Mapping'!$C$3:$C$10,'Product Mapping'!$H$3:$H$10*J17)</f>
        <v>644000</v>
      </c>
      <c r="N17" s="21">
        <f>Table14[[#This Row],[Volume (L)]]/0.5</f>
        <v>46000</v>
      </c>
    </row>
    <row r="18" spans="1:14" x14ac:dyDescent="0.3">
      <c r="A18" s="14" t="s">
        <v>34</v>
      </c>
      <c r="B18" t="s">
        <v>12</v>
      </c>
      <c r="C18" t="s">
        <v>20</v>
      </c>
      <c r="D18">
        <v>10205600</v>
      </c>
      <c r="E18" t="s">
        <v>21</v>
      </c>
      <c r="F18" t="s">
        <v>15</v>
      </c>
      <c r="G18" t="s">
        <v>16</v>
      </c>
      <c r="H18" t="s">
        <v>22</v>
      </c>
      <c r="I18">
        <v>52005050</v>
      </c>
      <c r="J18" s="3">
        <v>1100</v>
      </c>
      <c r="K18" s="11" cm="1">
        <f t="array" ref="K18">_xlfn.XLOOKUP(I18,'Product Mapping'!$C$3:$C$10,'Product Mapping'!$F$3:$F$10*J18)</f>
        <v>46200</v>
      </c>
      <c r="L18" s="11" cm="1">
        <f t="array" ref="L18">_xlfn.XLOOKUP(I18,'Product Mapping'!$C$3:$C$10,'Product Mapping'!$G$3:$G$10*J18)</f>
        <v>9350</v>
      </c>
      <c r="M18" cm="1">
        <f t="array" ref="M18">_xlfn.XLOOKUP(I18,'Product Mapping'!$C$3:$C$10,'Product Mapping'!$H$3:$H$10*J18)</f>
        <v>6380</v>
      </c>
      <c r="N18" s="21">
        <f>Table14[[#This Row],[Volume (L)]]/0.5</f>
        <v>2200</v>
      </c>
    </row>
    <row r="19" spans="1:14" x14ac:dyDescent="0.3">
      <c r="A19" s="14" t="s">
        <v>34</v>
      </c>
      <c r="B19" t="s">
        <v>12</v>
      </c>
      <c r="C19" t="s">
        <v>74</v>
      </c>
      <c r="D19">
        <v>10205600</v>
      </c>
      <c r="E19" t="s">
        <v>21</v>
      </c>
      <c r="F19" t="s">
        <v>18</v>
      </c>
      <c r="G19" t="s">
        <v>16</v>
      </c>
      <c r="H19" t="s">
        <v>23</v>
      </c>
      <c r="I19">
        <v>60022300</v>
      </c>
      <c r="J19" s="3">
        <v>19700</v>
      </c>
      <c r="K19" s="11" cm="1">
        <f t="array" ref="K19">_xlfn.XLOOKUP(I19,'Product Mapping'!$C$3:$C$10,'Product Mapping'!$F$3:$F$10*J19)</f>
        <v>354600</v>
      </c>
      <c r="L19" s="11" cm="1">
        <f t="array" ref="L19">_xlfn.XLOOKUP(I19,'Product Mapping'!$C$3:$C$10,'Product Mapping'!$G$3:$G$10*J19)</f>
        <v>118200</v>
      </c>
      <c r="M19" cm="1">
        <f t="array" ref="M19">_xlfn.XLOOKUP(I19,'Product Mapping'!$C$3:$C$10,'Product Mapping'!$H$3:$H$10*J19)</f>
        <v>571300</v>
      </c>
      <c r="N19" s="21">
        <f>Table14[[#This Row],[Volume (L)]]/0.5</f>
        <v>39400</v>
      </c>
    </row>
    <row r="20" spans="1:14" x14ac:dyDescent="0.3">
      <c r="A20" s="14" t="s">
        <v>34</v>
      </c>
      <c r="B20" t="s">
        <v>12</v>
      </c>
      <c r="C20" t="s">
        <v>24</v>
      </c>
      <c r="D20">
        <v>10205252</v>
      </c>
      <c r="E20" t="s">
        <v>25</v>
      </c>
      <c r="F20" t="s">
        <v>15</v>
      </c>
      <c r="G20" t="s">
        <v>16</v>
      </c>
      <c r="H20" t="s">
        <v>22</v>
      </c>
      <c r="I20">
        <v>52005050</v>
      </c>
      <c r="J20" s="3">
        <v>2000</v>
      </c>
      <c r="K20" s="11" cm="1">
        <f t="array" ref="K20">_xlfn.XLOOKUP(I20,'Product Mapping'!$C$3:$C$10,'Product Mapping'!$F$3:$F$10*J20)</f>
        <v>84000</v>
      </c>
      <c r="L20" s="11" cm="1">
        <f t="array" ref="L20">_xlfn.XLOOKUP(I20,'Product Mapping'!$C$3:$C$10,'Product Mapping'!$G$3:$G$10*J20)</f>
        <v>17000</v>
      </c>
      <c r="M20" cm="1">
        <f t="array" ref="M20">_xlfn.XLOOKUP(I20,'Product Mapping'!$C$3:$C$10,'Product Mapping'!$H$3:$H$10*J20)</f>
        <v>11600</v>
      </c>
      <c r="N20" s="21">
        <f>Table14[[#This Row],[Volume (L)]]/0.5</f>
        <v>4000</v>
      </c>
    </row>
    <row r="21" spans="1:14" x14ac:dyDescent="0.3">
      <c r="A21" s="14" t="s">
        <v>34</v>
      </c>
      <c r="B21" t="s">
        <v>12</v>
      </c>
      <c r="C21" t="s">
        <v>24</v>
      </c>
      <c r="D21">
        <v>10205252</v>
      </c>
      <c r="E21" t="s">
        <v>25</v>
      </c>
      <c r="F21" t="s">
        <v>18</v>
      </c>
      <c r="G21" t="s">
        <v>16</v>
      </c>
      <c r="H21" t="s">
        <v>19</v>
      </c>
      <c r="I21">
        <v>60022909</v>
      </c>
      <c r="J21" s="3">
        <v>30000</v>
      </c>
      <c r="K21" s="11" cm="1">
        <f t="array" ref="K21">_xlfn.XLOOKUP(I21,'Product Mapping'!$C$3:$C$10,'Product Mapping'!$F$3:$F$10*J21)</f>
        <v>570000</v>
      </c>
      <c r="L21" s="11" cm="1">
        <f t="array" ref="L21">_xlfn.XLOOKUP(I21,'Product Mapping'!$C$3:$C$10,'Product Mapping'!$G$3:$G$10*J21)</f>
        <v>195000</v>
      </c>
      <c r="M21" cm="1">
        <f t="array" ref="M21">_xlfn.XLOOKUP(I21,'Product Mapping'!$C$3:$C$10,'Product Mapping'!$H$3:$H$10*J21)</f>
        <v>840000</v>
      </c>
      <c r="N21" s="21">
        <f>Table14[[#This Row],[Volume (L)]]/0.5</f>
        <v>60000</v>
      </c>
    </row>
    <row r="22" spans="1:14" x14ac:dyDescent="0.3">
      <c r="A22" s="14" t="s">
        <v>34</v>
      </c>
      <c r="B22" t="s">
        <v>12</v>
      </c>
      <c r="C22" t="s">
        <v>26</v>
      </c>
      <c r="D22">
        <v>10204959</v>
      </c>
      <c r="E22" t="s">
        <v>27</v>
      </c>
      <c r="F22" t="s">
        <v>15</v>
      </c>
      <c r="G22" t="s">
        <v>16</v>
      </c>
      <c r="H22" t="s">
        <v>17</v>
      </c>
      <c r="I22">
        <v>52005002</v>
      </c>
      <c r="J22" s="3">
        <v>1200</v>
      </c>
      <c r="K22" s="11" cm="1">
        <f t="array" ref="K22">_xlfn.XLOOKUP(I22,'Product Mapping'!$C$3:$C$10,'Product Mapping'!$F$3:$F$10*J22)</f>
        <v>48000</v>
      </c>
      <c r="L22" s="11" cm="1">
        <f t="array" ref="L22">_xlfn.XLOOKUP(I22,'Product Mapping'!$C$3:$C$10,'Product Mapping'!$G$3:$G$10*J22)</f>
        <v>8400</v>
      </c>
      <c r="M22" cm="1">
        <f t="array" ref="M22">_xlfn.XLOOKUP(I22,'Product Mapping'!$C$3:$C$10,'Product Mapping'!$H$3:$H$10*J22)</f>
        <v>6600</v>
      </c>
      <c r="N22" s="21">
        <f>Table14[[#This Row],[Volume (L)]]/0.5</f>
        <v>2400</v>
      </c>
    </row>
    <row r="23" spans="1:14" x14ac:dyDescent="0.3">
      <c r="A23" s="14" t="s">
        <v>34</v>
      </c>
      <c r="B23" t="s">
        <v>12</v>
      </c>
      <c r="C23" t="s">
        <v>26</v>
      </c>
      <c r="D23">
        <v>10204959</v>
      </c>
      <c r="E23" t="s">
        <v>27</v>
      </c>
      <c r="F23" t="s">
        <v>18</v>
      </c>
      <c r="G23" t="s">
        <v>16</v>
      </c>
      <c r="H23" t="s">
        <v>23</v>
      </c>
      <c r="I23">
        <v>60022300</v>
      </c>
      <c r="J23" s="3">
        <v>21000</v>
      </c>
      <c r="K23" s="11" cm="1">
        <f t="array" ref="K23">_xlfn.XLOOKUP(I23,'Product Mapping'!$C$3:$C$10,'Product Mapping'!$F$3:$F$10*J23)</f>
        <v>378000</v>
      </c>
      <c r="L23" s="11" cm="1">
        <f t="array" ref="L23">_xlfn.XLOOKUP(I23,'Product Mapping'!$C$3:$C$10,'Product Mapping'!$G$3:$G$10*J23)</f>
        <v>126000</v>
      </c>
      <c r="M23" cm="1">
        <f t="array" ref="M23">_xlfn.XLOOKUP(I23,'Product Mapping'!$C$3:$C$10,'Product Mapping'!$H$3:$H$10*J23)</f>
        <v>609000</v>
      </c>
      <c r="N23" s="21">
        <f>Table14[[#This Row],[Volume (L)]]/0.5</f>
        <v>42000</v>
      </c>
    </row>
    <row r="24" spans="1:14" x14ac:dyDescent="0.3">
      <c r="A24" s="14" t="s">
        <v>34</v>
      </c>
      <c r="B24" t="s">
        <v>12</v>
      </c>
      <c r="C24" t="s">
        <v>75</v>
      </c>
      <c r="D24">
        <v>10205590</v>
      </c>
      <c r="E24" t="s">
        <v>29</v>
      </c>
      <c r="F24" t="s">
        <v>15</v>
      </c>
      <c r="G24" t="s">
        <v>16</v>
      </c>
      <c r="H24" t="s">
        <v>22</v>
      </c>
      <c r="I24">
        <v>52005050</v>
      </c>
      <c r="J24" s="3">
        <v>700</v>
      </c>
      <c r="K24" s="11" cm="1">
        <f t="array" ref="K24">_xlfn.XLOOKUP(I24,'Product Mapping'!$C$3:$C$10,'Product Mapping'!$F$3:$F$10*J24)</f>
        <v>29400</v>
      </c>
      <c r="L24" s="11" cm="1">
        <f t="array" ref="L24">_xlfn.XLOOKUP(I24,'Product Mapping'!$C$3:$C$10,'Product Mapping'!$G$3:$G$10*J24)</f>
        <v>5950</v>
      </c>
      <c r="M24" cm="1">
        <f t="array" ref="M24">_xlfn.XLOOKUP(I24,'Product Mapping'!$C$3:$C$10,'Product Mapping'!$H$3:$H$10*J24)</f>
        <v>4060</v>
      </c>
      <c r="N24" s="21">
        <f>Table14[[#This Row],[Volume (L)]]/0.5</f>
        <v>1400</v>
      </c>
    </row>
    <row r="25" spans="1:14" x14ac:dyDescent="0.3">
      <c r="A25" s="14" t="s">
        <v>34</v>
      </c>
      <c r="B25" t="s">
        <v>12</v>
      </c>
      <c r="C25" t="s">
        <v>28</v>
      </c>
      <c r="D25">
        <v>10205590</v>
      </c>
      <c r="E25" t="s">
        <v>29</v>
      </c>
      <c r="F25" t="s">
        <v>18</v>
      </c>
      <c r="G25" t="s">
        <v>16</v>
      </c>
      <c r="H25" t="s">
        <v>19</v>
      </c>
      <c r="I25">
        <v>60022909</v>
      </c>
      <c r="J25" s="3">
        <v>13000</v>
      </c>
      <c r="K25" s="11" cm="1">
        <f t="array" ref="K25">_xlfn.XLOOKUP(I25,'Product Mapping'!$C$3:$C$10,'Product Mapping'!$F$3:$F$10*J25)</f>
        <v>247000</v>
      </c>
      <c r="L25" s="11" cm="1">
        <f t="array" ref="L25">_xlfn.XLOOKUP(I25,'Product Mapping'!$C$3:$C$10,'Product Mapping'!$G$3:$G$10*J25)</f>
        <v>84500</v>
      </c>
      <c r="M25" cm="1">
        <f t="array" ref="M25">_xlfn.XLOOKUP(I25,'Product Mapping'!$C$3:$C$10,'Product Mapping'!$H$3:$H$10*J25)</f>
        <v>364000</v>
      </c>
      <c r="N25" s="21">
        <f>Table14[[#This Row],[Volume (L)]]/0.5</f>
        <v>26000</v>
      </c>
    </row>
    <row r="26" spans="1:14" x14ac:dyDescent="0.3">
      <c r="A26" s="14" t="s">
        <v>34</v>
      </c>
      <c r="B26" t="s">
        <v>12</v>
      </c>
      <c r="C26" t="s">
        <v>30</v>
      </c>
      <c r="D26">
        <v>10204957</v>
      </c>
      <c r="E26" t="s">
        <v>31</v>
      </c>
      <c r="F26" t="s">
        <v>15</v>
      </c>
      <c r="G26" t="s">
        <v>16</v>
      </c>
      <c r="H26" t="s">
        <v>17</v>
      </c>
      <c r="I26">
        <v>52005002</v>
      </c>
      <c r="J26" s="3">
        <v>1400</v>
      </c>
      <c r="K26" s="16" cm="1">
        <f t="array" ref="K26">_xlfn.XLOOKUP(I26,'Product Mapping'!$C$3:$C$10,'Product Mapping'!$F$3:$F$10*J26)</f>
        <v>56000</v>
      </c>
      <c r="L26" s="11" cm="1">
        <f t="array" ref="L26">_xlfn.XLOOKUP(I26,'Product Mapping'!$C$3:$C$10,'Product Mapping'!$G$3:$G$10*J26)</f>
        <v>9800</v>
      </c>
      <c r="M26" cm="1">
        <f t="array" ref="M26">_xlfn.XLOOKUP(I26,'Product Mapping'!$C$3:$C$10,'Product Mapping'!$H$3:$H$10*J26)</f>
        <v>7700</v>
      </c>
      <c r="N26" s="21">
        <f>Table14[[#This Row],[Volume (L)]]/0.5</f>
        <v>2800</v>
      </c>
    </row>
    <row r="27" spans="1:14" x14ac:dyDescent="0.3">
      <c r="A27" s="14" t="s">
        <v>34</v>
      </c>
      <c r="B27" t="s">
        <v>12</v>
      </c>
      <c r="C27" t="s">
        <v>30</v>
      </c>
      <c r="D27">
        <v>10204957</v>
      </c>
      <c r="E27" t="s">
        <v>31</v>
      </c>
      <c r="F27" t="s">
        <v>18</v>
      </c>
      <c r="G27" t="s">
        <v>16</v>
      </c>
      <c r="H27" t="s">
        <v>19</v>
      </c>
      <c r="I27">
        <v>60022909</v>
      </c>
      <c r="J27" s="3">
        <v>15900</v>
      </c>
      <c r="K27" s="16" cm="1">
        <f t="array" ref="K27">_xlfn.XLOOKUP(I27,'Product Mapping'!$C$3:$C$10,'Product Mapping'!$F$3:$F$10*J27)</f>
        <v>302100</v>
      </c>
      <c r="L27" s="11" cm="1">
        <f t="array" ref="L27">_xlfn.XLOOKUP(I27,'Product Mapping'!$C$3:$C$10,'Product Mapping'!$G$3:$G$10*J27)</f>
        <v>103350</v>
      </c>
      <c r="M27" cm="1">
        <f t="array" ref="M27">_xlfn.XLOOKUP(I27,'Product Mapping'!$C$3:$C$10,'Product Mapping'!$H$3:$H$10*J27)</f>
        <v>445200</v>
      </c>
      <c r="N27" s="21">
        <f>Table14[[#This Row],[Volume (L)]]/0.5</f>
        <v>31800</v>
      </c>
    </row>
    <row r="28" spans="1:14" x14ac:dyDescent="0.3">
      <c r="A28" s="14" t="s">
        <v>34</v>
      </c>
      <c r="B28" t="s">
        <v>12</v>
      </c>
      <c r="C28" t="s">
        <v>32</v>
      </c>
      <c r="D28">
        <v>10204980</v>
      </c>
      <c r="E28" t="s">
        <v>33</v>
      </c>
      <c r="F28" t="s">
        <v>15</v>
      </c>
      <c r="G28" t="s">
        <v>16</v>
      </c>
      <c r="H28" t="s">
        <v>17</v>
      </c>
      <c r="I28">
        <v>52005002</v>
      </c>
      <c r="J28" s="3">
        <v>2100</v>
      </c>
      <c r="K28" s="16" cm="1">
        <f t="array" ref="K28">_xlfn.XLOOKUP(I28,'Product Mapping'!$C$3:$C$10,'Product Mapping'!$F$3:$F$10*J28)</f>
        <v>84000</v>
      </c>
      <c r="L28" s="11" cm="1">
        <f t="array" ref="L28">_xlfn.XLOOKUP(I28,'Product Mapping'!$C$3:$C$10,'Product Mapping'!$G$3:$G$10*J28)</f>
        <v>14700</v>
      </c>
      <c r="M28" cm="1">
        <f t="array" ref="M28">_xlfn.XLOOKUP(I28,'Product Mapping'!$C$3:$C$10,'Product Mapping'!$H$3:$H$10*J28)</f>
        <v>11550</v>
      </c>
      <c r="N28" s="21">
        <f>Table14[[#This Row],[Volume (L)]]/0.5</f>
        <v>4200</v>
      </c>
    </row>
    <row r="29" spans="1:14" x14ac:dyDescent="0.3">
      <c r="A29" s="14" t="s">
        <v>34</v>
      </c>
      <c r="B29" t="s">
        <v>12</v>
      </c>
      <c r="C29" t="s">
        <v>32</v>
      </c>
      <c r="D29">
        <v>10204980</v>
      </c>
      <c r="E29" t="s">
        <v>33</v>
      </c>
      <c r="F29" t="s">
        <v>18</v>
      </c>
      <c r="G29" t="s">
        <v>16</v>
      </c>
      <c r="H29" t="s">
        <v>23</v>
      </c>
      <c r="I29">
        <v>60022300</v>
      </c>
      <c r="J29" s="3">
        <v>28700</v>
      </c>
      <c r="K29" s="16" cm="1">
        <f t="array" ref="K29">_xlfn.XLOOKUP(I29,'Product Mapping'!$C$3:$C$10,'Product Mapping'!$F$3:$F$10*J29)</f>
        <v>516600</v>
      </c>
      <c r="L29" s="11" cm="1">
        <f t="array" ref="L29">_xlfn.XLOOKUP(I29,'Product Mapping'!$C$3:$C$10,'Product Mapping'!$G$3:$G$10*J29)</f>
        <v>172200</v>
      </c>
      <c r="M29" cm="1">
        <f t="array" ref="M29">_xlfn.XLOOKUP(I29,'Product Mapping'!$C$3:$C$10,'Product Mapping'!$H$3:$H$10*J29)</f>
        <v>832300</v>
      </c>
      <c r="N29" s="21">
        <f>Table14[[#This Row],[Volume (L)]]/0.5</f>
        <v>57400</v>
      </c>
    </row>
    <row r="30" spans="1:14" x14ac:dyDescent="0.3">
      <c r="A30" s="14" t="s">
        <v>35</v>
      </c>
      <c r="B30" t="s">
        <v>12</v>
      </c>
      <c r="C30" t="s">
        <v>13</v>
      </c>
      <c r="D30">
        <v>10204958</v>
      </c>
      <c r="E30" t="s">
        <v>14</v>
      </c>
      <c r="F30" t="s">
        <v>15</v>
      </c>
      <c r="G30" t="s">
        <v>16</v>
      </c>
      <c r="H30" t="s">
        <v>17</v>
      </c>
      <c r="I30">
        <v>52005002</v>
      </c>
      <c r="J30" s="3">
        <v>2000</v>
      </c>
      <c r="K30" s="16" cm="1">
        <f t="array" ref="K30">_xlfn.XLOOKUP(I30,'Product Mapping'!$C$3:$C$10,'Product Mapping'!$F$3:$F$10*J30)</f>
        <v>80000</v>
      </c>
      <c r="L30" s="11" cm="1">
        <f t="array" ref="L30">_xlfn.XLOOKUP(I30,'Product Mapping'!$C$3:$C$10,'Product Mapping'!$G$3:$G$10*J30)</f>
        <v>14000</v>
      </c>
      <c r="M30" cm="1">
        <f t="array" ref="M30">_xlfn.XLOOKUP(I30,'Product Mapping'!$C$3:$C$10,'Product Mapping'!$H$3:$H$10*J30)</f>
        <v>11000</v>
      </c>
      <c r="N30" s="21">
        <f>Table14[[#This Row],[Volume (L)]]/0.5</f>
        <v>4000</v>
      </c>
    </row>
    <row r="31" spans="1:14" x14ac:dyDescent="0.3">
      <c r="A31" s="14" t="s">
        <v>35</v>
      </c>
      <c r="B31" t="s">
        <v>12</v>
      </c>
      <c r="C31" t="s">
        <v>13</v>
      </c>
      <c r="E31" t="s">
        <v>14</v>
      </c>
      <c r="F31" t="s">
        <v>18</v>
      </c>
      <c r="G31" t="s">
        <v>16</v>
      </c>
      <c r="H31" t="s">
        <v>19</v>
      </c>
      <c r="I31">
        <v>60022909</v>
      </c>
      <c r="J31" s="3">
        <v>25000</v>
      </c>
      <c r="K31" s="16" cm="1">
        <f t="array" ref="K31">_xlfn.XLOOKUP(I31,'Product Mapping'!$C$3:$C$10,'Product Mapping'!$F$3:$F$10*J31)</f>
        <v>475000</v>
      </c>
      <c r="L31" s="11" cm="1">
        <f t="array" ref="L31">_xlfn.XLOOKUP(I31,'Product Mapping'!$C$3:$C$10,'Product Mapping'!$G$3:$G$10*J31)</f>
        <v>162500</v>
      </c>
      <c r="M31" cm="1">
        <f t="array" ref="M31">_xlfn.XLOOKUP(I31,'Product Mapping'!$C$3:$C$10,'Product Mapping'!$H$3:$H$10*J31)</f>
        <v>700000</v>
      </c>
      <c r="N31" s="21">
        <f>Table14[[#This Row],[Volume (L)]]/0.5</f>
        <v>50000</v>
      </c>
    </row>
    <row r="32" spans="1:14" x14ac:dyDescent="0.3">
      <c r="A32" s="14" t="s">
        <v>35</v>
      </c>
      <c r="B32" t="s">
        <v>12</v>
      </c>
      <c r="C32" t="s">
        <v>20</v>
      </c>
      <c r="D32">
        <v>10205600</v>
      </c>
      <c r="E32" t="s">
        <v>21</v>
      </c>
      <c r="F32" t="s">
        <v>15</v>
      </c>
      <c r="G32" t="s">
        <v>16</v>
      </c>
      <c r="H32" t="s">
        <v>22</v>
      </c>
      <c r="I32">
        <v>52005050</v>
      </c>
      <c r="J32" s="3">
        <v>1500</v>
      </c>
      <c r="K32" s="16" cm="1">
        <f t="array" ref="K32">_xlfn.XLOOKUP(I32,'Product Mapping'!$C$3:$C$10,'Product Mapping'!$F$3:$F$10*J32)</f>
        <v>63000</v>
      </c>
      <c r="L32" s="11" cm="1">
        <f t="array" ref="L32">_xlfn.XLOOKUP(I32,'Product Mapping'!$C$3:$C$10,'Product Mapping'!$G$3:$G$10*J32)</f>
        <v>12750</v>
      </c>
      <c r="M32" cm="1">
        <f t="array" ref="M32">_xlfn.XLOOKUP(I32,'Product Mapping'!$C$3:$C$10,'Product Mapping'!$H$3:$H$10*J32)</f>
        <v>8700</v>
      </c>
      <c r="N32" s="21">
        <f>Table14[[#This Row],[Volume (L)]]/0.5</f>
        <v>3000</v>
      </c>
    </row>
    <row r="33" spans="1:14" x14ac:dyDescent="0.3">
      <c r="A33" s="14" t="s">
        <v>35</v>
      </c>
      <c r="B33" t="s">
        <v>12</v>
      </c>
      <c r="C33" t="s">
        <v>20</v>
      </c>
      <c r="D33">
        <v>10205600</v>
      </c>
      <c r="E33" t="s">
        <v>21</v>
      </c>
      <c r="F33" t="s">
        <v>18</v>
      </c>
      <c r="G33" t="s">
        <v>16</v>
      </c>
      <c r="H33" t="s">
        <v>23</v>
      </c>
      <c r="I33">
        <v>60022300</v>
      </c>
      <c r="J33" s="3">
        <v>18700</v>
      </c>
      <c r="K33" s="16" cm="1">
        <f t="array" ref="K33">_xlfn.XLOOKUP(I33,'Product Mapping'!$C$3:$C$10,'Product Mapping'!$F$3:$F$10*J33)</f>
        <v>336600</v>
      </c>
      <c r="L33" s="11" cm="1">
        <f t="array" ref="L33">_xlfn.XLOOKUP(I33,'Product Mapping'!$C$3:$C$10,'Product Mapping'!$G$3:$G$10*J33)</f>
        <v>112200</v>
      </c>
      <c r="M33" cm="1">
        <f t="array" ref="M33">_xlfn.XLOOKUP(I33,'Product Mapping'!$C$3:$C$10,'Product Mapping'!$H$3:$H$10*J33)</f>
        <v>542300</v>
      </c>
      <c r="N33" s="21">
        <f>Table14[[#This Row],[Volume (L)]]/0.5</f>
        <v>37400</v>
      </c>
    </row>
    <row r="34" spans="1:14" x14ac:dyDescent="0.3">
      <c r="A34" s="14" t="s">
        <v>35</v>
      </c>
      <c r="B34" t="s">
        <v>12</v>
      </c>
      <c r="C34" t="s">
        <v>76</v>
      </c>
      <c r="D34">
        <v>10205252</v>
      </c>
      <c r="E34" t="s">
        <v>25</v>
      </c>
      <c r="F34" t="s">
        <v>15</v>
      </c>
      <c r="G34" t="s">
        <v>16</v>
      </c>
      <c r="H34" t="s">
        <v>22</v>
      </c>
      <c r="I34">
        <v>52005050</v>
      </c>
      <c r="J34" s="3">
        <v>2500</v>
      </c>
      <c r="K34" s="16" cm="1">
        <f t="array" ref="K34">_xlfn.XLOOKUP(I34,'Product Mapping'!$C$3:$C$10,'Product Mapping'!$F$3:$F$10*J34)</f>
        <v>105000</v>
      </c>
      <c r="L34" s="11" cm="1">
        <f t="array" ref="L34">_xlfn.XLOOKUP(I34,'Product Mapping'!$C$3:$C$10,'Product Mapping'!$G$3:$G$10*J34)</f>
        <v>21250</v>
      </c>
      <c r="M34" cm="1">
        <f t="array" ref="M34">_xlfn.XLOOKUP(I34,'Product Mapping'!$C$3:$C$10,'Product Mapping'!$H$3:$H$10*J34)</f>
        <v>14500</v>
      </c>
      <c r="N34" s="21">
        <f>Table14[[#This Row],[Volume (L)]]/0.5</f>
        <v>5000</v>
      </c>
    </row>
    <row r="35" spans="1:14" x14ac:dyDescent="0.3">
      <c r="A35" s="14" t="s">
        <v>35</v>
      </c>
      <c r="B35" t="s">
        <v>12</v>
      </c>
      <c r="C35" t="s">
        <v>24</v>
      </c>
      <c r="E35" t="s">
        <v>25</v>
      </c>
      <c r="F35" t="s">
        <v>18</v>
      </c>
      <c r="G35" t="s">
        <v>16</v>
      </c>
      <c r="H35" t="s">
        <v>19</v>
      </c>
      <c r="I35">
        <v>60022909</v>
      </c>
      <c r="J35" s="3">
        <v>29000</v>
      </c>
      <c r="K35" s="16" cm="1">
        <f t="array" ref="K35">_xlfn.XLOOKUP(I35,'Product Mapping'!$C$3:$C$10,'Product Mapping'!$F$3:$F$10*J35)</f>
        <v>551000</v>
      </c>
      <c r="L35" s="11" cm="1">
        <f t="array" ref="L35">_xlfn.XLOOKUP(I35,'Product Mapping'!$C$3:$C$10,'Product Mapping'!$G$3:$G$10*J35)</f>
        <v>188500</v>
      </c>
      <c r="M35" cm="1">
        <f t="array" ref="M35">_xlfn.XLOOKUP(I35,'Product Mapping'!$C$3:$C$10,'Product Mapping'!$H$3:$H$10*J35)</f>
        <v>812000</v>
      </c>
      <c r="N35" s="21">
        <f>Table14[[#This Row],[Volume (L)]]/0.5</f>
        <v>58000</v>
      </c>
    </row>
    <row r="36" spans="1:14" x14ac:dyDescent="0.3">
      <c r="A36" s="14" t="s">
        <v>35</v>
      </c>
      <c r="B36" t="s">
        <v>12</v>
      </c>
      <c r="C36" t="s">
        <v>26</v>
      </c>
      <c r="D36">
        <v>10204959</v>
      </c>
      <c r="E36" t="s">
        <v>27</v>
      </c>
      <c r="F36" t="s">
        <v>15</v>
      </c>
      <c r="G36" t="s">
        <v>16</v>
      </c>
      <c r="H36" t="s">
        <v>17</v>
      </c>
      <c r="I36">
        <v>52005002</v>
      </c>
      <c r="J36" s="3">
        <v>1200</v>
      </c>
      <c r="K36" s="16" cm="1">
        <f t="array" ref="K36">_xlfn.XLOOKUP(I36,'Product Mapping'!$C$3:$C$10,'Product Mapping'!$F$3:$F$10*J36)</f>
        <v>48000</v>
      </c>
      <c r="L36" s="11" cm="1">
        <f t="array" ref="L36">_xlfn.XLOOKUP(I36,'Product Mapping'!$C$3:$C$10,'Product Mapping'!$G$3:$G$10*J36)</f>
        <v>8400</v>
      </c>
      <c r="M36" cm="1">
        <f t="array" ref="M36">_xlfn.XLOOKUP(I36,'Product Mapping'!$C$3:$C$10,'Product Mapping'!$H$3:$H$10*J36)</f>
        <v>6600</v>
      </c>
      <c r="N36" s="21">
        <f>Table14[[#This Row],[Volume (L)]]/0.5</f>
        <v>2400</v>
      </c>
    </row>
    <row r="37" spans="1:14" x14ac:dyDescent="0.3">
      <c r="A37" s="14" t="s">
        <v>35</v>
      </c>
      <c r="B37" t="s">
        <v>12</v>
      </c>
      <c r="C37" t="s">
        <v>26</v>
      </c>
      <c r="D37">
        <v>10204959</v>
      </c>
      <c r="E37" t="s">
        <v>27</v>
      </c>
      <c r="F37" t="s">
        <v>18</v>
      </c>
      <c r="G37" t="s">
        <v>16</v>
      </c>
      <c r="H37" t="s">
        <v>23</v>
      </c>
      <c r="I37">
        <v>60022300</v>
      </c>
      <c r="J37" s="3">
        <v>22000</v>
      </c>
      <c r="K37" s="16" cm="1">
        <f t="array" ref="K37">_xlfn.XLOOKUP(I37,'Product Mapping'!$C$3:$C$10,'Product Mapping'!$F$3:$F$10*J37)</f>
        <v>396000</v>
      </c>
      <c r="L37" s="11" cm="1">
        <f t="array" ref="L37">_xlfn.XLOOKUP(I37,'Product Mapping'!$C$3:$C$10,'Product Mapping'!$G$3:$G$10*J37)</f>
        <v>132000</v>
      </c>
      <c r="M37" cm="1">
        <f t="array" ref="M37">_xlfn.XLOOKUP(I37,'Product Mapping'!$C$3:$C$10,'Product Mapping'!$H$3:$H$10*J37)</f>
        <v>638000</v>
      </c>
      <c r="N37" s="21">
        <f>Table14[[#This Row],[Volume (L)]]/0.5</f>
        <v>44000</v>
      </c>
    </row>
    <row r="38" spans="1:14" x14ac:dyDescent="0.3">
      <c r="A38" s="14" t="s">
        <v>35</v>
      </c>
      <c r="B38" t="s">
        <v>12</v>
      </c>
      <c r="C38" t="s">
        <v>28</v>
      </c>
      <c r="D38">
        <v>10205590</v>
      </c>
      <c r="E38" t="s">
        <v>29</v>
      </c>
      <c r="F38" t="s">
        <v>15</v>
      </c>
      <c r="G38" t="s">
        <v>16</v>
      </c>
      <c r="H38" t="s">
        <v>22</v>
      </c>
      <c r="I38">
        <v>52005050</v>
      </c>
      <c r="J38" s="3">
        <v>800</v>
      </c>
      <c r="K38" s="16" cm="1">
        <f t="array" ref="K38">_xlfn.XLOOKUP(I38,'Product Mapping'!$C$3:$C$10,'Product Mapping'!$F$3:$F$10*J38)</f>
        <v>33600</v>
      </c>
      <c r="L38" s="11" cm="1">
        <f t="array" ref="L38">_xlfn.XLOOKUP(I38,'Product Mapping'!$C$3:$C$10,'Product Mapping'!$G$3:$G$10*J38)</f>
        <v>6800</v>
      </c>
      <c r="M38" cm="1">
        <f t="array" ref="M38">_xlfn.XLOOKUP(I38,'Product Mapping'!$C$3:$C$10,'Product Mapping'!$H$3:$H$10*J38)</f>
        <v>4640</v>
      </c>
      <c r="N38" s="21">
        <f>Table14[[#This Row],[Volume (L)]]/0.5</f>
        <v>1600</v>
      </c>
    </row>
    <row r="39" spans="1:14" x14ac:dyDescent="0.3">
      <c r="A39" s="14" t="s">
        <v>35</v>
      </c>
      <c r="B39" t="s">
        <v>12</v>
      </c>
      <c r="C39" t="s">
        <v>28</v>
      </c>
      <c r="D39">
        <v>10205590</v>
      </c>
      <c r="E39" t="s">
        <v>29</v>
      </c>
      <c r="F39" t="s">
        <v>18</v>
      </c>
      <c r="G39" t="s">
        <v>16</v>
      </c>
      <c r="H39" t="s">
        <v>19</v>
      </c>
      <c r="I39">
        <v>60022909</v>
      </c>
      <c r="J39" s="3">
        <v>12000</v>
      </c>
      <c r="K39" s="16" cm="1">
        <f t="array" ref="K39">_xlfn.XLOOKUP(I39,'Product Mapping'!$C$3:$C$10,'Product Mapping'!$F$3:$F$10*J39)</f>
        <v>228000</v>
      </c>
      <c r="L39" s="11" cm="1">
        <f t="array" ref="L39">_xlfn.XLOOKUP(I39,'Product Mapping'!$C$3:$C$10,'Product Mapping'!$G$3:$G$10*J39)</f>
        <v>78000</v>
      </c>
      <c r="M39" cm="1">
        <f t="array" ref="M39">_xlfn.XLOOKUP(I39,'Product Mapping'!$C$3:$C$10,'Product Mapping'!$H$3:$H$10*J39)</f>
        <v>336000</v>
      </c>
      <c r="N39" s="21">
        <f>Table14[[#This Row],[Volume (L)]]/0.5</f>
        <v>24000</v>
      </c>
    </row>
    <row r="40" spans="1:14" x14ac:dyDescent="0.3">
      <c r="A40" s="14" t="s">
        <v>35</v>
      </c>
      <c r="B40" t="s">
        <v>12</v>
      </c>
      <c r="C40" t="s">
        <v>30</v>
      </c>
      <c r="D40">
        <v>10204957</v>
      </c>
      <c r="E40" t="s">
        <v>31</v>
      </c>
      <c r="F40" t="s">
        <v>15</v>
      </c>
      <c r="G40" t="s">
        <v>16</v>
      </c>
      <c r="H40" t="s">
        <v>17</v>
      </c>
      <c r="I40">
        <v>52005002</v>
      </c>
      <c r="J40" s="3">
        <v>1800</v>
      </c>
      <c r="K40" s="16" cm="1">
        <f t="array" ref="K40">_xlfn.XLOOKUP(I40,'Product Mapping'!$C$3:$C$10,'Product Mapping'!$F$3:$F$10*J40)</f>
        <v>72000</v>
      </c>
      <c r="L40" s="11" cm="1">
        <f t="array" ref="L40">_xlfn.XLOOKUP(I40,'Product Mapping'!$C$3:$C$10,'Product Mapping'!$G$3:$G$10*J40)</f>
        <v>12600</v>
      </c>
      <c r="M40" cm="1">
        <f t="array" ref="M40">_xlfn.XLOOKUP(I40,'Product Mapping'!$C$3:$C$10,'Product Mapping'!$H$3:$H$10*J40)</f>
        <v>9900</v>
      </c>
      <c r="N40" s="21">
        <f>Table14[[#This Row],[Volume (L)]]/0.5</f>
        <v>3600</v>
      </c>
    </row>
    <row r="41" spans="1:14" x14ac:dyDescent="0.3">
      <c r="A41" s="14" t="s">
        <v>35</v>
      </c>
      <c r="B41" t="s">
        <v>12</v>
      </c>
      <c r="C41" t="s">
        <v>30</v>
      </c>
      <c r="D41">
        <v>10204957</v>
      </c>
      <c r="E41" t="s">
        <v>31</v>
      </c>
      <c r="F41" t="s">
        <v>18</v>
      </c>
      <c r="G41" t="s">
        <v>16</v>
      </c>
      <c r="H41" t="s">
        <v>19</v>
      </c>
      <c r="I41">
        <v>60022909</v>
      </c>
      <c r="J41" s="3">
        <v>16900</v>
      </c>
      <c r="K41" s="16" cm="1">
        <f t="array" ref="K41">_xlfn.XLOOKUP(I41,'Product Mapping'!$C$3:$C$10,'Product Mapping'!$F$3:$F$10*J41)</f>
        <v>321100</v>
      </c>
      <c r="L41" s="11" cm="1">
        <f t="array" ref="L41">_xlfn.XLOOKUP(I41,'Product Mapping'!$C$3:$C$10,'Product Mapping'!$G$3:$G$10*J41)</f>
        <v>109850</v>
      </c>
      <c r="M41" cm="1">
        <f t="array" ref="M41">_xlfn.XLOOKUP(I41,'Product Mapping'!$C$3:$C$10,'Product Mapping'!$H$3:$H$10*J41)</f>
        <v>473200</v>
      </c>
      <c r="N41" s="21">
        <f>Table14[[#This Row],[Volume (L)]]/0.5</f>
        <v>33800</v>
      </c>
    </row>
    <row r="42" spans="1:14" x14ac:dyDescent="0.3">
      <c r="A42" s="14" t="s">
        <v>35</v>
      </c>
      <c r="B42" t="s">
        <v>12</v>
      </c>
      <c r="C42" t="s">
        <v>32</v>
      </c>
      <c r="D42">
        <v>10204980</v>
      </c>
      <c r="E42" t="s">
        <v>33</v>
      </c>
      <c r="F42" t="s">
        <v>15</v>
      </c>
      <c r="G42" t="s">
        <v>16</v>
      </c>
      <c r="H42" t="s">
        <v>17</v>
      </c>
      <c r="I42">
        <v>52005002</v>
      </c>
      <c r="J42" s="3">
        <v>2500</v>
      </c>
      <c r="K42" s="16" cm="1">
        <f t="array" ref="K42">_xlfn.XLOOKUP(I42,'Product Mapping'!$C$3:$C$10,'Product Mapping'!$F$3:$F$10*J42)</f>
        <v>100000</v>
      </c>
      <c r="L42" s="11" cm="1">
        <f t="array" ref="L42">_xlfn.XLOOKUP(I42,'Product Mapping'!$C$3:$C$10,'Product Mapping'!$G$3:$G$10*J42)</f>
        <v>17500</v>
      </c>
      <c r="M42" cm="1">
        <f t="array" ref="M42">_xlfn.XLOOKUP(I42,'Product Mapping'!$C$3:$C$10,'Product Mapping'!$H$3:$H$10*J42)</f>
        <v>13750</v>
      </c>
      <c r="N42" s="21">
        <f>Table14[[#This Row],[Volume (L)]]/0.5</f>
        <v>5000</v>
      </c>
    </row>
    <row r="43" spans="1:14" x14ac:dyDescent="0.3">
      <c r="A43" s="14" t="s">
        <v>35</v>
      </c>
      <c r="B43" t="s">
        <v>12</v>
      </c>
      <c r="C43" t="s">
        <v>32</v>
      </c>
      <c r="D43">
        <v>10204980</v>
      </c>
      <c r="E43" t="s">
        <v>33</v>
      </c>
      <c r="F43" t="s">
        <v>18</v>
      </c>
      <c r="G43" t="s">
        <v>16</v>
      </c>
      <c r="H43" t="s">
        <v>23</v>
      </c>
      <c r="I43">
        <v>60022300</v>
      </c>
      <c r="J43" s="3">
        <v>28000</v>
      </c>
      <c r="K43" s="16" cm="1">
        <f t="array" ref="K43">_xlfn.XLOOKUP(I43,'Product Mapping'!$C$3:$C$10,'Product Mapping'!$F$3:$F$10*J43)</f>
        <v>504000</v>
      </c>
      <c r="L43" s="11" cm="1">
        <f t="array" ref="L43">_xlfn.XLOOKUP(I43,'Product Mapping'!$C$3:$C$10,'Product Mapping'!$G$3:$G$10*J43)</f>
        <v>168000</v>
      </c>
      <c r="M43" cm="1">
        <f t="array" ref="M43">_xlfn.XLOOKUP(I43,'Product Mapping'!$C$3:$C$10,'Product Mapping'!$H$3:$H$10*J43)</f>
        <v>812000</v>
      </c>
      <c r="N43" s="21">
        <f>Table14[[#This Row],[Volume (L)]]/0.5</f>
        <v>56000</v>
      </c>
    </row>
    <row r="44" spans="1:14" x14ac:dyDescent="0.3">
      <c r="A44" s="14" t="s">
        <v>36</v>
      </c>
      <c r="B44" t="s">
        <v>12</v>
      </c>
      <c r="C44" t="s">
        <v>13</v>
      </c>
      <c r="D44">
        <v>10204958</v>
      </c>
      <c r="E44" t="s">
        <v>14</v>
      </c>
      <c r="F44" t="s">
        <v>15</v>
      </c>
      <c r="G44" t="s">
        <v>16</v>
      </c>
      <c r="H44" t="s">
        <v>17</v>
      </c>
      <c r="I44">
        <v>52005002</v>
      </c>
      <c r="J44" s="3">
        <v>1500</v>
      </c>
      <c r="K44" s="16" cm="1">
        <f t="array" ref="K44">_xlfn.XLOOKUP(I44,'Product Mapping'!$C$3:$C$10,'Product Mapping'!$F$3:$F$10*J44)</f>
        <v>60000</v>
      </c>
      <c r="L44" s="11" cm="1">
        <f t="array" ref="L44">_xlfn.XLOOKUP(I44,'Product Mapping'!$C$3:$C$10,'Product Mapping'!$G$3:$G$10*J44)</f>
        <v>10500</v>
      </c>
      <c r="M44" cm="1">
        <f t="array" ref="M44">_xlfn.XLOOKUP(I44,'Product Mapping'!$C$3:$C$10,'Product Mapping'!$H$3:$H$10*J44)</f>
        <v>8250</v>
      </c>
      <c r="N44" s="21">
        <f>Table14[[#This Row],[Volume (L)]]/0.5</f>
        <v>3000</v>
      </c>
    </row>
    <row r="45" spans="1:14" x14ac:dyDescent="0.3">
      <c r="A45" s="14" t="s">
        <v>36</v>
      </c>
      <c r="B45" t="s">
        <v>12</v>
      </c>
      <c r="C45" t="s">
        <v>13</v>
      </c>
      <c r="D45">
        <v>10204958</v>
      </c>
      <c r="E45" t="s">
        <v>14</v>
      </c>
      <c r="F45" t="s">
        <v>18</v>
      </c>
      <c r="G45" t="s">
        <v>16</v>
      </c>
      <c r="H45" t="s">
        <v>19</v>
      </c>
      <c r="I45">
        <v>60022909</v>
      </c>
      <c r="J45" s="3">
        <v>23000</v>
      </c>
      <c r="K45" s="16" cm="1">
        <f t="array" ref="K45">_xlfn.XLOOKUP(I45,'Product Mapping'!$C$3:$C$10,'Product Mapping'!$F$3:$F$10*J45)</f>
        <v>437000</v>
      </c>
      <c r="L45" s="11" cm="1">
        <f t="array" ref="L45">_xlfn.XLOOKUP(I45,'Product Mapping'!$C$3:$C$10,'Product Mapping'!$G$3:$G$10*J45)</f>
        <v>149500</v>
      </c>
      <c r="M45" cm="1">
        <f t="array" ref="M45">_xlfn.XLOOKUP(I45,'Product Mapping'!$C$3:$C$10,'Product Mapping'!$H$3:$H$10*J45)</f>
        <v>644000</v>
      </c>
      <c r="N45" s="21">
        <f>Table14[[#This Row],[Volume (L)]]/0.5</f>
        <v>46000</v>
      </c>
    </row>
    <row r="46" spans="1:14" x14ac:dyDescent="0.3">
      <c r="A46" s="14" t="s">
        <v>36</v>
      </c>
      <c r="B46" t="s">
        <v>12</v>
      </c>
      <c r="C46" t="s">
        <v>20</v>
      </c>
      <c r="D46">
        <v>10205600</v>
      </c>
      <c r="E46" t="s">
        <v>21</v>
      </c>
      <c r="F46" t="s">
        <v>15</v>
      </c>
      <c r="G46" t="s">
        <v>16</v>
      </c>
      <c r="H46" t="s">
        <v>22</v>
      </c>
      <c r="I46">
        <v>52005050</v>
      </c>
      <c r="J46" s="3">
        <v>1100</v>
      </c>
      <c r="K46" s="16" cm="1">
        <f t="array" ref="K46">_xlfn.XLOOKUP(I46,'Product Mapping'!$C$3:$C$10,'Product Mapping'!$F$3:$F$10*J46)</f>
        <v>46200</v>
      </c>
      <c r="L46" s="11" cm="1">
        <f t="array" ref="L46">_xlfn.XLOOKUP(I46,'Product Mapping'!$C$3:$C$10,'Product Mapping'!$G$3:$G$10*J46)</f>
        <v>9350</v>
      </c>
      <c r="M46" cm="1">
        <f t="array" ref="M46">_xlfn.XLOOKUP(I46,'Product Mapping'!$C$3:$C$10,'Product Mapping'!$H$3:$H$10*J46)</f>
        <v>6380</v>
      </c>
      <c r="N46" s="21">
        <f>Table14[[#This Row],[Volume (L)]]/0.5</f>
        <v>2200</v>
      </c>
    </row>
    <row r="47" spans="1:14" x14ac:dyDescent="0.3">
      <c r="A47" s="14" t="s">
        <v>36</v>
      </c>
      <c r="B47" t="s">
        <v>12</v>
      </c>
      <c r="C47" t="s">
        <v>20</v>
      </c>
      <c r="D47">
        <v>10205600</v>
      </c>
      <c r="E47" t="s">
        <v>21</v>
      </c>
      <c r="F47" t="s">
        <v>18</v>
      </c>
      <c r="G47" t="s">
        <v>16</v>
      </c>
      <c r="H47" t="s">
        <v>23</v>
      </c>
      <c r="I47">
        <v>60022300</v>
      </c>
      <c r="J47" s="3">
        <v>19700</v>
      </c>
      <c r="K47" s="16" cm="1">
        <f t="array" ref="K47">_xlfn.XLOOKUP(I47,'Product Mapping'!$C$3:$C$10,'Product Mapping'!$F$3:$F$10*J47)</f>
        <v>354600</v>
      </c>
      <c r="L47" s="11" cm="1">
        <f t="array" ref="L47">_xlfn.XLOOKUP(I47,'Product Mapping'!$C$3:$C$10,'Product Mapping'!$G$3:$G$10*J47)</f>
        <v>118200</v>
      </c>
      <c r="M47" cm="1">
        <f t="array" ref="M47">_xlfn.XLOOKUP(I47,'Product Mapping'!$C$3:$C$10,'Product Mapping'!$H$3:$H$10*J47)</f>
        <v>571300</v>
      </c>
      <c r="N47" s="21">
        <f>Table14[[#This Row],[Volume (L)]]/0.5</f>
        <v>39400</v>
      </c>
    </row>
    <row r="48" spans="1:14" x14ac:dyDescent="0.3">
      <c r="A48" s="14" t="s">
        <v>36</v>
      </c>
      <c r="B48" t="s">
        <v>12</v>
      </c>
      <c r="C48" t="s">
        <v>24</v>
      </c>
      <c r="D48">
        <v>10205252</v>
      </c>
      <c r="E48" t="s">
        <v>25</v>
      </c>
      <c r="F48" t="s">
        <v>15</v>
      </c>
      <c r="G48" t="s">
        <v>16</v>
      </c>
      <c r="H48" t="s">
        <v>22</v>
      </c>
      <c r="I48">
        <v>52005050</v>
      </c>
      <c r="J48" s="3">
        <v>2000</v>
      </c>
      <c r="K48" s="16" cm="1">
        <f t="array" ref="K48">_xlfn.XLOOKUP(I48,'Product Mapping'!$C$3:$C$10,'Product Mapping'!$F$3:$F$10*J48)</f>
        <v>84000</v>
      </c>
      <c r="L48" s="11" cm="1">
        <f t="array" ref="L48">_xlfn.XLOOKUP(I48,'Product Mapping'!$C$3:$C$10,'Product Mapping'!$G$3:$G$10*J48)</f>
        <v>17000</v>
      </c>
      <c r="M48" cm="1">
        <f t="array" ref="M48">_xlfn.XLOOKUP(I48,'Product Mapping'!$C$3:$C$10,'Product Mapping'!$H$3:$H$10*J48)</f>
        <v>11600</v>
      </c>
      <c r="N48" s="21">
        <f>Table14[[#This Row],[Volume (L)]]/0.5</f>
        <v>4000</v>
      </c>
    </row>
    <row r="49" spans="1:14" x14ac:dyDescent="0.3">
      <c r="A49" s="14" t="s">
        <v>36</v>
      </c>
      <c r="B49" t="s">
        <v>12</v>
      </c>
      <c r="C49" t="s">
        <v>24</v>
      </c>
      <c r="E49" t="s">
        <v>25</v>
      </c>
      <c r="F49" t="s">
        <v>18</v>
      </c>
      <c r="G49" t="s">
        <v>16</v>
      </c>
      <c r="H49" t="s">
        <v>19</v>
      </c>
      <c r="I49">
        <v>60022909</v>
      </c>
      <c r="J49" s="3">
        <v>30000</v>
      </c>
      <c r="K49" s="16" cm="1">
        <f t="array" ref="K49">_xlfn.XLOOKUP(I49,'Product Mapping'!$C$3:$C$10,'Product Mapping'!$F$3:$F$10*J49)</f>
        <v>570000</v>
      </c>
      <c r="L49" s="11" cm="1">
        <f t="array" ref="L49">_xlfn.XLOOKUP(I49,'Product Mapping'!$C$3:$C$10,'Product Mapping'!$G$3:$G$10*J49)</f>
        <v>195000</v>
      </c>
      <c r="M49" cm="1">
        <f t="array" ref="M49">_xlfn.XLOOKUP(I49,'Product Mapping'!$C$3:$C$10,'Product Mapping'!$H$3:$H$10*J49)</f>
        <v>840000</v>
      </c>
      <c r="N49" s="21">
        <f>Table14[[#This Row],[Volume (L)]]/0.5</f>
        <v>60000</v>
      </c>
    </row>
    <row r="50" spans="1:14" x14ac:dyDescent="0.3">
      <c r="A50" s="14" t="s">
        <v>36</v>
      </c>
      <c r="B50" t="s">
        <v>12</v>
      </c>
      <c r="C50" t="s">
        <v>26</v>
      </c>
      <c r="D50">
        <v>10204959</v>
      </c>
      <c r="E50" t="s">
        <v>27</v>
      </c>
      <c r="F50" t="s">
        <v>15</v>
      </c>
      <c r="G50" t="s">
        <v>16</v>
      </c>
      <c r="H50" t="s">
        <v>17</v>
      </c>
      <c r="I50">
        <v>52005002</v>
      </c>
      <c r="J50" s="3">
        <v>1200</v>
      </c>
      <c r="K50" s="16" cm="1">
        <f t="array" ref="K50">_xlfn.XLOOKUP(I50,'Product Mapping'!$C$3:$C$10,'Product Mapping'!$F$3:$F$10*J50)</f>
        <v>48000</v>
      </c>
      <c r="L50" s="11" cm="1">
        <f t="array" ref="L50">_xlfn.XLOOKUP(I50,'Product Mapping'!$C$3:$C$10,'Product Mapping'!$G$3:$G$10*J50)</f>
        <v>8400</v>
      </c>
      <c r="M50" cm="1">
        <f t="array" ref="M50">_xlfn.XLOOKUP(I50,'Product Mapping'!$C$3:$C$10,'Product Mapping'!$H$3:$H$10*J50)</f>
        <v>6600</v>
      </c>
      <c r="N50" s="21">
        <f>Table14[[#This Row],[Volume (L)]]/0.5</f>
        <v>2400</v>
      </c>
    </row>
    <row r="51" spans="1:14" x14ac:dyDescent="0.3">
      <c r="A51" s="14" t="s">
        <v>36</v>
      </c>
      <c r="B51" t="s">
        <v>12</v>
      </c>
      <c r="C51" t="s">
        <v>26</v>
      </c>
      <c r="D51">
        <v>10204959</v>
      </c>
      <c r="E51" t="s">
        <v>27</v>
      </c>
      <c r="F51" t="s">
        <v>18</v>
      </c>
      <c r="G51" t="s">
        <v>16</v>
      </c>
      <c r="H51" t="s">
        <v>23</v>
      </c>
      <c r="I51">
        <v>60022300</v>
      </c>
      <c r="J51" s="3">
        <v>21000</v>
      </c>
      <c r="K51" s="16" cm="1">
        <f t="array" ref="K51">_xlfn.XLOOKUP(I51,'Product Mapping'!$C$3:$C$10,'Product Mapping'!$F$3:$F$10*J51)</f>
        <v>378000</v>
      </c>
      <c r="L51" s="11" cm="1">
        <f t="array" ref="L51">_xlfn.XLOOKUP(I51,'Product Mapping'!$C$3:$C$10,'Product Mapping'!$G$3:$G$10*J51)</f>
        <v>126000</v>
      </c>
      <c r="M51" cm="1">
        <f t="array" ref="M51">_xlfn.XLOOKUP(I51,'Product Mapping'!$C$3:$C$10,'Product Mapping'!$H$3:$H$10*J51)</f>
        <v>609000</v>
      </c>
      <c r="N51" s="21">
        <f>Table14[[#This Row],[Volume (L)]]/0.5</f>
        <v>42000</v>
      </c>
    </row>
    <row r="52" spans="1:14" x14ac:dyDescent="0.3">
      <c r="A52" s="14" t="s">
        <v>36</v>
      </c>
      <c r="B52" t="s">
        <v>12</v>
      </c>
      <c r="C52" t="s">
        <v>28</v>
      </c>
      <c r="D52">
        <v>10205590</v>
      </c>
      <c r="E52" t="s">
        <v>29</v>
      </c>
      <c r="F52" t="s">
        <v>15</v>
      </c>
      <c r="G52" t="s">
        <v>16</v>
      </c>
      <c r="H52" t="s">
        <v>22</v>
      </c>
      <c r="I52">
        <v>52005050</v>
      </c>
      <c r="J52" s="3">
        <v>700</v>
      </c>
      <c r="K52" s="16" cm="1">
        <f t="array" ref="K52">_xlfn.XLOOKUP(I52,'Product Mapping'!$C$3:$C$10,'Product Mapping'!$F$3:$F$10*J52)</f>
        <v>29400</v>
      </c>
      <c r="L52" s="11" cm="1">
        <f t="array" ref="L52">_xlfn.XLOOKUP(I52,'Product Mapping'!$C$3:$C$10,'Product Mapping'!$G$3:$G$10*J52)</f>
        <v>5950</v>
      </c>
      <c r="M52" cm="1">
        <f t="array" ref="M52">_xlfn.XLOOKUP(I52,'Product Mapping'!$C$3:$C$10,'Product Mapping'!$H$3:$H$10*J52)</f>
        <v>4060</v>
      </c>
      <c r="N52" s="21">
        <f>Table14[[#This Row],[Volume (L)]]/0.5</f>
        <v>1400</v>
      </c>
    </row>
    <row r="53" spans="1:14" x14ac:dyDescent="0.3">
      <c r="A53" s="14" t="s">
        <v>36</v>
      </c>
      <c r="B53" t="s">
        <v>12</v>
      </c>
      <c r="C53" t="s">
        <v>28</v>
      </c>
      <c r="D53">
        <v>10205590</v>
      </c>
      <c r="E53" t="s">
        <v>29</v>
      </c>
      <c r="F53" t="s">
        <v>18</v>
      </c>
      <c r="G53" t="s">
        <v>16</v>
      </c>
      <c r="H53" t="s">
        <v>19</v>
      </c>
      <c r="I53">
        <v>60022909</v>
      </c>
      <c r="J53" s="3">
        <v>13000</v>
      </c>
      <c r="K53" s="16" cm="1">
        <f t="array" ref="K53">_xlfn.XLOOKUP(I53,'Product Mapping'!$C$3:$C$10,'Product Mapping'!$F$3:$F$10*J53)</f>
        <v>247000</v>
      </c>
      <c r="L53" s="11" cm="1">
        <f t="array" ref="L53">_xlfn.XLOOKUP(I53,'Product Mapping'!$C$3:$C$10,'Product Mapping'!$G$3:$G$10*J53)</f>
        <v>84500</v>
      </c>
      <c r="M53" cm="1">
        <f t="array" ref="M53">_xlfn.XLOOKUP(I53,'Product Mapping'!$C$3:$C$10,'Product Mapping'!$H$3:$H$10*J53)</f>
        <v>364000</v>
      </c>
      <c r="N53" s="21">
        <f>Table14[[#This Row],[Volume (L)]]/0.5</f>
        <v>26000</v>
      </c>
    </row>
    <row r="54" spans="1:14" x14ac:dyDescent="0.3">
      <c r="A54" s="14" t="s">
        <v>36</v>
      </c>
      <c r="B54" t="s">
        <v>12</v>
      </c>
      <c r="C54" t="s">
        <v>30</v>
      </c>
      <c r="D54">
        <v>10204957</v>
      </c>
      <c r="E54" t="s">
        <v>31</v>
      </c>
      <c r="F54" t="s">
        <v>15</v>
      </c>
      <c r="G54" t="s">
        <v>16</v>
      </c>
      <c r="H54" t="s">
        <v>17</v>
      </c>
      <c r="I54">
        <v>52005002</v>
      </c>
      <c r="J54" s="3">
        <v>1400</v>
      </c>
      <c r="K54" s="16" cm="1">
        <f t="array" ref="K54">_xlfn.XLOOKUP(I54,'Product Mapping'!$C$3:$C$10,'Product Mapping'!$F$3:$F$10*J54)</f>
        <v>56000</v>
      </c>
      <c r="L54" s="11" cm="1">
        <f t="array" ref="L54">_xlfn.XLOOKUP(I54,'Product Mapping'!$C$3:$C$10,'Product Mapping'!$G$3:$G$10*J54)</f>
        <v>9800</v>
      </c>
      <c r="M54" cm="1">
        <f t="array" ref="M54">_xlfn.XLOOKUP(I54,'Product Mapping'!$C$3:$C$10,'Product Mapping'!$H$3:$H$10*J54)</f>
        <v>7700</v>
      </c>
      <c r="N54" s="21">
        <f>Table14[[#This Row],[Volume (L)]]/0.5</f>
        <v>2800</v>
      </c>
    </row>
    <row r="55" spans="1:14" x14ac:dyDescent="0.3">
      <c r="A55" s="14" t="s">
        <v>36</v>
      </c>
      <c r="B55" t="s">
        <v>12</v>
      </c>
      <c r="C55" t="s">
        <v>30</v>
      </c>
      <c r="D55">
        <v>10204957</v>
      </c>
      <c r="E55" t="s">
        <v>31</v>
      </c>
      <c r="F55" t="s">
        <v>18</v>
      </c>
      <c r="G55" t="s">
        <v>16</v>
      </c>
      <c r="H55" t="s">
        <v>19</v>
      </c>
      <c r="I55">
        <v>60022909</v>
      </c>
      <c r="J55" s="3">
        <v>15900</v>
      </c>
      <c r="K55" s="16" cm="1">
        <f t="array" ref="K55">_xlfn.XLOOKUP(I55,'Product Mapping'!$C$3:$C$10,'Product Mapping'!$F$3:$F$10*J55)</f>
        <v>302100</v>
      </c>
      <c r="L55" s="11" cm="1">
        <f t="array" ref="L55">_xlfn.XLOOKUP(I55,'Product Mapping'!$C$3:$C$10,'Product Mapping'!$G$3:$G$10*J55)</f>
        <v>103350</v>
      </c>
      <c r="M55" cm="1">
        <f t="array" ref="M55">_xlfn.XLOOKUP(I55,'Product Mapping'!$C$3:$C$10,'Product Mapping'!$H$3:$H$10*J55)</f>
        <v>445200</v>
      </c>
      <c r="N55" s="21">
        <f>Table14[[#This Row],[Volume (L)]]/0.5</f>
        <v>31800</v>
      </c>
    </row>
    <row r="56" spans="1:14" x14ac:dyDescent="0.3">
      <c r="A56" s="14" t="s">
        <v>36</v>
      </c>
      <c r="B56" t="s">
        <v>12</v>
      </c>
      <c r="C56" t="s">
        <v>32</v>
      </c>
      <c r="D56">
        <v>10204980</v>
      </c>
      <c r="E56" t="s">
        <v>33</v>
      </c>
      <c r="F56" t="s">
        <v>15</v>
      </c>
      <c r="G56" t="s">
        <v>16</v>
      </c>
      <c r="H56" t="s">
        <v>17</v>
      </c>
      <c r="I56">
        <v>52005002</v>
      </c>
      <c r="J56" s="3">
        <v>2100</v>
      </c>
      <c r="K56" s="16" cm="1">
        <f t="array" ref="K56">_xlfn.XLOOKUP(I56,'Product Mapping'!$C$3:$C$10,'Product Mapping'!$F$3:$F$10*J56)</f>
        <v>84000</v>
      </c>
      <c r="L56" s="11" cm="1">
        <f t="array" ref="L56">_xlfn.XLOOKUP(I56,'Product Mapping'!$C$3:$C$10,'Product Mapping'!$G$3:$G$10*J56)</f>
        <v>14700</v>
      </c>
      <c r="M56" cm="1">
        <f t="array" ref="M56">_xlfn.XLOOKUP(I56,'Product Mapping'!$C$3:$C$10,'Product Mapping'!$H$3:$H$10*J56)</f>
        <v>11550</v>
      </c>
      <c r="N56" s="21">
        <f>Table14[[#This Row],[Volume (L)]]/0.5</f>
        <v>4200</v>
      </c>
    </row>
    <row r="57" spans="1:14" x14ac:dyDescent="0.3">
      <c r="A57" s="14" t="s">
        <v>36</v>
      </c>
      <c r="B57" t="s">
        <v>12</v>
      </c>
      <c r="C57" t="s">
        <v>32</v>
      </c>
      <c r="D57">
        <v>10204980</v>
      </c>
      <c r="E57" t="s">
        <v>33</v>
      </c>
      <c r="F57" t="s">
        <v>18</v>
      </c>
      <c r="G57" t="s">
        <v>16</v>
      </c>
      <c r="H57" t="s">
        <v>23</v>
      </c>
      <c r="I57">
        <v>60022300</v>
      </c>
      <c r="J57" s="3">
        <v>28700</v>
      </c>
      <c r="K57" s="16" cm="1">
        <f t="array" ref="K57">_xlfn.XLOOKUP(I57,'Product Mapping'!$C$3:$C$10,'Product Mapping'!$F$3:$F$10*J57)</f>
        <v>516600</v>
      </c>
      <c r="L57" s="11" cm="1">
        <f t="array" ref="L57">_xlfn.XLOOKUP(I57,'Product Mapping'!$C$3:$C$10,'Product Mapping'!$G$3:$G$10*J57)</f>
        <v>172200</v>
      </c>
      <c r="M57" cm="1">
        <f t="array" ref="M57">_xlfn.XLOOKUP(I57,'Product Mapping'!$C$3:$C$10,'Product Mapping'!$H$3:$H$10*J57)</f>
        <v>832300</v>
      </c>
      <c r="N57" s="21">
        <f>Table14[[#This Row],[Volume (L)]]/0.5</f>
        <v>57400</v>
      </c>
    </row>
    <row r="58" spans="1:14" x14ac:dyDescent="0.3">
      <c r="A58" s="14" t="s">
        <v>37</v>
      </c>
      <c r="B58" t="s">
        <v>12</v>
      </c>
      <c r="C58" t="s">
        <v>13</v>
      </c>
      <c r="D58">
        <v>10204958</v>
      </c>
      <c r="E58" t="s">
        <v>14</v>
      </c>
      <c r="F58" t="s">
        <v>15</v>
      </c>
      <c r="G58" t="s">
        <v>16</v>
      </c>
      <c r="H58" t="s">
        <v>17</v>
      </c>
      <c r="I58">
        <v>52005002</v>
      </c>
      <c r="J58" s="3">
        <v>2000</v>
      </c>
      <c r="K58" s="16" cm="1">
        <f t="array" ref="K58">_xlfn.XLOOKUP(I58,'Product Mapping'!$C$3:$C$10,'Product Mapping'!$F$3:$F$10*J58)</f>
        <v>80000</v>
      </c>
      <c r="L58" s="11" cm="1">
        <f t="array" ref="L58">_xlfn.XLOOKUP(I58,'Product Mapping'!$C$3:$C$10,'Product Mapping'!$G$3:$G$10*J58)</f>
        <v>14000</v>
      </c>
      <c r="M58" cm="1">
        <f t="array" ref="M58">_xlfn.XLOOKUP(I58,'Product Mapping'!$C$3:$C$10,'Product Mapping'!$H$3:$H$10*J58)</f>
        <v>11000</v>
      </c>
      <c r="N58" s="21">
        <f>Table14[[#This Row],[Volume (L)]]/0.5</f>
        <v>4000</v>
      </c>
    </row>
    <row r="59" spans="1:14" x14ac:dyDescent="0.3">
      <c r="A59" s="14" t="s">
        <v>37</v>
      </c>
      <c r="B59" t="s">
        <v>12</v>
      </c>
      <c r="C59" t="s">
        <v>13</v>
      </c>
      <c r="D59">
        <v>10204958</v>
      </c>
      <c r="E59" t="s">
        <v>14</v>
      </c>
      <c r="F59" t="s">
        <v>18</v>
      </c>
      <c r="G59" t="s">
        <v>16</v>
      </c>
      <c r="H59" t="s">
        <v>19</v>
      </c>
      <c r="I59">
        <v>60022909</v>
      </c>
      <c r="J59" s="3">
        <v>25000</v>
      </c>
      <c r="K59" s="16" cm="1">
        <f t="array" ref="K59">_xlfn.XLOOKUP(I59,'Product Mapping'!$C$3:$C$10,'Product Mapping'!$F$3:$F$10*J59)</f>
        <v>475000</v>
      </c>
      <c r="L59" s="11" cm="1">
        <f t="array" ref="L59">_xlfn.XLOOKUP(I59,'Product Mapping'!$C$3:$C$10,'Product Mapping'!$G$3:$G$10*J59)</f>
        <v>162500</v>
      </c>
      <c r="M59" cm="1">
        <f t="array" ref="M59">_xlfn.XLOOKUP(I59,'Product Mapping'!$C$3:$C$10,'Product Mapping'!$H$3:$H$10*J59)</f>
        <v>700000</v>
      </c>
      <c r="N59" s="21">
        <f>Table14[[#This Row],[Volume (L)]]/0.5</f>
        <v>50000</v>
      </c>
    </row>
    <row r="60" spans="1:14" x14ac:dyDescent="0.3">
      <c r="A60" s="14" t="s">
        <v>37</v>
      </c>
      <c r="B60" t="s">
        <v>12</v>
      </c>
      <c r="C60" t="s">
        <v>20</v>
      </c>
      <c r="D60">
        <v>10205600</v>
      </c>
      <c r="E60" t="s">
        <v>21</v>
      </c>
      <c r="F60" t="s">
        <v>15</v>
      </c>
      <c r="G60" t="s">
        <v>16</v>
      </c>
      <c r="H60" t="s">
        <v>22</v>
      </c>
      <c r="I60">
        <v>52005050</v>
      </c>
      <c r="J60" s="3">
        <v>1500</v>
      </c>
      <c r="K60" s="16" cm="1">
        <f t="array" ref="K60">_xlfn.XLOOKUP(I60,'Product Mapping'!$C$3:$C$10,'Product Mapping'!$F$3:$F$10*J60)</f>
        <v>63000</v>
      </c>
      <c r="L60" s="11" cm="1">
        <f t="array" ref="L60">_xlfn.XLOOKUP(I60,'Product Mapping'!$C$3:$C$10,'Product Mapping'!$G$3:$G$10*J60)</f>
        <v>12750</v>
      </c>
      <c r="M60" cm="1">
        <f t="array" ref="M60">_xlfn.XLOOKUP(I60,'Product Mapping'!$C$3:$C$10,'Product Mapping'!$H$3:$H$10*J60)</f>
        <v>8700</v>
      </c>
      <c r="N60" s="21">
        <f>Table14[[#This Row],[Volume (L)]]/0.5</f>
        <v>3000</v>
      </c>
    </row>
    <row r="61" spans="1:14" x14ac:dyDescent="0.3">
      <c r="A61" s="14" t="s">
        <v>37</v>
      </c>
      <c r="B61" t="s">
        <v>12</v>
      </c>
      <c r="C61" t="s">
        <v>20</v>
      </c>
      <c r="D61">
        <v>10205600</v>
      </c>
      <c r="E61" t="s">
        <v>21</v>
      </c>
      <c r="F61" t="s">
        <v>18</v>
      </c>
      <c r="G61" t="s">
        <v>16</v>
      </c>
      <c r="H61" t="s">
        <v>23</v>
      </c>
      <c r="I61">
        <v>60022300</v>
      </c>
      <c r="J61" s="3">
        <v>18700</v>
      </c>
      <c r="K61" s="16" cm="1">
        <f t="array" ref="K61">_xlfn.XLOOKUP(I61,'Product Mapping'!$C$3:$C$10,'Product Mapping'!$F$3:$F$10*J61)</f>
        <v>336600</v>
      </c>
      <c r="L61" s="11" cm="1">
        <f t="array" ref="L61">_xlfn.XLOOKUP(I61,'Product Mapping'!$C$3:$C$10,'Product Mapping'!$G$3:$G$10*J61)</f>
        <v>112200</v>
      </c>
      <c r="M61" cm="1">
        <f t="array" ref="M61">_xlfn.XLOOKUP(I61,'Product Mapping'!$C$3:$C$10,'Product Mapping'!$H$3:$H$10*J61)</f>
        <v>542300</v>
      </c>
      <c r="N61" s="21">
        <f>Table14[[#This Row],[Volume (L)]]/0.5</f>
        <v>37400</v>
      </c>
    </row>
    <row r="62" spans="1:14" x14ac:dyDescent="0.3">
      <c r="A62" s="14" t="s">
        <v>37</v>
      </c>
      <c r="B62" t="s">
        <v>12</v>
      </c>
      <c r="C62" t="s">
        <v>24</v>
      </c>
      <c r="D62">
        <v>10205252</v>
      </c>
      <c r="E62" t="s">
        <v>25</v>
      </c>
      <c r="F62" t="s">
        <v>15</v>
      </c>
      <c r="G62" t="s">
        <v>16</v>
      </c>
      <c r="H62" t="s">
        <v>22</v>
      </c>
      <c r="I62">
        <v>52005050</v>
      </c>
      <c r="J62" s="3">
        <v>2500</v>
      </c>
      <c r="K62" s="16" cm="1">
        <f t="array" ref="K62">_xlfn.XLOOKUP(I62,'Product Mapping'!$C$3:$C$10,'Product Mapping'!$F$3:$F$10*J62)</f>
        <v>105000</v>
      </c>
      <c r="L62" s="11" cm="1">
        <f t="array" ref="L62">_xlfn.XLOOKUP(I62,'Product Mapping'!$C$3:$C$10,'Product Mapping'!$G$3:$G$10*J62)</f>
        <v>21250</v>
      </c>
      <c r="M62" cm="1">
        <f t="array" ref="M62">_xlfn.XLOOKUP(I62,'Product Mapping'!$C$3:$C$10,'Product Mapping'!$H$3:$H$10*J62)</f>
        <v>14500</v>
      </c>
      <c r="N62" s="21">
        <f>Table14[[#This Row],[Volume (L)]]/0.5</f>
        <v>5000</v>
      </c>
    </row>
    <row r="63" spans="1:14" x14ac:dyDescent="0.3">
      <c r="A63" s="14" t="s">
        <v>37</v>
      </c>
      <c r="B63" t="s">
        <v>12</v>
      </c>
      <c r="C63" t="s">
        <v>24</v>
      </c>
      <c r="D63">
        <v>10205252</v>
      </c>
      <c r="E63" t="s">
        <v>25</v>
      </c>
      <c r="F63" t="s">
        <v>18</v>
      </c>
      <c r="G63" t="s">
        <v>16</v>
      </c>
      <c r="H63" t="s">
        <v>19</v>
      </c>
      <c r="I63">
        <v>60022909</v>
      </c>
      <c r="J63" s="3">
        <v>29000</v>
      </c>
      <c r="K63" s="16" cm="1">
        <f t="array" ref="K63">_xlfn.XLOOKUP(I63,'Product Mapping'!$C$3:$C$10,'Product Mapping'!$F$3:$F$10*J63)</f>
        <v>551000</v>
      </c>
      <c r="L63" s="11" cm="1">
        <f t="array" ref="L63">_xlfn.XLOOKUP(I63,'Product Mapping'!$C$3:$C$10,'Product Mapping'!$G$3:$G$10*J63)</f>
        <v>188500</v>
      </c>
      <c r="M63" cm="1">
        <f t="array" ref="M63">_xlfn.XLOOKUP(I63,'Product Mapping'!$C$3:$C$10,'Product Mapping'!$H$3:$H$10*J63)</f>
        <v>812000</v>
      </c>
      <c r="N63" s="21">
        <f>Table14[[#This Row],[Volume (L)]]/0.5</f>
        <v>58000</v>
      </c>
    </row>
    <row r="64" spans="1:14" x14ac:dyDescent="0.3">
      <c r="A64" s="14" t="s">
        <v>37</v>
      </c>
      <c r="B64" t="s">
        <v>12</v>
      </c>
      <c r="C64" t="s">
        <v>26</v>
      </c>
      <c r="D64">
        <v>10204959</v>
      </c>
      <c r="E64" t="s">
        <v>27</v>
      </c>
      <c r="F64" t="s">
        <v>15</v>
      </c>
      <c r="G64" t="s">
        <v>16</v>
      </c>
      <c r="H64" t="s">
        <v>17</v>
      </c>
      <c r="I64">
        <v>52005002</v>
      </c>
      <c r="J64" s="3">
        <v>1200</v>
      </c>
      <c r="K64" s="16" cm="1">
        <f t="array" ref="K64">_xlfn.XLOOKUP(I64,'Product Mapping'!$C$3:$C$10,'Product Mapping'!$F$3:$F$10*J64)</f>
        <v>48000</v>
      </c>
      <c r="L64" s="11" cm="1">
        <f t="array" ref="L64">_xlfn.XLOOKUP(I64,'Product Mapping'!$C$3:$C$10,'Product Mapping'!$G$3:$G$10*J64)</f>
        <v>8400</v>
      </c>
      <c r="M64" cm="1">
        <f t="array" ref="M64">_xlfn.XLOOKUP(I64,'Product Mapping'!$C$3:$C$10,'Product Mapping'!$H$3:$H$10*J64)</f>
        <v>6600</v>
      </c>
      <c r="N64" s="21">
        <f>Table14[[#This Row],[Volume (L)]]/0.5</f>
        <v>2400</v>
      </c>
    </row>
    <row r="65" spans="1:14" x14ac:dyDescent="0.3">
      <c r="A65" s="14" t="s">
        <v>37</v>
      </c>
      <c r="B65" t="s">
        <v>12</v>
      </c>
      <c r="C65" t="s">
        <v>26</v>
      </c>
      <c r="D65">
        <v>10204959</v>
      </c>
      <c r="E65" t="s">
        <v>27</v>
      </c>
      <c r="F65" t="s">
        <v>18</v>
      </c>
      <c r="G65" t="s">
        <v>16</v>
      </c>
      <c r="H65" t="s">
        <v>23</v>
      </c>
      <c r="I65">
        <v>60022300</v>
      </c>
      <c r="J65" s="3">
        <v>22000</v>
      </c>
      <c r="K65" s="16" cm="1">
        <f t="array" ref="K65">_xlfn.XLOOKUP(I65,'Product Mapping'!$C$3:$C$10,'Product Mapping'!$F$3:$F$10*J65)</f>
        <v>396000</v>
      </c>
      <c r="L65" s="11" cm="1">
        <f t="array" ref="L65">_xlfn.XLOOKUP(I65,'Product Mapping'!$C$3:$C$10,'Product Mapping'!$G$3:$G$10*J65)</f>
        <v>132000</v>
      </c>
      <c r="M65" cm="1">
        <f t="array" ref="M65">_xlfn.XLOOKUP(I65,'Product Mapping'!$C$3:$C$10,'Product Mapping'!$H$3:$H$10*J65)</f>
        <v>638000</v>
      </c>
      <c r="N65" s="21">
        <f>Table14[[#This Row],[Volume (L)]]/0.5</f>
        <v>44000</v>
      </c>
    </row>
    <row r="66" spans="1:14" x14ac:dyDescent="0.3">
      <c r="A66" s="14" t="s">
        <v>37</v>
      </c>
      <c r="B66" t="s">
        <v>12</v>
      </c>
      <c r="C66" t="s">
        <v>28</v>
      </c>
      <c r="D66">
        <v>10205590</v>
      </c>
      <c r="E66" t="s">
        <v>29</v>
      </c>
      <c r="F66" t="s">
        <v>15</v>
      </c>
      <c r="G66" t="s">
        <v>16</v>
      </c>
      <c r="H66" t="s">
        <v>22</v>
      </c>
      <c r="I66">
        <v>52005050</v>
      </c>
      <c r="J66" s="3">
        <v>800</v>
      </c>
      <c r="K66" s="16" cm="1">
        <f t="array" ref="K66">_xlfn.XLOOKUP(I66,'Product Mapping'!$C$3:$C$10,'Product Mapping'!$F$3:$F$10*J66)</f>
        <v>33600</v>
      </c>
      <c r="L66" s="11" cm="1">
        <f t="array" ref="L66">_xlfn.XLOOKUP(I66,'Product Mapping'!$C$3:$C$10,'Product Mapping'!$G$3:$G$10*J66)</f>
        <v>6800</v>
      </c>
      <c r="M66" cm="1">
        <f t="array" ref="M66">_xlfn.XLOOKUP(I66,'Product Mapping'!$C$3:$C$10,'Product Mapping'!$H$3:$H$10*J66)</f>
        <v>4640</v>
      </c>
      <c r="N66" s="21">
        <f>Table14[[#This Row],[Volume (L)]]/0.5</f>
        <v>1600</v>
      </c>
    </row>
    <row r="67" spans="1:14" x14ac:dyDescent="0.3">
      <c r="A67" s="14" t="s">
        <v>37</v>
      </c>
      <c r="B67" t="s">
        <v>12</v>
      </c>
      <c r="C67" t="s">
        <v>28</v>
      </c>
      <c r="D67">
        <v>10205590</v>
      </c>
      <c r="E67" t="s">
        <v>29</v>
      </c>
      <c r="F67" t="s">
        <v>18</v>
      </c>
      <c r="G67" t="s">
        <v>16</v>
      </c>
      <c r="H67" t="s">
        <v>19</v>
      </c>
      <c r="I67">
        <v>60022909</v>
      </c>
      <c r="J67" s="3">
        <v>12000</v>
      </c>
      <c r="K67" s="16" cm="1">
        <f t="array" ref="K67">_xlfn.XLOOKUP(I67,'Product Mapping'!$C$3:$C$10,'Product Mapping'!$F$3:$F$10*J67)</f>
        <v>228000</v>
      </c>
      <c r="L67" s="11" cm="1">
        <f t="array" ref="L67">_xlfn.XLOOKUP(I67,'Product Mapping'!$C$3:$C$10,'Product Mapping'!$G$3:$G$10*J67)</f>
        <v>78000</v>
      </c>
      <c r="M67" cm="1">
        <f t="array" ref="M67">_xlfn.XLOOKUP(I67,'Product Mapping'!$C$3:$C$10,'Product Mapping'!$H$3:$H$10*J67)</f>
        <v>336000</v>
      </c>
      <c r="N67" s="21">
        <f>Table14[[#This Row],[Volume (L)]]/0.5</f>
        <v>24000</v>
      </c>
    </row>
    <row r="68" spans="1:14" x14ac:dyDescent="0.3">
      <c r="A68" s="14" t="s">
        <v>37</v>
      </c>
      <c r="B68" t="s">
        <v>12</v>
      </c>
      <c r="C68" t="s">
        <v>30</v>
      </c>
      <c r="D68">
        <v>10204957</v>
      </c>
      <c r="E68" t="s">
        <v>31</v>
      </c>
      <c r="F68" t="s">
        <v>15</v>
      </c>
      <c r="G68" t="s">
        <v>16</v>
      </c>
      <c r="H68" t="s">
        <v>17</v>
      </c>
      <c r="I68">
        <v>52005002</v>
      </c>
      <c r="J68" s="3">
        <v>1800</v>
      </c>
      <c r="K68" s="16" cm="1">
        <f t="array" ref="K68">_xlfn.XLOOKUP(I68,'Product Mapping'!$C$3:$C$10,'Product Mapping'!$F$3:$F$10*J68)</f>
        <v>72000</v>
      </c>
      <c r="L68" s="11" cm="1">
        <f t="array" ref="L68">_xlfn.XLOOKUP(I68,'Product Mapping'!$C$3:$C$10,'Product Mapping'!$G$3:$G$10*J68)</f>
        <v>12600</v>
      </c>
      <c r="M68" cm="1">
        <f t="array" ref="M68">_xlfn.XLOOKUP(I68,'Product Mapping'!$C$3:$C$10,'Product Mapping'!$H$3:$H$10*J68)</f>
        <v>9900</v>
      </c>
      <c r="N68" s="21">
        <f>Table14[[#This Row],[Volume (L)]]/0.5</f>
        <v>3600</v>
      </c>
    </row>
    <row r="69" spans="1:14" x14ac:dyDescent="0.3">
      <c r="A69" s="14" t="s">
        <v>37</v>
      </c>
      <c r="B69" t="s">
        <v>12</v>
      </c>
      <c r="C69" t="s">
        <v>30</v>
      </c>
      <c r="D69">
        <v>10204957</v>
      </c>
      <c r="E69" t="s">
        <v>31</v>
      </c>
      <c r="F69" t="s">
        <v>18</v>
      </c>
      <c r="G69" t="s">
        <v>16</v>
      </c>
      <c r="H69" t="s">
        <v>19</v>
      </c>
      <c r="I69">
        <v>60022909</v>
      </c>
      <c r="J69" s="3">
        <v>16900</v>
      </c>
      <c r="K69" s="16" cm="1">
        <f t="array" ref="K69">_xlfn.XLOOKUP(I69,'Product Mapping'!$C$3:$C$10,'Product Mapping'!$F$3:$F$10*J69)</f>
        <v>321100</v>
      </c>
      <c r="L69" s="11" cm="1">
        <f t="array" ref="L69">_xlfn.XLOOKUP(I69,'Product Mapping'!$C$3:$C$10,'Product Mapping'!$G$3:$G$10*J69)</f>
        <v>109850</v>
      </c>
      <c r="M69" cm="1">
        <f t="array" ref="M69">_xlfn.XLOOKUP(I69,'Product Mapping'!$C$3:$C$10,'Product Mapping'!$H$3:$H$10*J69)</f>
        <v>473200</v>
      </c>
      <c r="N69" s="21">
        <f>Table14[[#This Row],[Volume (L)]]/0.5</f>
        <v>33800</v>
      </c>
    </row>
    <row r="70" spans="1:14" x14ac:dyDescent="0.3">
      <c r="A70" s="14" t="s">
        <v>37</v>
      </c>
      <c r="B70" t="s">
        <v>12</v>
      </c>
      <c r="C70" t="s">
        <v>32</v>
      </c>
      <c r="D70">
        <v>10204980</v>
      </c>
      <c r="E70" t="s">
        <v>33</v>
      </c>
      <c r="F70" t="s">
        <v>15</v>
      </c>
      <c r="G70" t="s">
        <v>16</v>
      </c>
      <c r="H70" t="s">
        <v>17</v>
      </c>
      <c r="I70">
        <v>52005002</v>
      </c>
      <c r="J70" s="3">
        <v>2500</v>
      </c>
      <c r="K70" s="16" cm="1">
        <f t="array" ref="K70">_xlfn.XLOOKUP(I70,'Product Mapping'!$C$3:$C$10,'Product Mapping'!$F$3:$F$10*J70)</f>
        <v>100000</v>
      </c>
      <c r="L70" s="11" cm="1">
        <f t="array" ref="L70">_xlfn.XLOOKUP(I70,'Product Mapping'!$C$3:$C$10,'Product Mapping'!$G$3:$G$10*J70)</f>
        <v>17500</v>
      </c>
      <c r="M70" cm="1">
        <f t="array" ref="M70">_xlfn.XLOOKUP(I70,'Product Mapping'!$C$3:$C$10,'Product Mapping'!$H$3:$H$10*J70)</f>
        <v>13750</v>
      </c>
      <c r="N70" s="21">
        <f>Table14[[#This Row],[Volume (L)]]/0.5</f>
        <v>5000</v>
      </c>
    </row>
    <row r="71" spans="1:14" x14ac:dyDescent="0.3">
      <c r="A71" s="14" t="s">
        <v>37</v>
      </c>
      <c r="B71" t="s">
        <v>12</v>
      </c>
      <c r="C71" t="s">
        <v>32</v>
      </c>
      <c r="D71">
        <v>10204980</v>
      </c>
      <c r="E71" t="s">
        <v>33</v>
      </c>
      <c r="F71" t="s">
        <v>18</v>
      </c>
      <c r="G71" t="s">
        <v>16</v>
      </c>
      <c r="H71" t="s">
        <v>23</v>
      </c>
      <c r="I71">
        <v>60022300</v>
      </c>
      <c r="J71" s="3">
        <v>28000</v>
      </c>
      <c r="K71" s="16" cm="1">
        <f t="array" ref="K71">_xlfn.XLOOKUP(I71,'Product Mapping'!$C$3:$C$10,'Product Mapping'!$F$3:$F$10*J71)</f>
        <v>504000</v>
      </c>
      <c r="L71" s="11" cm="1">
        <f t="array" ref="L71">_xlfn.XLOOKUP(I71,'Product Mapping'!$C$3:$C$10,'Product Mapping'!$G$3:$G$10*J71)</f>
        <v>168000</v>
      </c>
      <c r="M71" cm="1">
        <f t="array" ref="M71">_xlfn.XLOOKUP(I71,'Product Mapping'!$C$3:$C$10,'Product Mapping'!$H$3:$H$10*J71)</f>
        <v>812000</v>
      </c>
      <c r="N71" s="21">
        <f>Table14[[#This Row],[Volume (L)]]/0.5</f>
        <v>56000</v>
      </c>
    </row>
    <row r="72" spans="1:14" x14ac:dyDescent="0.3">
      <c r="A72" s="14" t="s">
        <v>38</v>
      </c>
      <c r="B72" t="s">
        <v>12</v>
      </c>
      <c r="C72" t="s">
        <v>13</v>
      </c>
      <c r="D72">
        <v>10204958</v>
      </c>
      <c r="E72" t="s">
        <v>14</v>
      </c>
      <c r="F72" t="s">
        <v>15</v>
      </c>
      <c r="G72" t="s">
        <v>16</v>
      </c>
      <c r="H72" t="s">
        <v>17</v>
      </c>
      <c r="I72">
        <v>52005002</v>
      </c>
      <c r="J72" s="3">
        <v>1500</v>
      </c>
      <c r="K72" s="16" cm="1">
        <f t="array" ref="K72">_xlfn.XLOOKUP(I72,'Product Mapping'!$C$3:$C$10,'Product Mapping'!$F$3:$F$10*J72)</f>
        <v>60000</v>
      </c>
      <c r="L72" s="11" cm="1">
        <f t="array" ref="L72">_xlfn.XLOOKUP(I72,'Product Mapping'!$C$3:$C$10,'Product Mapping'!$G$3:$G$10*J72)</f>
        <v>10500</v>
      </c>
      <c r="M72" cm="1">
        <f t="array" ref="M72">_xlfn.XLOOKUP(I72,'Product Mapping'!$C$3:$C$10,'Product Mapping'!$H$3:$H$10*J72)</f>
        <v>8250</v>
      </c>
      <c r="N72" s="21">
        <f>Table14[[#This Row],[Volume (L)]]/0.5</f>
        <v>3000</v>
      </c>
    </row>
    <row r="73" spans="1:14" x14ac:dyDescent="0.3">
      <c r="A73" s="14" t="s">
        <v>38</v>
      </c>
      <c r="B73" t="s">
        <v>12</v>
      </c>
      <c r="C73" t="s">
        <v>13</v>
      </c>
      <c r="D73">
        <v>10204958</v>
      </c>
      <c r="E73" t="s">
        <v>14</v>
      </c>
      <c r="F73" t="s">
        <v>18</v>
      </c>
      <c r="G73" t="s">
        <v>16</v>
      </c>
      <c r="H73" t="s">
        <v>19</v>
      </c>
      <c r="I73">
        <v>60022909</v>
      </c>
      <c r="J73" s="3">
        <v>23000</v>
      </c>
      <c r="K73" s="16" cm="1">
        <f t="array" ref="K73">_xlfn.XLOOKUP(I73,'Product Mapping'!$C$3:$C$10,'Product Mapping'!$F$3:$F$10*J73)</f>
        <v>437000</v>
      </c>
      <c r="L73" s="11" cm="1">
        <f t="array" ref="L73">_xlfn.XLOOKUP(I73,'Product Mapping'!$C$3:$C$10,'Product Mapping'!$G$3:$G$10*J73)</f>
        <v>149500</v>
      </c>
      <c r="M73" cm="1">
        <f t="array" ref="M73">_xlfn.XLOOKUP(I73,'Product Mapping'!$C$3:$C$10,'Product Mapping'!$H$3:$H$10*J73)</f>
        <v>644000</v>
      </c>
      <c r="N73" s="21">
        <f>Table14[[#This Row],[Volume (L)]]/0.5</f>
        <v>46000</v>
      </c>
    </row>
    <row r="74" spans="1:14" x14ac:dyDescent="0.3">
      <c r="A74" s="14" t="s">
        <v>38</v>
      </c>
      <c r="B74" t="s">
        <v>12</v>
      </c>
      <c r="C74" t="s">
        <v>20</v>
      </c>
      <c r="D74">
        <v>10205600</v>
      </c>
      <c r="E74" t="s">
        <v>21</v>
      </c>
      <c r="F74" t="s">
        <v>15</v>
      </c>
      <c r="G74" t="s">
        <v>16</v>
      </c>
      <c r="H74" t="s">
        <v>22</v>
      </c>
      <c r="I74">
        <v>52005050</v>
      </c>
      <c r="J74" s="3">
        <v>1100</v>
      </c>
      <c r="K74" s="16" cm="1">
        <f t="array" ref="K74">_xlfn.XLOOKUP(I74,'Product Mapping'!$C$3:$C$10,'Product Mapping'!$F$3:$F$10*J74)</f>
        <v>46200</v>
      </c>
      <c r="L74" s="11" cm="1">
        <f t="array" ref="L74">_xlfn.XLOOKUP(I74,'Product Mapping'!$C$3:$C$10,'Product Mapping'!$G$3:$G$10*J74)</f>
        <v>9350</v>
      </c>
      <c r="M74" cm="1">
        <f t="array" ref="M74">_xlfn.XLOOKUP(I74,'Product Mapping'!$C$3:$C$10,'Product Mapping'!$H$3:$H$10*J74)</f>
        <v>6380</v>
      </c>
      <c r="N74" s="21">
        <f>Table14[[#This Row],[Volume (L)]]/0.5</f>
        <v>2200</v>
      </c>
    </row>
    <row r="75" spans="1:14" x14ac:dyDescent="0.3">
      <c r="A75" s="14" t="s">
        <v>38</v>
      </c>
      <c r="B75" t="s">
        <v>12</v>
      </c>
      <c r="C75" t="s">
        <v>20</v>
      </c>
      <c r="D75">
        <v>10205600</v>
      </c>
      <c r="E75" t="s">
        <v>21</v>
      </c>
      <c r="F75" t="s">
        <v>18</v>
      </c>
      <c r="G75" t="s">
        <v>16</v>
      </c>
      <c r="H75" t="s">
        <v>23</v>
      </c>
      <c r="I75">
        <v>60022300</v>
      </c>
      <c r="J75" s="3">
        <v>19700</v>
      </c>
      <c r="K75" s="16" cm="1">
        <f t="array" ref="K75">_xlfn.XLOOKUP(I75,'Product Mapping'!$C$3:$C$10,'Product Mapping'!$F$3:$F$10*J75)</f>
        <v>354600</v>
      </c>
      <c r="L75" s="11" cm="1">
        <f t="array" ref="L75">_xlfn.XLOOKUP(I75,'Product Mapping'!$C$3:$C$10,'Product Mapping'!$G$3:$G$10*J75)</f>
        <v>118200</v>
      </c>
      <c r="M75" cm="1">
        <f t="array" ref="M75">_xlfn.XLOOKUP(I75,'Product Mapping'!$C$3:$C$10,'Product Mapping'!$H$3:$H$10*J75)</f>
        <v>571300</v>
      </c>
      <c r="N75" s="21">
        <f>Table14[[#This Row],[Volume (L)]]/0.5</f>
        <v>39400</v>
      </c>
    </row>
    <row r="76" spans="1:14" x14ac:dyDescent="0.3">
      <c r="A76" s="14" t="s">
        <v>38</v>
      </c>
      <c r="B76" t="s">
        <v>12</v>
      </c>
      <c r="C76" t="s">
        <v>24</v>
      </c>
      <c r="D76">
        <v>10205252</v>
      </c>
      <c r="E76" t="s">
        <v>25</v>
      </c>
      <c r="F76" t="s">
        <v>15</v>
      </c>
      <c r="G76" t="s">
        <v>16</v>
      </c>
      <c r="H76" t="s">
        <v>22</v>
      </c>
      <c r="I76">
        <v>52005050</v>
      </c>
      <c r="J76" s="3">
        <v>2000</v>
      </c>
      <c r="K76" s="16" cm="1">
        <f t="array" ref="K76">_xlfn.XLOOKUP(I76,'Product Mapping'!$C$3:$C$10,'Product Mapping'!$F$3:$F$10*J76)</f>
        <v>84000</v>
      </c>
      <c r="L76" s="11" cm="1">
        <f t="array" ref="L76">_xlfn.XLOOKUP(I76,'Product Mapping'!$C$3:$C$10,'Product Mapping'!$G$3:$G$10*J76)</f>
        <v>17000</v>
      </c>
      <c r="M76" cm="1">
        <f t="array" ref="M76">_xlfn.XLOOKUP(I76,'Product Mapping'!$C$3:$C$10,'Product Mapping'!$H$3:$H$10*J76)</f>
        <v>11600</v>
      </c>
      <c r="N76" s="21">
        <f>Table14[[#This Row],[Volume (L)]]/0.5</f>
        <v>4000</v>
      </c>
    </row>
    <row r="77" spans="1:14" x14ac:dyDescent="0.3">
      <c r="A77" s="14" t="s">
        <v>38</v>
      </c>
      <c r="B77" t="s">
        <v>12</v>
      </c>
      <c r="C77" t="s">
        <v>24</v>
      </c>
      <c r="D77">
        <v>10205252</v>
      </c>
      <c r="E77" t="s">
        <v>25</v>
      </c>
      <c r="F77" t="s">
        <v>18</v>
      </c>
      <c r="G77" t="s">
        <v>16</v>
      </c>
      <c r="H77" t="s">
        <v>19</v>
      </c>
      <c r="I77">
        <v>60022909</v>
      </c>
      <c r="J77" s="3">
        <v>30000</v>
      </c>
      <c r="K77" s="16" cm="1">
        <f t="array" ref="K77">_xlfn.XLOOKUP(I77,'Product Mapping'!$C$3:$C$10,'Product Mapping'!$F$3:$F$10*J77)</f>
        <v>570000</v>
      </c>
      <c r="L77" s="11" cm="1">
        <f t="array" ref="L77">_xlfn.XLOOKUP(I77,'Product Mapping'!$C$3:$C$10,'Product Mapping'!$G$3:$G$10*J77)</f>
        <v>195000</v>
      </c>
      <c r="M77" cm="1">
        <f t="array" ref="M77">_xlfn.XLOOKUP(I77,'Product Mapping'!$C$3:$C$10,'Product Mapping'!$H$3:$H$10*J77)</f>
        <v>840000</v>
      </c>
      <c r="N77" s="21">
        <f>Table14[[#This Row],[Volume (L)]]/0.5</f>
        <v>60000</v>
      </c>
    </row>
    <row r="78" spans="1:14" x14ac:dyDescent="0.3">
      <c r="A78" s="14" t="s">
        <v>38</v>
      </c>
      <c r="B78" t="s">
        <v>12</v>
      </c>
      <c r="C78" t="s">
        <v>26</v>
      </c>
      <c r="D78">
        <v>10204959</v>
      </c>
      <c r="E78" t="s">
        <v>27</v>
      </c>
      <c r="F78" t="s">
        <v>15</v>
      </c>
      <c r="G78" t="s">
        <v>16</v>
      </c>
      <c r="H78" t="s">
        <v>17</v>
      </c>
      <c r="I78">
        <v>52005002</v>
      </c>
      <c r="J78" s="3">
        <v>1200</v>
      </c>
      <c r="K78" s="16" cm="1">
        <f t="array" ref="K78">_xlfn.XLOOKUP(I78,'Product Mapping'!$C$3:$C$10,'Product Mapping'!$F$3:$F$10*J78)</f>
        <v>48000</v>
      </c>
      <c r="L78" s="11" cm="1">
        <f t="array" ref="L78">_xlfn.XLOOKUP(I78,'Product Mapping'!$C$3:$C$10,'Product Mapping'!$G$3:$G$10*J78)</f>
        <v>8400</v>
      </c>
      <c r="M78" cm="1">
        <f t="array" ref="M78">_xlfn.XLOOKUP(I78,'Product Mapping'!$C$3:$C$10,'Product Mapping'!$H$3:$H$10*J78)</f>
        <v>6600</v>
      </c>
      <c r="N78" s="21">
        <f>Table14[[#This Row],[Volume (L)]]/0.5</f>
        <v>2400</v>
      </c>
    </row>
    <row r="79" spans="1:14" x14ac:dyDescent="0.3">
      <c r="A79" s="14" t="s">
        <v>38</v>
      </c>
      <c r="B79" t="s">
        <v>12</v>
      </c>
      <c r="C79" t="s">
        <v>26</v>
      </c>
      <c r="D79">
        <v>10204959</v>
      </c>
      <c r="E79" t="s">
        <v>27</v>
      </c>
      <c r="F79" t="s">
        <v>18</v>
      </c>
      <c r="G79" t="s">
        <v>16</v>
      </c>
      <c r="H79" t="s">
        <v>23</v>
      </c>
      <c r="I79">
        <v>60022300</v>
      </c>
      <c r="J79" s="3">
        <v>21000</v>
      </c>
      <c r="K79" s="16" cm="1">
        <f t="array" ref="K79">_xlfn.XLOOKUP(I79,'Product Mapping'!$C$3:$C$10,'Product Mapping'!$F$3:$F$10*J79)</f>
        <v>378000</v>
      </c>
      <c r="L79" s="11" cm="1">
        <f t="array" ref="L79">_xlfn.XLOOKUP(I79,'Product Mapping'!$C$3:$C$10,'Product Mapping'!$G$3:$G$10*J79)</f>
        <v>126000</v>
      </c>
      <c r="M79" cm="1">
        <f t="array" ref="M79">_xlfn.XLOOKUP(I79,'Product Mapping'!$C$3:$C$10,'Product Mapping'!$H$3:$H$10*J79)</f>
        <v>609000</v>
      </c>
      <c r="N79" s="21">
        <f>Table14[[#This Row],[Volume (L)]]/0.5</f>
        <v>42000</v>
      </c>
    </row>
    <row r="80" spans="1:14" x14ac:dyDescent="0.3">
      <c r="A80" s="14" t="s">
        <v>38</v>
      </c>
      <c r="B80" t="s">
        <v>12</v>
      </c>
      <c r="C80" t="s">
        <v>28</v>
      </c>
      <c r="D80">
        <v>10205590</v>
      </c>
      <c r="E80" t="s">
        <v>29</v>
      </c>
      <c r="F80" t="s">
        <v>15</v>
      </c>
      <c r="G80" t="s">
        <v>16</v>
      </c>
      <c r="H80" t="s">
        <v>22</v>
      </c>
      <c r="I80">
        <v>52005050</v>
      </c>
      <c r="J80" s="3">
        <v>700</v>
      </c>
      <c r="K80" s="16" cm="1">
        <f t="array" ref="K80">_xlfn.XLOOKUP(I80,'Product Mapping'!$C$3:$C$10,'Product Mapping'!$F$3:$F$10*J80)</f>
        <v>29400</v>
      </c>
      <c r="L80" s="11" cm="1">
        <f t="array" ref="L80">_xlfn.XLOOKUP(I80,'Product Mapping'!$C$3:$C$10,'Product Mapping'!$G$3:$G$10*J80)</f>
        <v>5950</v>
      </c>
      <c r="M80" cm="1">
        <f t="array" ref="M80">_xlfn.XLOOKUP(I80,'Product Mapping'!$C$3:$C$10,'Product Mapping'!$H$3:$H$10*J80)</f>
        <v>4060</v>
      </c>
      <c r="N80" s="21">
        <f>Table14[[#This Row],[Volume (L)]]/0.5</f>
        <v>1400</v>
      </c>
    </row>
    <row r="81" spans="1:14" x14ac:dyDescent="0.3">
      <c r="A81" s="14" t="s">
        <v>38</v>
      </c>
      <c r="B81" t="s">
        <v>12</v>
      </c>
      <c r="C81" t="s">
        <v>28</v>
      </c>
      <c r="D81">
        <v>10205590</v>
      </c>
      <c r="E81" t="s">
        <v>29</v>
      </c>
      <c r="F81" t="s">
        <v>18</v>
      </c>
      <c r="G81" t="s">
        <v>16</v>
      </c>
      <c r="H81" t="s">
        <v>19</v>
      </c>
      <c r="I81">
        <v>60022909</v>
      </c>
      <c r="J81" s="3">
        <v>13000</v>
      </c>
      <c r="K81" s="16" cm="1">
        <f t="array" ref="K81">_xlfn.XLOOKUP(I81,'Product Mapping'!$C$3:$C$10,'Product Mapping'!$F$3:$F$10*J81)</f>
        <v>247000</v>
      </c>
      <c r="L81" s="11" cm="1">
        <f t="array" ref="L81">_xlfn.XLOOKUP(I81,'Product Mapping'!$C$3:$C$10,'Product Mapping'!$G$3:$G$10*J81)</f>
        <v>84500</v>
      </c>
      <c r="M81" cm="1">
        <f t="array" ref="M81">_xlfn.XLOOKUP(I81,'Product Mapping'!$C$3:$C$10,'Product Mapping'!$H$3:$H$10*J81)</f>
        <v>364000</v>
      </c>
      <c r="N81" s="21">
        <f>Table14[[#This Row],[Volume (L)]]/0.5</f>
        <v>26000</v>
      </c>
    </row>
    <row r="82" spans="1:14" x14ac:dyDescent="0.3">
      <c r="A82" s="14" t="s">
        <v>38</v>
      </c>
      <c r="B82" t="s">
        <v>12</v>
      </c>
      <c r="C82" t="s">
        <v>30</v>
      </c>
      <c r="D82">
        <v>10204957</v>
      </c>
      <c r="E82" t="s">
        <v>31</v>
      </c>
      <c r="F82" t="s">
        <v>15</v>
      </c>
      <c r="G82" t="s">
        <v>16</v>
      </c>
      <c r="H82" t="s">
        <v>17</v>
      </c>
      <c r="I82">
        <v>52005002</v>
      </c>
      <c r="J82" s="3">
        <v>1400</v>
      </c>
      <c r="K82" s="16" cm="1">
        <f t="array" ref="K82">_xlfn.XLOOKUP(I82,'Product Mapping'!$C$3:$C$10,'Product Mapping'!$F$3:$F$10*J82)</f>
        <v>56000</v>
      </c>
      <c r="L82" s="11" cm="1">
        <f t="array" ref="L82">_xlfn.XLOOKUP(I82,'Product Mapping'!$C$3:$C$10,'Product Mapping'!$G$3:$G$10*J82)</f>
        <v>9800</v>
      </c>
      <c r="M82" cm="1">
        <f t="array" ref="M82">_xlfn.XLOOKUP(I82,'Product Mapping'!$C$3:$C$10,'Product Mapping'!$H$3:$H$10*J82)</f>
        <v>7700</v>
      </c>
      <c r="N82" s="21">
        <f>Table14[[#This Row],[Volume (L)]]/0.5</f>
        <v>2800</v>
      </c>
    </row>
    <row r="83" spans="1:14" x14ac:dyDescent="0.3">
      <c r="A83" s="14" t="s">
        <v>38</v>
      </c>
      <c r="B83" t="s">
        <v>12</v>
      </c>
      <c r="C83" t="s">
        <v>30</v>
      </c>
      <c r="D83">
        <v>10204957</v>
      </c>
      <c r="E83" t="s">
        <v>31</v>
      </c>
      <c r="F83" t="s">
        <v>18</v>
      </c>
      <c r="G83" t="s">
        <v>16</v>
      </c>
      <c r="H83" t="s">
        <v>19</v>
      </c>
      <c r="I83">
        <v>60022909</v>
      </c>
      <c r="J83" s="3">
        <v>15900</v>
      </c>
      <c r="K83" s="16" cm="1">
        <f t="array" ref="K83">_xlfn.XLOOKUP(I83,'Product Mapping'!$C$3:$C$10,'Product Mapping'!$F$3:$F$10*J83)</f>
        <v>302100</v>
      </c>
      <c r="L83" s="11" cm="1">
        <f t="array" ref="L83">_xlfn.XLOOKUP(I83,'Product Mapping'!$C$3:$C$10,'Product Mapping'!$G$3:$G$10*J83)</f>
        <v>103350</v>
      </c>
      <c r="M83" cm="1">
        <f t="array" ref="M83">_xlfn.XLOOKUP(I83,'Product Mapping'!$C$3:$C$10,'Product Mapping'!$H$3:$H$10*J83)</f>
        <v>445200</v>
      </c>
      <c r="N83" s="21">
        <f>Table14[[#This Row],[Volume (L)]]/0.5</f>
        <v>31800</v>
      </c>
    </row>
    <row r="84" spans="1:14" x14ac:dyDescent="0.3">
      <c r="A84" s="14" t="s">
        <v>38</v>
      </c>
      <c r="B84" t="s">
        <v>12</v>
      </c>
      <c r="C84" t="s">
        <v>32</v>
      </c>
      <c r="D84">
        <v>10204980</v>
      </c>
      <c r="E84" t="s">
        <v>33</v>
      </c>
      <c r="F84" t="s">
        <v>15</v>
      </c>
      <c r="G84" t="s">
        <v>16</v>
      </c>
      <c r="H84" t="s">
        <v>17</v>
      </c>
      <c r="I84">
        <v>52005002</v>
      </c>
      <c r="J84" s="3">
        <v>2100</v>
      </c>
      <c r="K84" s="16" cm="1">
        <f t="array" ref="K84">_xlfn.XLOOKUP(I84,'Product Mapping'!$C$3:$C$10,'Product Mapping'!$F$3:$F$10*J84)</f>
        <v>84000</v>
      </c>
      <c r="L84" s="11" cm="1">
        <f t="array" ref="L84">_xlfn.XLOOKUP(I84,'Product Mapping'!$C$3:$C$10,'Product Mapping'!$G$3:$G$10*J84)</f>
        <v>14700</v>
      </c>
      <c r="M84" cm="1">
        <f t="array" ref="M84">_xlfn.XLOOKUP(I84,'Product Mapping'!$C$3:$C$10,'Product Mapping'!$H$3:$H$10*J84)</f>
        <v>11550</v>
      </c>
      <c r="N84" s="21">
        <f>Table14[[#This Row],[Volume (L)]]/0.5</f>
        <v>4200</v>
      </c>
    </row>
    <row r="85" spans="1:14" x14ac:dyDescent="0.3">
      <c r="A85" s="14" t="s">
        <v>38</v>
      </c>
      <c r="B85" t="s">
        <v>12</v>
      </c>
      <c r="C85" t="s">
        <v>32</v>
      </c>
      <c r="D85">
        <v>10204980</v>
      </c>
      <c r="E85" t="s">
        <v>33</v>
      </c>
      <c r="F85" t="s">
        <v>18</v>
      </c>
      <c r="G85" t="s">
        <v>16</v>
      </c>
      <c r="H85" t="s">
        <v>23</v>
      </c>
      <c r="I85">
        <v>60022300</v>
      </c>
      <c r="J85" s="3">
        <v>28700</v>
      </c>
      <c r="K85" s="16" cm="1">
        <f t="array" ref="K85">_xlfn.XLOOKUP(I85,'Product Mapping'!$C$3:$C$10,'Product Mapping'!$F$3:$F$10*J85)</f>
        <v>516600</v>
      </c>
      <c r="L85" s="11" cm="1">
        <f t="array" ref="L85">_xlfn.XLOOKUP(I85,'Product Mapping'!$C$3:$C$10,'Product Mapping'!$G$3:$G$10*J85)</f>
        <v>172200</v>
      </c>
      <c r="M85" cm="1">
        <f t="array" ref="M85">_xlfn.XLOOKUP(I85,'Product Mapping'!$C$3:$C$10,'Product Mapping'!$H$3:$H$10*J85)</f>
        <v>832300</v>
      </c>
      <c r="N85" s="21">
        <f>Table14[[#This Row],[Volume (L)]]/0.5</f>
        <v>57400</v>
      </c>
    </row>
    <row r="86" spans="1:14" x14ac:dyDescent="0.3">
      <c r="A86" s="14" t="s">
        <v>39</v>
      </c>
      <c r="B86" t="s">
        <v>12</v>
      </c>
      <c r="C86" t="s">
        <v>13</v>
      </c>
      <c r="D86">
        <v>10204958</v>
      </c>
      <c r="E86" t="s">
        <v>14</v>
      </c>
      <c r="F86" t="s">
        <v>15</v>
      </c>
      <c r="G86" t="s">
        <v>16</v>
      </c>
      <c r="H86" t="s">
        <v>17</v>
      </c>
      <c r="I86">
        <v>52005002</v>
      </c>
      <c r="J86" s="3">
        <v>2000</v>
      </c>
      <c r="K86" s="16" cm="1">
        <f t="array" ref="K86">_xlfn.XLOOKUP(I86,'Product Mapping'!$C$3:$C$10,'Product Mapping'!$F$3:$F$10*J86)</f>
        <v>80000</v>
      </c>
      <c r="L86" s="11" cm="1">
        <f t="array" ref="L86">_xlfn.XLOOKUP(I86,'Product Mapping'!$C$3:$C$10,'Product Mapping'!$G$3:$G$10*J86)</f>
        <v>14000</v>
      </c>
      <c r="M86" cm="1">
        <f t="array" ref="M86">_xlfn.XLOOKUP(I86,'Product Mapping'!$C$3:$C$10,'Product Mapping'!$H$3:$H$10*J86)</f>
        <v>11000</v>
      </c>
      <c r="N86" s="21">
        <f>Table14[[#This Row],[Volume (L)]]/0.5</f>
        <v>4000</v>
      </c>
    </row>
    <row r="87" spans="1:14" x14ac:dyDescent="0.3">
      <c r="A87" s="14" t="s">
        <v>39</v>
      </c>
      <c r="B87" t="s">
        <v>12</v>
      </c>
      <c r="C87" t="s">
        <v>13</v>
      </c>
      <c r="D87">
        <v>10204958</v>
      </c>
      <c r="E87" t="s">
        <v>14</v>
      </c>
      <c r="F87" t="s">
        <v>18</v>
      </c>
      <c r="G87" t="s">
        <v>16</v>
      </c>
      <c r="H87" t="s">
        <v>19</v>
      </c>
      <c r="I87">
        <v>60022909</v>
      </c>
      <c r="J87" s="3">
        <v>25000</v>
      </c>
      <c r="K87" s="16" cm="1">
        <f t="array" ref="K87">_xlfn.XLOOKUP(I87,'Product Mapping'!$C$3:$C$10,'Product Mapping'!$F$3:$F$10*J87)</f>
        <v>475000</v>
      </c>
      <c r="L87" s="11" cm="1">
        <f t="array" ref="L87">_xlfn.XLOOKUP(I87,'Product Mapping'!$C$3:$C$10,'Product Mapping'!$G$3:$G$10*J87)</f>
        <v>162500</v>
      </c>
      <c r="M87" cm="1">
        <f t="array" ref="M87">_xlfn.XLOOKUP(I87,'Product Mapping'!$C$3:$C$10,'Product Mapping'!$H$3:$H$10*J87)</f>
        <v>700000</v>
      </c>
      <c r="N87" s="21">
        <f>Table14[[#This Row],[Volume (L)]]/0.5</f>
        <v>50000</v>
      </c>
    </row>
    <row r="88" spans="1:14" x14ac:dyDescent="0.3">
      <c r="A88" s="14" t="s">
        <v>39</v>
      </c>
      <c r="B88" t="s">
        <v>12</v>
      </c>
      <c r="C88" t="s">
        <v>20</v>
      </c>
      <c r="D88">
        <v>10205600</v>
      </c>
      <c r="E88" t="s">
        <v>21</v>
      </c>
      <c r="F88" t="s">
        <v>15</v>
      </c>
      <c r="G88" t="s">
        <v>16</v>
      </c>
      <c r="H88" t="s">
        <v>22</v>
      </c>
      <c r="I88">
        <v>52005050</v>
      </c>
      <c r="J88" s="3">
        <v>1500</v>
      </c>
      <c r="K88" s="16" cm="1">
        <f t="array" ref="K88">_xlfn.XLOOKUP(I88,'Product Mapping'!$C$3:$C$10,'Product Mapping'!$F$3:$F$10*J88)</f>
        <v>63000</v>
      </c>
      <c r="L88" s="11" cm="1">
        <f t="array" ref="L88">_xlfn.XLOOKUP(I88,'Product Mapping'!$C$3:$C$10,'Product Mapping'!$G$3:$G$10*J88)</f>
        <v>12750</v>
      </c>
      <c r="M88" cm="1">
        <f t="array" ref="M88">_xlfn.XLOOKUP(I88,'Product Mapping'!$C$3:$C$10,'Product Mapping'!$H$3:$H$10*J88)</f>
        <v>8700</v>
      </c>
      <c r="N88" s="21">
        <f>Table14[[#This Row],[Volume (L)]]/0.5</f>
        <v>3000</v>
      </c>
    </row>
    <row r="89" spans="1:14" x14ac:dyDescent="0.3">
      <c r="A89" s="14" t="s">
        <v>39</v>
      </c>
      <c r="B89" t="s">
        <v>12</v>
      </c>
      <c r="C89" t="s">
        <v>20</v>
      </c>
      <c r="D89">
        <v>10205600</v>
      </c>
      <c r="E89" t="s">
        <v>21</v>
      </c>
      <c r="F89" t="s">
        <v>18</v>
      </c>
      <c r="G89" t="s">
        <v>16</v>
      </c>
      <c r="H89" t="s">
        <v>23</v>
      </c>
      <c r="I89">
        <v>60022300</v>
      </c>
      <c r="J89" s="3">
        <v>18700</v>
      </c>
      <c r="K89" s="16" cm="1">
        <f t="array" ref="K89">_xlfn.XLOOKUP(I89,'Product Mapping'!$C$3:$C$10,'Product Mapping'!$F$3:$F$10*J89)</f>
        <v>336600</v>
      </c>
      <c r="L89" s="11" cm="1">
        <f t="array" ref="L89">_xlfn.XLOOKUP(I89,'Product Mapping'!$C$3:$C$10,'Product Mapping'!$G$3:$G$10*J89)</f>
        <v>112200</v>
      </c>
      <c r="M89" cm="1">
        <f t="array" ref="M89">_xlfn.XLOOKUP(I89,'Product Mapping'!$C$3:$C$10,'Product Mapping'!$H$3:$H$10*J89)</f>
        <v>542300</v>
      </c>
      <c r="N89" s="21">
        <f>Table14[[#This Row],[Volume (L)]]/0.5</f>
        <v>37400</v>
      </c>
    </row>
    <row r="90" spans="1:14" x14ac:dyDescent="0.3">
      <c r="A90" s="14" t="s">
        <v>39</v>
      </c>
      <c r="B90" t="s">
        <v>12</v>
      </c>
      <c r="C90" t="s">
        <v>24</v>
      </c>
      <c r="D90">
        <v>10205252</v>
      </c>
      <c r="E90" t="s">
        <v>25</v>
      </c>
      <c r="F90" t="s">
        <v>15</v>
      </c>
      <c r="G90" t="s">
        <v>16</v>
      </c>
      <c r="H90" t="s">
        <v>22</v>
      </c>
      <c r="I90">
        <v>52005050</v>
      </c>
      <c r="J90" s="3">
        <v>2500</v>
      </c>
      <c r="K90" s="16" cm="1">
        <f t="array" ref="K90">_xlfn.XLOOKUP(I90,'Product Mapping'!$C$3:$C$10,'Product Mapping'!$F$3:$F$10*J90)</f>
        <v>105000</v>
      </c>
      <c r="L90" s="11" cm="1">
        <f t="array" ref="L90">_xlfn.XLOOKUP(I90,'Product Mapping'!$C$3:$C$10,'Product Mapping'!$G$3:$G$10*J90)</f>
        <v>21250</v>
      </c>
      <c r="M90" cm="1">
        <f t="array" ref="M90">_xlfn.XLOOKUP(I90,'Product Mapping'!$C$3:$C$10,'Product Mapping'!$H$3:$H$10*J90)</f>
        <v>14500</v>
      </c>
      <c r="N90" s="21">
        <f>Table14[[#This Row],[Volume (L)]]/0.5</f>
        <v>5000</v>
      </c>
    </row>
    <row r="91" spans="1:14" x14ac:dyDescent="0.3">
      <c r="A91" s="14" t="s">
        <v>39</v>
      </c>
      <c r="B91" t="s">
        <v>12</v>
      </c>
      <c r="C91" t="s">
        <v>24</v>
      </c>
      <c r="D91">
        <v>10205252</v>
      </c>
      <c r="E91" t="s">
        <v>25</v>
      </c>
      <c r="F91" t="s">
        <v>18</v>
      </c>
      <c r="G91" t="s">
        <v>16</v>
      </c>
      <c r="H91" t="s">
        <v>19</v>
      </c>
      <c r="I91">
        <v>60022909</v>
      </c>
      <c r="J91" s="3">
        <v>29000</v>
      </c>
      <c r="K91" s="16" cm="1">
        <f t="array" ref="K91">_xlfn.XLOOKUP(I91,'Product Mapping'!$C$3:$C$10,'Product Mapping'!$F$3:$F$10*J91)</f>
        <v>551000</v>
      </c>
      <c r="L91" s="11" cm="1">
        <f t="array" ref="L91">_xlfn.XLOOKUP(I91,'Product Mapping'!$C$3:$C$10,'Product Mapping'!$G$3:$G$10*J91)</f>
        <v>188500</v>
      </c>
      <c r="M91" cm="1">
        <f t="array" ref="M91">_xlfn.XLOOKUP(I91,'Product Mapping'!$C$3:$C$10,'Product Mapping'!$H$3:$H$10*J91)</f>
        <v>812000</v>
      </c>
      <c r="N91" s="21">
        <f>Table14[[#This Row],[Volume (L)]]/0.5</f>
        <v>58000</v>
      </c>
    </row>
    <row r="92" spans="1:14" x14ac:dyDescent="0.3">
      <c r="A92" s="14" t="s">
        <v>39</v>
      </c>
      <c r="B92" t="s">
        <v>12</v>
      </c>
      <c r="C92" t="s">
        <v>26</v>
      </c>
      <c r="D92">
        <v>10204959</v>
      </c>
      <c r="E92" t="s">
        <v>27</v>
      </c>
      <c r="F92" t="s">
        <v>15</v>
      </c>
      <c r="G92" t="s">
        <v>16</v>
      </c>
      <c r="H92" t="s">
        <v>17</v>
      </c>
      <c r="I92">
        <v>52005002</v>
      </c>
      <c r="J92" s="3">
        <v>1200</v>
      </c>
      <c r="K92" s="16" cm="1">
        <f t="array" ref="K92">_xlfn.XLOOKUP(I92,'Product Mapping'!$C$3:$C$10,'Product Mapping'!$F$3:$F$10*J92)</f>
        <v>48000</v>
      </c>
      <c r="L92" s="11" cm="1">
        <f t="array" ref="L92">_xlfn.XLOOKUP(I92,'Product Mapping'!$C$3:$C$10,'Product Mapping'!$G$3:$G$10*J92)</f>
        <v>8400</v>
      </c>
      <c r="M92" cm="1">
        <f t="array" ref="M92">_xlfn.XLOOKUP(I92,'Product Mapping'!$C$3:$C$10,'Product Mapping'!$H$3:$H$10*J92)</f>
        <v>6600</v>
      </c>
      <c r="N92" s="21">
        <f>Table14[[#This Row],[Volume (L)]]/0.5</f>
        <v>2400</v>
      </c>
    </row>
    <row r="93" spans="1:14" x14ac:dyDescent="0.3">
      <c r="A93" s="14" t="s">
        <v>39</v>
      </c>
      <c r="B93" t="s">
        <v>12</v>
      </c>
      <c r="C93" t="s">
        <v>26</v>
      </c>
      <c r="D93">
        <v>10204959</v>
      </c>
      <c r="E93" t="s">
        <v>27</v>
      </c>
      <c r="F93" t="s">
        <v>18</v>
      </c>
      <c r="G93" t="s">
        <v>16</v>
      </c>
      <c r="H93" t="s">
        <v>23</v>
      </c>
      <c r="I93">
        <v>60022300</v>
      </c>
      <c r="J93" s="3">
        <v>22000</v>
      </c>
      <c r="K93" s="16" cm="1">
        <f t="array" ref="K93">_xlfn.XLOOKUP(I93,'Product Mapping'!$C$3:$C$10,'Product Mapping'!$F$3:$F$10*J93)</f>
        <v>396000</v>
      </c>
      <c r="L93" s="11" cm="1">
        <f t="array" ref="L93">_xlfn.XLOOKUP(I93,'Product Mapping'!$C$3:$C$10,'Product Mapping'!$G$3:$G$10*J93)</f>
        <v>132000</v>
      </c>
      <c r="M93" cm="1">
        <f t="array" ref="M93">_xlfn.XLOOKUP(I93,'Product Mapping'!$C$3:$C$10,'Product Mapping'!$H$3:$H$10*J93)</f>
        <v>638000</v>
      </c>
      <c r="N93" s="21">
        <f>Table14[[#This Row],[Volume (L)]]/0.5</f>
        <v>44000</v>
      </c>
    </row>
    <row r="94" spans="1:14" x14ac:dyDescent="0.3">
      <c r="A94" s="14" t="s">
        <v>39</v>
      </c>
      <c r="B94" t="s">
        <v>12</v>
      </c>
      <c r="C94" t="s">
        <v>28</v>
      </c>
      <c r="D94">
        <v>10205590</v>
      </c>
      <c r="E94" t="s">
        <v>29</v>
      </c>
      <c r="F94" t="s">
        <v>15</v>
      </c>
      <c r="G94" t="s">
        <v>16</v>
      </c>
      <c r="H94" t="s">
        <v>22</v>
      </c>
      <c r="I94">
        <v>52005050</v>
      </c>
      <c r="J94" s="3">
        <v>800</v>
      </c>
      <c r="K94" s="16" cm="1">
        <f t="array" ref="K94">_xlfn.XLOOKUP(I94,'Product Mapping'!$C$3:$C$10,'Product Mapping'!$F$3:$F$10*J94)</f>
        <v>33600</v>
      </c>
      <c r="L94" s="11" cm="1">
        <f t="array" ref="L94">_xlfn.XLOOKUP(I94,'Product Mapping'!$C$3:$C$10,'Product Mapping'!$G$3:$G$10*J94)</f>
        <v>6800</v>
      </c>
      <c r="M94" cm="1">
        <f t="array" ref="M94">_xlfn.XLOOKUP(I94,'Product Mapping'!$C$3:$C$10,'Product Mapping'!$H$3:$H$10*J94)</f>
        <v>4640</v>
      </c>
      <c r="N94" s="21">
        <f>Table14[[#This Row],[Volume (L)]]/0.5</f>
        <v>1600</v>
      </c>
    </row>
    <row r="95" spans="1:14" x14ac:dyDescent="0.3">
      <c r="A95" s="14" t="s">
        <v>39</v>
      </c>
      <c r="B95" t="s">
        <v>12</v>
      </c>
      <c r="C95" t="s">
        <v>28</v>
      </c>
      <c r="D95">
        <v>10205590</v>
      </c>
      <c r="E95" t="s">
        <v>29</v>
      </c>
      <c r="F95" t="s">
        <v>18</v>
      </c>
      <c r="G95" t="s">
        <v>16</v>
      </c>
      <c r="H95" t="s">
        <v>19</v>
      </c>
      <c r="I95">
        <v>60022909</v>
      </c>
      <c r="J95" s="3">
        <v>12000</v>
      </c>
      <c r="K95" s="16" cm="1">
        <f t="array" ref="K95">_xlfn.XLOOKUP(I95,'Product Mapping'!$C$3:$C$10,'Product Mapping'!$F$3:$F$10*J95)</f>
        <v>228000</v>
      </c>
      <c r="L95" s="11" cm="1">
        <f t="array" ref="L95">_xlfn.XLOOKUP(I95,'Product Mapping'!$C$3:$C$10,'Product Mapping'!$G$3:$G$10*J95)</f>
        <v>78000</v>
      </c>
      <c r="M95" cm="1">
        <f t="array" ref="M95">_xlfn.XLOOKUP(I95,'Product Mapping'!$C$3:$C$10,'Product Mapping'!$H$3:$H$10*J95)</f>
        <v>336000</v>
      </c>
      <c r="N95" s="21">
        <f>Table14[[#This Row],[Volume (L)]]/0.5</f>
        <v>24000</v>
      </c>
    </row>
    <row r="96" spans="1:14" x14ac:dyDescent="0.3">
      <c r="A96" s="14" t="s">
        <v>39</v>
      </c>
      <c r="B96" t="s">
        <v>12</v>
      </c>
      <c r="C96" t="s">
        <v>30</v>
      </c>
      <c r="D96">
        <v>10204957</v>
      </c>
      <c r="E96" t="s">
        <v>31</v>
      </c>
      <c r="F96" t="s">
        <v>15</v>
      </c>
      <c r="G96" t="s">
        <v>16</v>
      </c>
      <c r="H96" t="s">
        <v>17</v>
      </c>
      <c r="I96">
        <v>52005002</v>
      </c>
      <c r="J96" s="3">
        <v>1800</v>
      </c>
      <c r="K96" s="16" cm="1">
        <f t="array" ref="K96">_xlfn.XLOOKUP(I96,'Product Mapping'!$C$3:$C$10,'Product Mapping'!$F$3:$F$10*J96)</f>
        <v>72000</v>
      </c>
      <c r="L96" s="11" cm="1">
        <f t="array" ref="L96">_xlfn.XLOOKUP(I96,'Product Mapping'!$C$3:$C$10,'Product Mapping'!$G$3:$G$10*J96)</f>
        <v>12600</v>
      </c>
      <c r="M96" cm="1">
        <f t="array" ref="M96">_xlfn.XLOOKUP(I96,'Product Mapping'!$C$3:$C$10,'Product Mapping'!$H$3:$H$10*J96)</f>
        <v>9900</v>
      </c>
      <c r="N96" s="21">
        <f>Table14[[#This Row],[Volume (L)]]/0.5</f>
        <v>3600</v>
      </c>
    </row>
    <row r="97" spans="1:14" x14ac:dyDescent="0.3">
      <c r="A97" s="14" t="s">
        <v>39</v>
      </c>
      <c r="B97" t="s">
        <v>12</v>
      </c>
      <c r="C97" t="s">
        <v>30</v>
      </c>
      <c r="D97">
        <v>10204957</v>
      </c>
      <c r="E97" t="s">
        <v>31</v>
      </c>
      <c r="F97" t="s">
        <v>18</v>
      </c>
      <c r="G97" t="s">
        <v>16</v>
      </c>
      <c r="H97" t="s">
        <v>19</v>
      </c>
      <c r="I97">
        <v>60022909</v>
      </c>
      <c r="J97" s="3">
        <v>16900</v>
      </c>
      <c r="K97" s="16" cm="1">
        <f t="array" ref="K97">_xlfn.XLOOKUP(I97,'Product Mapping'!$C$3:$C$10,'Product Mapping'!$F$3:$F$10*J97)</f>
        <v>321100</v>
      </c>
      <c r="L97" s="11" cm="1">
        <f t="array" ref="L97">_xlfn.XLOOKUP(I97,'Product Mapping'!$C$3:$C$10,'Product Mapping'!$G$3:$G$10*J97)</f>
        <v>109850</v>
      </c>
      <c r="M97" cm="1">
        <f t="array" ref="M97">_xlfn.XLOOKUP(I97,'Product Mapping'!$C$3:$C$10,'Product Mapping'!$H$3:$H$10*J97)</f>
        <v>473200</v>
      </c>
      <c r="N97" s="21">
        <f>Table14[[#This Row],[Volume (L)]]/0.5</f>
        <v>33800</v>
      </c>
    </row>
    <row r="98" spans="1:14" x14ac:dyDescent="0.3">
      <c r="A98" s="14" t="s">
        <v>39</v>
      </c>
      <c r="B98" t="s">
        <v>12</v>
      </c>
      <c r="C98" t="s">
        <v>32</v>
      </c>
      <c r="D98">
        <v>10204980</v>
      </c>
      <c r="E98" t="s">
        <v>33</v>
      </c>
      <c r="F98" t="s">
        <v>15</v>
      </c>
      <c r="G98" t="s">
        <v>16</v>
      </c>
      <c r="H98" t="s">
        <v>17</v>
      </c>
      <c r="I98">
        <v>52005002</v>
      </c>
      <c r="J98" s="3">
        <v>2500</v>
      </c>
      <c r="K98" s="16" cm="1">
        <f t="array" ref="K98">_xlfn.XLOOKUP(I98,'Product Mapping'!$C$3:$C$10,'Product Mapping'!$F$3:$F$10*J98)</f>
        <v>100000</v>
      </c>
      <c r="L98" s="11" cm="1">
        <f t="array" ref="L98">_xlfn.XLOOKUP(I98,'Product Mapping'!$C$3:$C$10,'Product Mapping'!$G$3:$G$10*J98)</f>
        <v>17500</v>
      </c>
      <c r="M98" cm="1">
        <f t="array" ref="M98">_xlfn.XLOOKUP(I98,'Product Mapping'!$C$3:$C$10,'Product Mapping'!$H$3:$H$10*J98)</f>
        <v>13750</v>
      </c>
      <c r="N98" s="21">
        <f>Table14[[#This Row],[Volume (L)]]/0.5</f>
        <v>5000</v>
      </c>
    </row>
    <row r="99" spans="1:14" x14ac:dyDescent="0.3">
      <c r="A99" s="14" t="s">
        <v>39</v>
      </c>
      <c r="B99" t="s">
        <v>12</v>
      </c>
      <c r="C99" t="s">
        <v>32</v>
      </c>
      <c r="D99">
        <v>10204980</v>
      </c>
      <c r="E99" t="s">
        <v>33</v>
      </c>
      <c r="F99" t="s">
        <v>18</v>
      </c>
      <c r="G99" t="s">
        <v>16</v>
      </c>
      <c r="H99" t="s">
        <v>23</v>
      </c>
      <c r="I99">
        <v>60022300</v>
      </c>
      <c r="J99" s="3">
        <v>28000</v>
      </c>
      <c r="K99" s="16" cm="1">
        <f t="array" ref="K99">_xlfn.XLOOKUP(I99,'Product Mapping'!$C$3:$C$10,'Product Mapping'!$F$3:$F$10*J99)</f>
        <v>504000</v>
      </c>
      <c r="L99" s="11" cm="1">
        <f t="array" ref="L99">_xlfn.XLOOKUP(I99,'Product Mapping'!$C$3:$C$10,'Product Mapping'!$G$3:$G$10*J99)</f>
        <v>168000</v>
      </c>
      <c r="M99" cm="1">
        <f t="array" ref="M99">_xlfn.XLOOKUP(I99,'Product Mapping'!$C$3:$C$10,'Product Mapping'!$H$3:$H$10*J99)</f>
        <v>812000</v>
      </c>
      <c r="N99" s="21">
        <f>Table14[[#This Row],[Volume (L)]]/0.5</f>
        <v>56000</v>
      </c>
    </row>
    <row r="100" spans="1:14" x14ac:dyDescent="0.3">
      <c r="A100" s="14" t="s">
        <v>40</v>
      </c>
      <c r="B100" t="s">
        <v>12</v>
      </c>
      <c r="C100" t="s">
        <v>13</v>
      </c>
      <c r="D100">
        <v>10204958</v>
      </c>
      <c r="E100" t="s">
        <v>14</v>
      </c>
      <c r="F100" t="s">
        <v>15</v>
      </c>
      <c r="G100" t="s">
        <v>16</v>
      </c>
      <c r="H100" t="s">
        <v>17</v>
      </c>
      <c r="I100">
        <v>52005002</v>
      </c>
      <c r="J100" s="3">
        <v>1500</v>
      </c>
      <c r="K100" s="16" cm="1">
        <f t="array" ref="K100">_xlfn.XLOOKUP(I100,'Product Mapping'!$C$3:$C$10,'Product Mapping'!$F$3:$F$10*J100)</f>
        <v>60000</v>
      </c>
      <c r="L100" s="11" cm="1">
        <f t="array" ref="L100">_xlfn.XLOOKUP(I100,'Product Mapping'!$C$3:$C$10,'Product Mapping'!$G$3:$G$10*J100)</f>
        <v>10500</v>
      </c>
      <c r="M100" cm="1">
        <f t="array" ref="M100">_xlfn.XLOOKUP(I100,'Product Mapping'!$C$3:$C$10,'Product Mapping'!$H$3:$H$10*J100)</f>
        <v>8250</v>
      </c>
      <c r="N100" s="21">
        <f>Table14[[#This Row],[Volume (L)]]/0.5</f>
        <v>3000</v>
      </c>
    </row>
    <row r="101" spans="1:14" x14ac:dyDescent="0.3">
      <c r="A101" s="14" t="s">
        <v>40</v>
      </c>
      <c r="B101" t="s">
        <v>12</v>
      </c>
      <c r="C101" t="s">
        <v>13</v>
      </c>
      <c r="D101">
        <v>10204958</v>
      </c>
      <c r="E101" t="s">
        <v>14</v>
      </c>
      <c r="F101" t="s">
        <v>18</v>
      </c>
      <c r="G101" t="s">
        <v>16</v>
      </c>
      <c r="H101" t="s">
        <v>19</v>
      </c>
      <c r="I101">
        <v>60022909</v>
      </c>
      <c r="J101" s="3">
        <v>23000</v>
      </c>
      <c r="K101" s="16" cm="1">
        <f t="array" ref="K101">_xlfn.XLOOKUP(I101,'Product Mapping'!$C$3:$C$10,'Product Mapping'!$F$3:$F$10*J101)</f>
        <v>437000</v>
      </c>
      <c r="L101" s="11" cm="1">
        <f t="array" ref="L101">_xlfn.XLOOKUP(I101,'Product Mapping'!$C$3:$C$10,'Product Mapping'!$G$3:$G$10*J101)</f>
        <v>149500</v>
      </c>
      <c r="M101" cm="1">
        <f t="array" ref="M101">_xlfn.XLOOKUP(I101,'Product Mapping'!$C$3:$C$10,'Product Mapping'!$H$3:$H$10*J101)</f>
        <v>644000</v>
      </c>
      <c r="N101" s="21">
        <f>Table14[[#This Row],[Volume (L)]]/0.5</f>
        <v>46000</v>
      </c>
    </row>
    <row r="102" spans="1:14" x14ac:dyDescent="0.3">
      <c r="A102" s="14" t="s">
        <v>40</v>
      </c>
      <c r="B102" t="s">
        <v>12</v>
      </c>
      <c r="C102" t="s">
        <v>20</v>
      </c>
      <c r="D102">
        <v>10205600</v>
      </c>
      <c r="E102" t="s">
        <v>21</v>
      </c>
      <c r="F102" t="s">
        <v>15</v>
      </c>
      <c r="G102" t="s">
        <v>16</v>
      </c>
      <c r="H102" t="s">
        <v>22</v>
      </c>
      <c r="I102">
        <v>52005050</v>
      </c>
      <c r="J102" s="3">
        <v>1100</v>
      </c>
      <c r="K102" s="16" cm="1">
        <f t="array" ref="K102">_xlfn.XLOOKUP(I102,'Product Mapping'!$C$3:$C$10,'Product Mapping'!$F$3:$F$10*J102)</f>
        <v>46200</v>
      </c>
      <c r="L102" s="11" cm="1">
        <f t="array" ref="L102">_xlfn.XLOOKUP(I102,'Product Mapping'!$C$3:$C$10,'Product Mapping'!$G$3:$G$10*J102)</f>
        <v>9350</v>
      </c>
      <c r="M102" cm="1">
        <f t="array" ref="M102">_xlfn.XLOOKUP(I102,'Product Mapping'!$C$3:$C$10,'Product Mapping'!$H$3:$H$10*J102)</f>
        <v>6380</v>
      </c>
      <c r="N102" s="21">
        <f>Table14[[#This Row],[Volume (L)]]/0.5</f>
        <v>2200</v>
      </c>
    </row>
    <row r="103" spans="1:14" x14ac:dyDescent="0.3">
      <c r="A103" s="14" t="s">
        <v>40</v>
      </c>
      <c r="B103" t="s">
        <v>12</v>
      </c>
      <c r="C103" t="s">
        <v>20</v>
      </c>
      <c r="D103">
        <v>10205600</v>
      </c>
      <c r="E103" t="s">
        <v>21</v>
      </c>
      <c r="F103" t="s">
        <v>18</v>
      </c>
      <c r="G103" t="s">
        <v>16</v>
      </c>
      <c r="H103" t="s">
        <v>23</v>
      </c>
      <c r="I103">
        <v>60022300</v>
      </c>
      <c r="J103" s="3">
        <v>19700</v>
      </c>
      <c r="K103" s="16" cm="1">
        <f t="array" ref="K103">_xlfn.XLOOKUP(I103,'Product Mapping'!$C$3:$C$10,'Product Mapping'!$F$3:$F$10*J103)</f>
        <v>354600</v>
      </c>
      <c r="L103" s="11" cm="1">
        <f t="array" ref="L103">_xlfn.XLOOKUP(I103,'Product Mapping'!$C$3:$C$10,'Product Mapping'!$G$3:$G$10*J103)</f>
        <v>118200</v>
      </c>
      <c r="M103" cm="1">
        <f t="array" ref="M103">_xlfn.XLOOKUP(I103,'Product Mapping'!$C$3:$C$10,'Product Mapping'!$H$3:$H$10*J103)</f>
        <v>571300</v>
      </c>
      <c r="N103" s="21">
        <f>Table14[[#This Row],[Volume (L)]]/0.5</f>
        <v>39400</v>
      </c>
    </row>
    <row r="104" spans="1:14" x14ac:dyDescent="0.3">
      <c r="A104" s="14" t="s">
        <v>40</v>
      </c>
      <c r="B104" t="s">
        <v>12</v>
      </c>
      <c r="C104" t="s">
        <v>24</v>
      </c>
      <c r="D104">
        <v>10205252</v>
      </c>
      <c r="E104" t="s">
        <v>25</v>
      </c>
      <c r="F104" t="s">
        <v>15</v>
      </c>
      <c r="G104" t="s">
        <v>16</v>
      </c>
      <c r="H104" t="s">
        <v>22</v>
      </c>
      <c r="I104">
        <v>52005050</v>
      </c>
      <c r="J104" s="3">
        <v>2000</v>
      </c>
      <c r="K104" s="16" cm="1">
        <f t="array" ref="K104">_xlfn.XLOOKUP(I104,'Product Mapping'!$C$3:$C$10,'Product Mapping'!$F$3:$F$10*J104)</f>
        <v>84000</v>
      </c>
      <c r="L104" s="11" cm="1">
        <f t="array" ref="L104">_xlfn.XLOOKUP(I104,'Product Mapping'!$C$3:$C$10,'Product Mapping'!$G$3:$G$10*J104)</f>
        <v>17000</v>
      </c>
      <c r="M104" cm="1">
        <f t="array" ref="M104">_xlfn.XLOOKUP(I104,'Product Mapping'!$C$3:$C$10,'Product Mapping'!$H$3:$H$10*J104)</f>
        <v>11600</v>
      </c>
      <c r="N104" s="21">
        <f>Table14[[#This Row],[Volume (L)]]/0.5</f>
        <v>4000</v>
      </c>
    </row>
    <row r="105" spans="1:14" x14ac:dyDescent="0.3">
      <c r="A105" s="14" t="s">
        <v>40</v>
      </c>
      <c r="B105" t="s">
        <v>12</v>
      </c>
      <c r="C105" t="s">
        <v>24</v>
      </c>
      <c r="D105">
        <v>10205252</v>
      </c>
      <c r="E105" t="s">
        <v>25</v>
      </c>
      <c r="F105" t="s">
        <v>18</v>
      </c>
      <c r="G105" t="s">
        <v>16</v>
      </c>
      <c r="H105" t="s">
        <v>19</v>
      </c>
      <c r="I105">
        <v>60022909</v>
      </c>
      <c r="J105" s="3">
        <v>30000</v>
      </c>
      <c r="K105" s="16" cm="1">
        <f t="array" ref="K105">_xlfn.XLOOKUP(I105,'Product Mapping'!$C$3:$C$10,'Product Mapping'!$F$3:$F$10*J105)</f>
        <v>570000</v>
      </c>
      <c r="L105" s="11" cm="1">
        <f t="array" ref="L105">_xlfn.XLOOKUP(I105,'Product Mapping'!$C$3:$C$10,'Product Mapping'!$G$3:$G$10*J105)</f>
        <v>195000</v>
      </c>
      <c r="M105" cm="1">
        <f t="array" ref="M105">_xlfn.XLOOKUP(I105,'Product Mapping'!$C$3:$C$10,'Product Mapping'!$H$3:$H$10*J105)</f>
        <v>840000</v>
      </c>
      <c r="N105" s="21">
        <f>Table14[[#This Row],[Volume (L)]]/0.5</f>
        <v>60000</v>
      </c>
    </row>
    <row r="106" spans="1:14" x14ac:dyDescent="0.3">
      <c r="A106" s="14" t="s">
        <v>40</v>
      </c>
      <c r="B106" t="s">
        <v>12</v>
      </c>
      <c r="C106" t="s">
        <v>26</v>
      </c>
      <c r="D106">
        <v>10204959</v>
      </c>
      <c r="E106" t="s">
        <v>27</v>
      </c>
      <c r="F106" t="s">
        <v>15</v>
      </c>
      <c r="G106" t="s">
        <v>16</v>
      </c>
      <c r="H106" t="s">
        <v>17</v>
      </c>
      <c r="I106">
        <v>52005002</v>
      </c>
      <c r="J106" s="3">
        <v>1200</v>
      </c>
      <c r="K106" s="16" cm="1">
        <f t="array" ref="K106">_xlfn.XLOOKUP(I106,'Product Mapping'!$C$3:$C$10,'Product Mapping'!$F$3:$F$10*J106)</f>
        <v>48000</v>
      </c>
      <c r="L106" s="11" cm="1">
        <f t="array" ref="L106">_xlfn.XLOOKUP(I106,'Product Mapping'!$C$3:$C$10,'Product Mapping'!$G$3:$G$10*J106)</f>
        <v>8400</v>
      </c>
      <c r="M106" cm="1">
        <f t="array" ref="M106">_xlfn.XLOOKUP(I106,'Product Mapping'!$C$3:$C$10,'Product Mapping'!$H$3:$H$10*J106)</f>
        <v>6600</v>
      </c>
      <c r="N106" s="21">
        <f>Table14[[#This Row],[Volume (L)]]/0.5</f>
        <v>2400</v>
      </c>
    </row>
    <row r="107" spans="1:14" x14ac:dyDescent="0.3">
      <c r="A107" s="14" t="s">
        <v>40</v>
      </c>
      <c r="B107" t="s">
        <v>12</v>
      </c>
      <c r="C107" t="s">
        <v>26</v>
      </c>
      <c r="D107">
        <v>10204959</v>
      </c>
      <c r="E107" t="s">
        <v>27</v>
      </c>
      <c r="F107" t="s">
        <v>18</v>
      </c>
      <c r="G107" t="s">
        <v>16</v>
      </c>
      <c r="H107" t="s">
        <v>23</v>
      </c>
      <c r="I107">
        <v>60022300</v>
      </c>
      <c r="J107" s="3">
        <v>21000</v>
      </c>
      <c r="K107" s="16" cm="1">
        <f t="array" ref="K107">_xlfn.XLOOKUP(I107,'Product Mapping'!$C$3:$C$10,'Product Mapping'!$F$3:$F$10*J107)</f>
        <v>378000</v>
      </c>
      <c r="L107" s="11" cm="1">
        <f t="array" ref="L107">_xlfn.XLOOKUP(I107,'Product Mapping'!$C$3:$C$10,'Product Mapping'!$G$3:$G$10*J107)</f>
        <v>126000</v>
      </c>
      <c r="M107" cm="1">
        <f t="array" ref="M107">_xlfn.XLOOKUP(I107,'Product Mapping'!$C$3:$C$10,'Product Mapping'!$H$3:$H$10*J107)</f>
        <v>609000</v>
      </c>
      <c r="N107" s="21">
        <f>Table14[[#This Row],[Volume (L)]]/0.5</f>
        <v>42000</v>
      </c>
    </row>
    <row r="108" spans="1:14" x14ac:dyDescent="0.3">
      <c r="A108" s="14" t="s">
        <v>40</v>
      </c>
      <c r="B108" t="s">
        <v>12</v>
      </c>
      <c r="C108" t="s">
        <v>28</v>
      </c>
      <c r="D108">
        <v>10205590</v>
      </c>
      <c r="E108" t="s">
        <v>29</v>
      </c>
      <c r="F108" t="s">
        <v>15</v>
      </c>
      <c r="G108" t="s">
        <v>16</v>
      </c>
      <c r="H108" t="s">
        <v>22</v>
      </c>
      <c r="I108">
        <v>52005050</v>
      </c>
      <c r="J108" s="3">
        <v>700</v>
      </c>
      <c r="K108" s="16" cm="1">
        <f t="array" ref="K108">_xlfn.XLOOKUP(I108,'Product Mapping'!$C$3:$C$10,'Product Mapping'!$F$3:$F$10*J108)</f>
        <v>29400</v>
      </c>
      <c r="L108" s="11" cm="1">
        <f t="array" ref="L108">_xlfn.XLOOKUP(I108,'Product Mapping'!$C$3:$C$10,'Product Mapping'!$G$3:$G$10*J108)</f>
        <v>5950</v>
      </c>
      <c r="M108" cm="1">
        <f t="array" ref="M108">_xlfn.XLOOKUP(I108,'Product Mapping'!$C$3:$C$10,'Product Mapping'!$H$3:$H$10*J108)</f>
        <v>4060</v>
      </c>
      <c r="N108" s="21">
        <f>Table14[[#This Row],[Volume (L)]]/0.5</f>
        <v>1400</v>
      </c>
    </row>
    <row r="109" spans="1:14" x14ac:dyDescent="0.3">
      <c r="A109" s="14" t="s">
        <v>40</v>
      </c>
      <c r="B109" t="s">
        <v>12</v>
      </c>
      <c r="C109" t="s">
        <v>28</v>
      </c>
      <c r="D109">
        <v>10205590</v>
      </c>
      <c r="E109" t="s">
        <v>29</v>
      </c>
      <c r="F109" t="s">
        <v>18</v>
      </c>
      <c r="G109" t="s">
        <v>16</v>
      </c>
      <c r="H109" t="s">
        <v>19</v>
      </c>
      <c r="I109">
        <v>60022909</v>
      </c>
      <c r="J109" s="3">
        <v>13000</v>
      </c>
      <c r="K109" s="16" cm="1">
        <f t="array" ref="K109">_xlfn.XLOOKUP(I109,'Product Mapping'!$C$3:$C$10,'Product Mapping'!$F$3:$F$10*J109)</f>
        <v>247000</v>
      </c>
      <c r="L109" s="11" cm="1">
        <f t="array" ref="L109">_xlfn.XLOOKUP(I109,'Product Mapping'!$C$3:$C$10,'Product Mapping'!$G$3:$G$10*J109)</f>
        <v>84500</v>
      </c>
      <c r="M109" cm="1">
        <f t="array" ref="M109">_xlfn.XLOOKUP(I109,'Product Mapping'!$C$3:$C$10,'Product Mapping'!$H$3:$H$10*J109)</f>
        <v>364000</v>
      </c>
      <c r="N109" s="21">
        <f>Table14[[#This Row],[Volume (L)]]/0.5</f>
        <v>26000</v>
      </c>
    </row>
    <row r="110" spans="1:14" x14ac:dyDescent="0.3">
      <c r="A110" s="14" t="s">
        <v>40</v>
      </c>
      <c r="B110" t="s">
        <v>12</v>
      </c>
      <c r="C110" t="s">
        <v>30</v>
      </c>
      <c r="D110">
        <v>10204957</v>
      </c>
      <c r="E110" t="s">
        <v>31</v>
      </c>
      <c r="F110" t="s">
        <v>15</v>
      </c>
      <c r="G110" t="s">
        <v>16</v>
      </c>
      <c r="H110" t="s">
        <v>17</v>
      </c>
      <c r="I110">
        <v>52005002</v>
      </c>
      <c r="J110" s="3">
        <v>1400</v>
      </c>
      <c r="K110" s="16" cm="1">
        <f t="array" ref="K110">_xlfn.XLOOKUP(I110,'Product Mapping'!$C$3:$C$10,'Product Mapping'!$F$3:$F$10*J110)</f>
        <v>56000</v>
      </c>
      <c r="L110" s="11" cm="1">
        <f t="array" ref="L110">_xlfn.XLOOKUP(I110,'Product Mapping'!$C$3:$C$10,'Product Mapping'!$G$3:$G$10*J110)</f>
        <v>9800</v>
      </c>
      <c r="M110" cm="1">
        <f t="array" ref="M110">_xlfn.XLOOKUP(I110,'Product Mapping'!$C$3:$C$10,'Product Mapping'!$H$3:$H$10*J110)</f>
        <v>7700</v>
      </c>
      <c r="N110" s="21">
        <f>Table14[[#This Row],[Volume (L)]]/0.5</f>
        <v>2800</v>
      </c>
    </row>
    <row r="111" spans="1:14" x14ac:dyDescent="0.3">
      <c r="A111" s="14" t="s">
        <v>40</v>
      </c>
      <c r="B111" t="s">
        <v>12</v>
      </c>
      <c r="C111" t="s">
        <v>30</v>
      </c>
      <c r="D111">
        <v>10204957</v>
      </c>
      <c r="E111" t="s">
        <v>31</v>
      </c>
      <c r="F111" t="s">
        <v>18</v>
      </c>
      <c r="G111" t="s">
        <v>16</v>
      </c>
      <c r="H111" t="s">
        <v>19</v>
      </c>
      <c r="I111">
        <v>60022909</v>
      </c>
      <c r="J111" s="3">
        <v>15900</v>
      </c>
      <c r="K111" s="16" cm="1">
        <f t="array" ref="K111">_xlfn.XLOOKUP(I111,'Product Mapping'!$C$3:$C$10,'Product Mapping'!$F$3:$F$10*J111)</f>
        <v>302100</v>
      </c>
      <c r="L111" s="11" cm="1">
        <f t="array" ref="L111">_xlfn.XLOOKUP(I111,'Product Mapping'!$C$3:$C$10,'Product Mapping'!$G$3:$G$10*J111)</f>
        <v>103350</v>
      </c>
      <c r="M111" cm="1">
        <f t="array" ref="M111">_xlfn.XLOOKUP(I111,'Product Mapping'!$C$3:$C$10,'Product Mapping'!$H$3:$H$10*J111)</f>
        <v>445200</v>
      </c>
      <c r="N111" s="21">
        <f>Table14[[#This Row],[Volume (L)]]/0.5</f>
        <v>31800</v>
      </c>
    </row>
    <row r="112" spans="1:14" x14ac:dyDescent="0.3">
      <c r="A112" s="14" t="s">
        <v>40</v>
      </c>
      <c r="B112" t="s">
        <v>12</v>
      </c>
      <c r="C112" t="s">
        <v>32</v>
      </c>
      <c r="D112">
        <v>10204980</v>
      </c>
      <c r="E112" t="s">
        <v>33</v>
      </c>
      <c r="F112" t="s">
        <v>15</v>
      </c>
      <c r="G112" t="s">
        <v>16</v>
      </c>
      <c r="H112" t="s">
        <v>17</v>
      </c>
      <c r="I112">
        <v>52005002</v>
      </c>
      <c r="J112" s="3">
        <v>2100</v>
      </c>
      <c r="K112" s="16" cm="1">
        <f t="array" ref="K112">_xlfn.XLOOKUP(I112,'Product Mapping'!$C$3:$C$10,'Product Mapping'!$F$3:$F$10*J112)</f>
        <v>84000</v>
      </c>
      <c r="L112" s="11" cm="1">
        <f t="array" ref="L112">_xlfn.XLOOKUP(I112,'Product Mapping'!$C$3:$C$10,'Product Mapping'!$G$3:$G$10*J112)</f>
        <v>14700</v>
      </c>
      <c r="M112" cm="1">
        <f t="array" ref="M112">_xlfn.XLOOKUP(I112,'Product Mapping'!$C$3:$C$10,'Product Mapping'!$H$3:$H$10*J112)</f>
        <v>11550</v>
      </c>
      <c r="N112" s="21">
        <f>Table14[[#This Row],[Volume (L)]]/0.5</f>
        <v>4200</v>
      </c>
    </row>
    <row r="113" spans="1:14" x14ac:dyDescent="0.3">
      <c r="A113" s="14" t="s">
        <v>40</v>
      </c>
      <c r="B113" t="s">
        <v>12</v>
      </c>
      <c r="C113" t="s">
        <v>32</v>
      </c>
      <c r="D113">
        <v>10204980</v>
      </c>
      <c r="E113" t="s">
        <v>33</v>
      </c>
      <c r="F113" t="s">
        <v>18</v>
      </c>
      <c r="G113" t="s">
        <v>16</v>
      </c>
      <c r="H113" t="s">
        <v>23</v>
      </c>
      <c r="I113">
        <v>60022300</v>
      </c>
      <c r="J113" s="3">
        <v>28700</v>
      </c>
      <c r="K113" s="16" cm="1">
        <f t="array" ref="K113">_xlfn.XLOOKUP(I113,'Product Mapping'!$C$3:$C$10,'Product Mapping'!$F$3:$F$10*J113)</f>
        <v>516600</v>
      </c>
      <c r="L113" s="11" cm="1">
        <f t="array" ref="L113">_xlfn.XLOOKUP(I113,'Product Mapping'!$C$3:$C$10,'Product Mapping'!$G$3:$G$10*J113)</f>
        <v>172200</v>
      </c>
      <c r="M113" cm="1">
        <f t="array" ref="M113">_xlfn.XLOOKUP(I113,'Product Mapping'!$C$3:$C$10,'Product Mapping'!$H$3:$H$10*J113)</f>
        <v>832300</v>
      </c>
      <c r="N113" s="21">
        <f>Table14[[#This Row],[Volume (L)]]/0.5</f>
        <v>57400</v>
      </c>
    </row>
    <row r="114" spans="1:14" x14ac:dyDescent="0.3">
      <c r="A114" s="14" t="s">
        <v>41</v>
      </c>
      <c r="B114" t="s">
        <v>12</v>
      </c>
      <c r="C114" t="s">
        <v>13</v>
      </c>
      <c r="D114">
        <v>10204958</v>
      </c>
      <c r="E114" t="s">
        <v>14</v>
      </c>
      <c r="F114" t="s">
        <v>15</v>
      </c>
      <c r="G114" t="s">
        <v>16</v>
      </c>
      <c r="H114" t="s">
        <v>17</v>
      </c>
      <c r="I114">
        <v>52005002</v>
      </c>
      <c r="J114" s="3">
        <v>2000</v>
      </c>
      <c r="K114" s="16" cm="1">
        <f t="array" ref="K114">_xlfn.XLOOKUP(I114,'Product Mapping'!$C$3:$C$10,'Product Mapping'!$F$3:$F$10*J114)</f>
        <v>80000</v>
      </c>
      <c r="L114" s="11" cm="1">
        <f t="array" ref="L114">_xlfn.XLOOKUP(I114,'Product Mapping'!$C$3:$C$10,'Product Mapping'!$G$3:$G$10*J114)</f>
        <v>14000</v>
      </c>
      <c r="M114" cm="1">
        <f t="array" ref="M114">_xlfn.XLOOKUP(I114,'Product Mapping'!$C$3:$C$10,'Product Mapping'!$H$3:$H$10*J114)</f>
        <v>11000</v>
      </c>
      <c r="N114" s="21">
        <f>Table14[[#This Row],[Volume (L)]]/0.5</f>
        <v>4000</v>
      </c>
    </row>
    <row r="115" spans="1:14" x14ac:dyDescent="0.3">
      <c r="A115" s="14" t="s">
        <v>41</v>
      </c>
      <c r="B115" t="s">
        <v>12</v>
      </c>
      <c r="C115" t="s">
        <v>13</v>
      </c>
      <c r="D115">
        <v>10204958</v>
      </c>
      <c r="E115" t="s">
        <v>14</v>
      </c>
      <c r="F115" t="s">
        <v>18</v>
      </c>
      <c r="G115" t="s">
        <v>16</v>
      </c>
      <c r="H115" t="s">
        <v>19</v>
      </c>
      <c r="I115">
        <v>60022909</v>
      </c>
      <c r="J115" s="3">
        <v>25000</v>
      </c>
      <c r="K115" s="16" cm="1">
        <f t="array" ref="K115">_xlfn.XLOOKUP(I115,'Product Mapping'!$C$3:$C$10,'Product Mapping'!$F$3:$F$10*J115)</f>
        <v>475000</v>
      </c>
      <c r="L115" s="11" cm="1">
        <f t="array" ref="L115">_xlfn.XLOOKUP(I115,'Product Mapping'!$C$3:$C$10,'Product Mapping'!$G$3:$G$10*J115)</f>
        <v>162500</v>
      </c>
      <c r="M115" cm="1">
        <f t="array" ref="M115">_xlfn.XLOOKUP(I115,'Product Mapping'!$C$3:$C$10,'Product Mapping'!$H$3:$H$10*J115)</f>
        <v>700000</v>
      </c>
      <c r="N115" s="21">
        <f>Table14[[#This Row],[Volume (L)]]/0.5</f>
        <v>50000</v>
      </c>
    </row>
    <row r="116" spans="1:14" x14ac:dyDescent="0.3">
      <c r="A116" s="14" t="s">
        <v>41</v>
      </c>
      <c r="B116" t="s">
        <v>12</v>
      </c>
      <c r="C116" t="s">
        <v>20</v>
      </c>
      <c r="D116">
        <v>10205600</v>
      </c>
      <c r="E116" t="s">
        <v>21</v>
      </c>
      <c r="F116" t="s">
        <v>15</v>
      </c>
      <c r="G116" t="s">
        <v>16</v>
      </c>
      <c r="H116" t="s">
        <v>22</v>
      </c>
      <c r="I116">
        <v>52005050</v>
      </c>
      <c r="J116" s="3">
        <v>1500</v>
      </c>
      <c r="K116" s="16" cm="1">
        <f t="array" ref="K116">_xlfn.XLOOKUP(I116,'Product Mapping'!$C$3:$C$10,'Product Mapping'!$F$3:$F$10*J116)</f>
        <v>63000</v>
      </c>
      <c r="L116" s="11" cm="1">
        <f t="array" ref="L116">_xlfn.XLOOKUP(I116,'Product Mapping'!$C$3:$C$10,'Product Mapping'!$G$3:$G$10*J116)</f>
        <v>12750</v>
      </c>
      <c r="M116" cm="1">
        <f t="array" ref="M116">_xlfn.XLOOKUP(I116,'Product Mapping'!$C$3:$C$10,'Product Mapping'!$H$3:$H$10*J116)</f>
        <v>8700</v>
      </c>
      <c r="N116" s="21">
        <f>Table14[[#This Row],[Volume (L)]]/0.5</f>
        <v>3000</v>
      </c>
    </row>
    <row r="117" spans="1:14" x14ac:dyDescent="0.3">
      <c r="A117" s="14" t="s">
        <v>41</v>
      </c>
      <c r="B117" t="s">
        <v>12</v>
      </c>
      <c r="C117" t="s">
        <v>20</v>
      </c>
      <c r="D117">
        <v>10205600</v>
      </c>
      <c r="E117" t="s">
        <v>21</v>
      </c>
      <c r="F117" t="s">
        <v>18</v>
      </c>
      <c r="G117" t="s">
        <v>16</v>
      </c>
      <c r="H117" t="s">
        <v>23</v>
      </c>
      <c r="I117">
        <v>60022300</v>
      </c>
      <c r="J117" s="3">
        <v>18700</v>
      </c>
      <c r="K117" s="16" cm="1">
        <f t="array" ref="K117">_xlfn.XLOOKUP(I117,'Product Mapping'!$C$3:$C$10,'Product Mapping'!$F$3:$F$10*J117)</f>
        <v>336600</v>
      </c>
      <c r="L117" s="11" cm="1">
        <f t="array" ref="L117">_xlfn.XLOOKUP(I117,'Product Mapping'!$C$3:$C$10,'Product Mapping'!$G$3:$G$10*J117)</f>
        <v>112200</v>
      </c>
      <c r="M117" cm="1">
        <f t="array" ref="M117">_xlfn.XLOOKUP(I117,'Product Mapping'!$C$3:$C$10,'Product Mapping'!$H$3:$H$10*J117)</f>
        <v>542300</v>
      </c>
      <c r="N117" s="21">
        <f>Table14[[#This Row],[Volume (L)]]/0.5</f>
        <v>37400</v>
      </c>
    </row>
    <row r="118" spans="1:14" x14ac:dyDescent="0.3">
      <c r="A118" s="14" t="s">
        <v>41</v>
      </c>
      <c r="B118" t="s">
        <v>12</v>
      </c>
      <c r="C118" t="s">
        <v>24</v>
      </c>
      <c r="D118">
        <v>10205252</v>
      </c>
      <c r="E118" t="s">
        <v>25</v>
      </c>
      <c r="F118" t="s">
        <v>15</v>
      </c>
      <c r="G118" t="s">
        <v>16</v>
      </c>
      <c r="H118" t="s">
        <v>22</v>
      </c>
      <c r="I118">
        <v>52005050</v>
      </c>
      <c r="J118" s="3">
        <v>2500</v>
      </c>
      <c r="K118" s="16" cm="1">
        <f t="array" ref="K118">_xlfn.XLOOKUP(I118,'Product Mapping'!$C$3:$C$10,'Product Mapping'!$F$3:$F$10*J118)</f>
        <v>105000</v>
      </c>
      <c r="L118" s="11" cm="1">
        <f t="array" ref="L118">_xlfn.XLOOKUP(I118,'Product Mapping'!$C$3:$C$10,'Product Mapping'!$G$3:$G$10*J118)</f>
        <v>21250</v>
      </c>
      <c r="M118" cm="1">
        <f t="array" ref="M118">_xlfn.XLOOKUP(I118,'Product Mapping'!$C$3:$C$10,'Product Mapping'!$H$3:$H$10*J118)</f>
        <v>14500</v>
      </c>
      <c r="N118" s="21">
        <f>Table14[[#This Row],[Volume (L)]]/0.5</f>
        <v>5000</v>
      </c>
    </row>
    <row r="119" spans="1:14" x14ac:dyDescent="0.3">
      <c r="A119" s="14" t="s">
        <v>41</v>
      </c>
      <c r="B119" t="s">
        <v>12</v>
      </c>
      <c r="C119" t="s">
        <v>24</v>
      </c>
      <c r="D119">
        <v>10205252</v>
      </c>
      <c r="E119" t="s">
        <v>25</v>
      </c>
      <c r="F119" t="s">
        <v>18</v>
      </c>
      <c r="G119" t="s">
        <v>16</v>
      </c>
      <c r="H119" t="s">
        <v>19</v>
      </c>
      <c r="I119">
        <v>60022909</v>
      </c>
      <c r="J119" s="3">
        <v>29000</v>
      </c>
      <c r="K119" s="16" cm="1">
        <f t="array" ref="K119">_xlfn.XLOOKUP(I119,'Product Mapping'!$C$3:$C$10,'Product Mapping'!$F$3:$F$10*J119)</f>
        <v>551000</v>
      </c>
      <c r="L119" s="11" cm="1">
        <f t="array" ref="L119">_xlfn.XLOOKUP(I119,'Product Mapping'!$C$3:$C$10,'Product Mapping'!$G$3:$G$10*J119)</f>
        <v>188500</v>
      </c>
      <c r="M119" cm="1">
        <f t="array" ref="M119">_xlfn.XLOOKUP(I119,'Product Mapping'!$C$3:$C$10,'Product Mapping'!$H$3:$H$10*J119)</f>
        <v>812000</v>
      </c>
      <c r="N119" s="21">
        <f>Table14[[#This Row],[Volume (L)]]/0.5</f>
        <v>58000</v>
      </c>
    </row>
    <row r="120" spans="1:14" x14ac:dyDescent="0.3">
      <c r="A120" s="14" t="s">
        <v>41</v>
      </c>
      <c r="B120" t="s">
        <v>12</v>
      </c>
      <c r="C120" t="s">
        <v>26</v>
      </c>
      <c r="D120">
        <v>10204959</v>
      </c>
      <c r="E120" t="s">
        <v>27</v>
      </c>
      <c r="F120" t="s">
        <v>15</v>
      </c>
      <c r="G120" t="s">
        <v>16</v>
      </c>
      <c r="H120" t="s">
        <v>17</v>
      </c>
      <c r="I120">
        <v>52005002</v>
      </c>
      <c r="J120" s="3">
        <v>1200</v>
      </c>
      <c r="K120" s="16" cm="1">
        <f t="array" ref="K120">_xlfn.XLOOKUP(I120,'Product Mapping'!$C$3:$C$10,'Product Mapping'!$F$3:$F$10*J120)</f>
        <v>48000</v>
      </c>
      <c r="L120" s="11" cm="1">
        <f t="array" ref="L120">_xlfn.XLOOKUP(I120,'Product Mapping'!$C$3:$C$10,'Product Mapping'!$G$3:$G$10*J120)</f>
        <v>8400</v>
      </c>
      <c r="M120" cm="1">
        <f t="array" ref="M120">_xlfn.XLOOKUP(I120,'Product Mapping'!$C$3:$C$10,'Product Mapping'!$H$3:$H$10*J120)</f>
        <v>6600</v>
      </c>
      <c r="N120" s="21">
        <f>Table14[[#This Row],[Volume (L)]]/0.5</f>
        <v>2400</v>
      </c>
    </row>
    <row r="121" spans="1:14" x14ac:dyDescent="0.3">
      <c r="A121" s="14" t="s">
        <v>41</v>
      </c>
      <c r="B121" t="s">
        <v>12</v>
      </c>
      <c r="C121" t="s">
        <v>26</v>
      </c>
      <c r="D121">
        <v>10204959</v>
      </c>
      <c r="E121" t="s">
        <v>27</v>
      </c>
      <c r="F121" t="s">
        <v>18</v>
      </c>
      <c r="G121" t="s">
        <v>16</v>
      </c>
      <c r="H121" t="s">
        <v>23</v>
      </c>
      <c r="I121">
        <v>60022300</v>
      </c>
      <c r="J121" s="3">
        <v>22000</v>
      </c>
      <c r="K121" s="16" cm="1">
        <f t="array" ref="K121">_xlfn.XLOOKUP(I121,'Product Mapping'!$C$3:$C$10,'Product Mapping'!$F$3:$F$10*J121)</f>
        <v>396000</v>
      </c>
      <c r="L121" s="11" cm="1">
        <f t="array" ref="L121">_xlfn.XLOOKUP(I121,'Product Mapping'!$C$3:$C$10,'Product Mapping'!$G$3:$G$10*J121)</f>
        <v>132000</v>
      </c>
      <c r="M121" cm="1">
        <f t="array" ref="M121">_xlfn.XLOOKUP(I121,'Product Mapping'!$C$3:$C$10,'Product Mapping'!$H$3:$H$10*J121)</f>
        <v>638000</v>
      </c>
      <c r="N121" s="21">
        <f>Table14[[#This Row],[Volume (L)]]/0.5</f>
        <v>44000</v>
      </c>
    </row>
    <row r="122" spans="1:14" x14ac:dyDescent="0.3">
      <c r="A122" s="14" t="s">
        <v>41</v>
      </c>
      <c r="B122" t="s">
        <v>12</v>
      </c>
      <c r="C122" t="s">
        <v>28</v>
      </c>
      <c r="D122">
        <v>10205590</v>
      </c>
      <c r="E122" t="s">
        <v>29</v>
      </c>
      <c r="F122" t="s">
        <v>15</v>
      </c>
      <c r="G122" t="s">
        <v>16</v>
      </c>
      <c r="H122" t="s">
        <v>22</v>
      </c>
      <c r="I122">
        <v>52005050</v>
      </c>
      <c r="J122" s="3">
        <v>800</v>
      </c>
      <c r="K122" s="16" cm="1">
        <f t="array" ref="K122">_xlfn.XLOOKUP(I122,'Product Mapping'!$C$3:$C$10,'Product Mapping'!$F$3:$F$10*J122)</f>
        <v>33600</v>
      </c>
      <c r="L122" s="11" cm="1">
        <f t="array" ref="L122">_xlfn.XLOOKUP(I122,'Product Mapping'!$C$3:$C$10,'Product Mapping'!$G$3:$G$10*J122)</f>
        <v>6800</v>
      </c>
      <c r="M122" cm="1">
        <f t="array" ref="M122">_xlfn.XLOOKUP(I122,'Product Mapping'!$C$3:$C$10,'Product Mapping'!$H$3:$H$10*J122)</f>
        <v>4640</v>
      </c>
      <c r="N122" s="21">
        <f>Table14[[#This Row],[Volume (L)]]/0.5</f>
        <v>1600</v>
      </c>
    </row>
    <row r="123" spans="1:14" x14ac:dyDescent="0.3">
      <c r="A123" s="14" t="s">
        <v>41</v>
      </c>
      <c r="B123" t="s">
        <v>12</v>
      </c>
      <c r="C123" t="s">
        <v>28</v>
      </c>
      <c r="D123">
        <v>10205590</v>
      </c>
      <c r="E123" t="s">
        <v>29</v>
      </c>
      <c r="F123" t="s">
        <v>18</v>
      </c>
      <c r="G123" t="s">
        <v>16</v>
      </c>
      <c r="H123" t="s">
        <v>19</v>
      </c>
      <c r="I123">
        <v>60022909</v>
      </c>
      <c r="J123" s="3">
        <v>12000</v>
      </c>
      <c r="K123" s="16" cm="1">
        <f t="array" ref="K123">_xlfn.XLOOKUP(I123,'Product Mapping'!$C$3:$C$10,'Product Mapping'!$F$3:$F$10*J123)</f>
        <v>228000</v>
      </c>
      <c r="L123" s="11" cm="1">
        <f t="array" ref="L123">_xlfn.XLOOKUP(I123,'Product Mapping'!$C$3:$C$10,'Product Mapping'!$G$3:$G$10*J123)</f>
        <v>78000</v>
      </c>
      <c r="M123" cm="1">
        <f t="array" ref="M123">_xlfn.XLOOKUP(I123,'Product Mapping'!$C$3:$C$10,'Product Mapping'!$H$3:$H$10*J123)</f>
        <v>336000</v>
      </c>
      <c r="N123" s="21">
        <f>Table14[[#This Row],[Volume (L)]]/0.5</f>
        <v>24000</v>
      </c>
    </row>
    <row r="124" spans="1:14" x14ac:dyDescent="0.3">
      <c r="A124" s="14" t="s">
        <v>41</v>
      </c>
      <c r="B124" t="s">
        <v>12</v>
      </c>
      <c r="C124" t="s">
        <v>30</v>
      </c>
      <c r="D124">
        <v>10204957</v>
      </c>
      <c r="E124" t="s">
        <v>31</v>
      </c>
      <c r="F124" t="s">
        <v>15</v>
      </c>
      <c r="G124" t="s">
        <v>16</v>
      </c>
      <c r="H124" t="s">
        <v>17</v>
      </c>
      <c r="I124">
        <v>52005002</v>
      </c>
      <c r="J124" s="3">
        <v>1800</v>
      </c>
      <c r="K124" s="16" cm="1">
        <f t="array" ref="K124">_xlfn.XLOOKUP(I124,'Product Mapping'!$C$3:$C$10,'Product Mapping'!$F$3:$F$10*J124)</f>
        <v>72000</v>
      </c>
      <c r="L124" s="11" cm="1">
        <f t="array" ref="L124">_xlfn.XLOOKUP(I124,'Product Mapping'!$C$3:$C$10,'Product Mapping'!$G$3:$G$10*J124)</f>
        <v>12600</v>
      </c>
      <c r="M124" cm="1">
        <f t="array" ref="M124">_xlfn.XLOOKUP(I124,'Product Mapping'!$C$3:$C$10,'Product Mapping'!$H$3:$H$10*J124)</f>
        <v>9900</v>
      </c>
      <c r="N124" s="21">
        <f>Table14[[#This Row],[Volume (L)]]/0.5</f>
        <v>3600</v>
      </c>
    </row>
    <row r="125" spans="1:14" x14ac:dyDescent="0.3">
      <c r="A125" s="14" t="s">
        <v>41</v>
      </c>
      <c r="B125" t="s">
        <v>12</v>
      </c>
      <c r="C125" t="s">
        <v>30</v>
      </c>
      <c r="D125">
        <v>10204957</v>
      </c>
      <c r="E125" t="s">
        <v>31</v>
      </c>
      <c r="F125" t="s">
        <v>18</v>
      </c>
      <c r="G125" t="s">
        <v>16</v>
      </c>
      <c r="H125" t="s">
        <v>19</v>
      </c>
      <c r="I125">
        <v>60022909</v>
      </c>
      <c r="J125" s="3">
        <v>16900</v>
      </c>
      <c r="K125" s="16" cm="1">
        <f t="array" ref="K125">_xlfn.XLOOKUP(I125,'Product Mapping'!$C$3:$C$10,'Product Mapping'!$F$3:$F$10*J125)</f>
        <v>321100</v>
      </c>
      <c r="L125" s="11" cm="1">
        <f t="array" ref="L125">_xlfn.XLOOKUP(I125,'Product Mapping'!$C$3:$C$10,'Product Mapping'!$G$3:$G$10*J125)</f>
        <v>109850</v>
      </c>
      <c r="M125" cm="1">
        <f t="array" ref="M125">_xlfn.XLOOKUP(I125,'Product Mapping'!$C$3:$C$10,'Product Mapping'!$H$3:$H$10*J125)</f>
        <v>473200</v>
      </c>
      <c r="N125" s="21">
        <f>Table14[[#This Row],[Volume (L)]]/0.5</f>
        <v>33800</v>
      </c>
    </row>
    <row r="126" spans="1:14" x14ac:dyDescent="0.3">
      <c r="A126" s="14" t="s">
        <v>41</v>
      </c>
      <c r="B126" t="s">
        <v>12</v>
      </c>
      <c r="C126" t="s">
        <v>32</v>
      </c>
      <c r="D126">
        <v>10204980</v>
      </c>
      <c r="E126" t="s">
        <v>33</v>
      </c>
      <c r="F126" t="s">
        <v>15</v>
      </c>
      <c r="G126" t="s">
        <v>16</v>
      </c>
      <c r="H126" t="s">
        <v>17</v>
      </c>
      <c r="I126">
        <v>52005002</v>
      </c>
      <c r="J126" s="3">
        <v>2500</v>
      </c>
      <c r="K126" s="16" cm="1">
        <f t="array" ref="K126">_xlfn.XLOOKUP(I126,'Product Mapping'!$C$3:$C$10,'Product Mapping'!$F$3:$F$10*J126)</f>
        <v>100000</v>
      </c>
      <c r="L126" s="11" cm="1">
        <f t="array" ref="L126">_xlfn.XLOOKUP(I126,'Product Mapping'!$C$3:$C$10,'Product Mapping'!$G$3:$G$10*J126)</f>
        <v>17500</v>
      </c>
      <c r="M126" cm="1">
        <f t="array" ref="M126">_xlfn.XLOOKUP(I126,'Product Mapping'!$C$3:$C$10,'Product Mapping'!$H$3:$H$10*J126)</f>
        <v>13750</v>
      </c>
      <c r="N126" s="21">
        <f>Table14[[#This Row],[Volume (L)]]/0.5</f>
        <v>5000</v>
      </c>
    </row>
    <row r="127" spans="1:14" x14ac:dyDescent="0.3">
      <c r="A127" s="14" t="s">
        <v>41</v>
      </c>
      <c r="B127" t="s">
        <v>12</v>
      </c>
      <c r="C127" t="s">
        <v>32</v>
      </c>
      <c r="D127">
        <v>10204980</v>
      </c>
      <c r="E127" t="s">
        <v>33</v>
      </c>
      <c r="F127" t="s">
        <v>18</v>
      </c>
      <c r="G127" t="s">
        <v>16</v>
      </c>
      <c r="H127" t="s">
        <v>23</v>
      </c>
      <c r="I127">
        <v>60022300</v>
      </c>
      <c r="J127" s="3">
        <v>28000</v>
      </c>
      <c r="K127" s="16" cm="1">
        <f t="array" ref="K127">_xlfn.XLOOKUP(I127,'Product Mapping'!$C$3:$C$10,'Product Mapping'!$F$3:$F$10*J127)</f>
        <v>504000</v>
      </c>
      <c r="L127" s="11" cm="1">
        <f t="array" ref="L127">_xlfn.XLOOKUP(I127,'Product Mapping'!$C$3:$C$10,'Product Mapping'!$G$3:$G$10*J127)</f>
        <v>168000</v>
      </c>
      <c r="M127" cm="1">
        <f t="array" ref="M127">_xlfn.XLOOKUP(I127,'Product Mapping'!$C$3:$C$10,'Product Mapping'!$H$3:$H$10*J127)</f>
        <v>812000</v>
      </c>
      <c r="N127" s="21">
        <f>Table14[[#This Row],[Volume (L)]]/0.5</f>
        <v>56000</v>
      </c>
    </row>
    <row r="128" spans="1:14" x14ac:dyDescent="0.3">
      <c r="A128" s="14" t="s">
        <v>42</v>
      </c>
      <c r="B128" t="s">
        <v>12</v>
      </c>
      <c r="C128" t="s">
        <v>13</v>
      </c>
      <c r="D128">
        <v>10204958</v>
      </c>
      <c r="E128" t="s">
        <v>14</v>
      </c>
      <c r="F128" t="s">
        <v>15</v>
      </c>
      <c r="G128" t="s">
        <v>16</v>
      </c>
      <c r="H128" t="s">
        <v>17</v>
      </c>
      <c r="I128">
        <v>52005002</v>
      </c>
      <c r="J128" s="3">
        <v>1500</v>
      </c>
      <c r="K128" s="16" cm="1">
        <f t="array" ref="K128">_xlfn.XLOOKUP(I128,'Product Mapping'!$C$3:$C$10,'Product Mapping'!$F$3:$F$10*J128)</f>
        <v>60000</v>
      </c>
      <c r="L128" s="11" cm="1">
        <f t="array" ref="L128">_xlfn.XLOOKUP(I128,'Product Mapping'!$C$3:$C$10,'Product Mapping'!$G$3:$G$10*J128)</f>
        <v>10500</v>
      </c>
      <c r="M128" cm="1">
        <f t="array" ref="M128">_xlfn.XLOOKUP(I128,'Product Mapping'!$C$3:$C$10,'Product Mapping'!$H$3:$H$10*J128)</f>
        <v>8250</v>
      </c>
      <c r="N128" s="21">
        <f>Table14[[#This Row],[Volume (L)]]/0.5</f>
        <v>3000</v>
      </c>
    </row>
    <row r="129" spans="1:14" x14ac:dyDescent="0.3">
      <c r="A129" s="14" t="s">
        <v>42</v>
      </c>
      <c r="B129" t="s">
        <v>12</v>
      </c>
      <c r="C129" t="s">
        <v>13</v>
      </c>
      <c r="D129">
        <v>10204958</v>
      </c>
      <c r="E129" t="s">
        <v>14</v>
      </c>
      <c r="F129" t="s">
        <v>18</v>
      </c>
      <c r="G129" t="s">
        <v>16</v>
      </c>
      <c r="H129" t="s">
        <v>19</v>
      </c>
      <c r="I129">
        <v>60022909</v>
      </c>
      <c r="J129" s="3">
        <v>23000</v>
      </c>
      <c r="K129" s="16" cm="1">
        <f t="array" ref="K129">_xlfn.XLOOKUP(I129,'Product Mapping'!$C$3:$C$10,'Product Mapping'!$F$3:$F$10*J129)</f>
        <v>437000</v>
      </c>
      <c r="L129" s="11" cm="1">
        <f t="array" ref="L129">_xlfn.XLOOKUP(I129,'Product Mapping'!$C$3:$C$10,'Product Mapping'!$G$3:$G$10*J129)</f>
        <v>149500</v>
      </c>
      <c r="M129" cm="1">
        <f t="array" ref="M129">_xlfn.XLOOKUP(I129,'Product Mapping'!$C$3:$C$10,'Product Mapping'!$H$3:$H$10*J129)</f>
        <v>644000</v>
      </c>
      <c r="N129" s="21">
        <f>Table14[[#This Row],[Volume (L)]]/0.5</f>
        <v>46000</v>
      </c>
    </row>
    <row r="130" spans="1:14" x14ac:dyDescent="0.3">
      <c r="A130" s="14" t="s">
        <v>42</v>
      </c>
      <c r="B130" t="s">
        <v>12</v>
      </c>
      <c r="C130" t="s">
        <v>20</v>
      </c>
      <c r="D130">
        <v>10205600</v>
      </c>
      <c r="E130" t="s">
        <v>21</v>
      </c>
      <c r="F130" t="s">
        <v>15</v>
      </c>
      <c r="G130" t="s">
        <v>16</v>
      </c>
      <c r="H130" t="s">
        <v>22</v>
      </c>
      <c r="I130">
        <v>52005050</v>
      </c>
      <c r="J130" s="3">
        <v>1100</v>
      </c>
      <c r="K130" s="16" cm="1">
        <f t="array" ref="K130">_xlfn.XLOOKUP(I130,'Product Mapping'!$C$3:$C$10,'Product Mapping'!$F$3:$F$10*J130)</f>
        <v>46200</v>
      </c>
      <c r="L130" s="11" cm="1">
        <f t="array" ref="L130">_xlfn.XLOOKUP(I130,'Product Mapping'!$C$3:$C$10,'Product Mapping'!$G$3:$G$10*J130)</f>
        <v>9350</v>
      </c>
      <c r="M130" cm="1">
        <f t="array" ref="M130">_xlfn.XLOOKUP(I130,'Product Mapping'!$C$3:$C$10,'Product Mapping'!$H$3:$H$10*J130)</f>
        <v>6380</v>
      </c>
      <c r="N130" s="21">
        <f>Table14[[#This Row],[Volume (L)]]/0.5</f>
        <v>2200</v>
      </c>
    </row>
    <row r="131" spans="1:14" x14ac:dyDescent="0.3">
      <c r="A131" s="14" t="s">
        <v>42</v>
      </c>
      <c r="B131" t="s">
        <v>12</v>
      </c>
      <c r="C131" t="s">
        <v>20</v>
      </c>
      <c r="D131">
        <v>10205600</v>
      </c>
      <c r="E131" t="s">
        <v>21</v>
      </c>
      <c r="F131" t="s">
        <v>18</v>
      </c>
      <c r="G131" t="s">
        <v>16</v>
      </c>
      <c r="H131" t="s">
        <v>23</v>
      </c>
      <c r="I131">
        <v>60022300</v>
      </c>
      <c r="J131" s="3">
        <v>19700</v>
      </c>
      <c r="K131" s="16" cm="1">
        <f t="array" ref="K131">_xlfn.XLOOKUP(I131,'Product Mapping'!$C$3:$C$10,'Product Mapping'!$F$3:$F$10*J131)</f>
        <v>354600</v>
      </c>
      <c r="L131" s="11" cm="1">
        <f t="array" ref="L131">_xlfn.XLOOKUP(I131,'Product Mapping'!$C$3:$C$10,'Product Mapping'!$G$3:$G$10*J131)</f>
        <v>118200</v>
      </c>
      <c r="M131" cm="1">
        <f t="array" ref="M131">_xlfn.XLOOKUP(I131,'Product Mapping'!$C$3:$C$10,'Product Mapping'!$H$3:$H$10*J131)</f>
        <v>571300</v>
      </c>
      <c r="N131" s="21">
        <f>Table14[[#This Row],[Volume (L)]]/0.5</f>
        <v>39400</v>
      </c>
    </row>
    <row r="132" spans="1:14" x14ac:dyDescent="0.3">
      <c r="A132" s="14" t="s">
        <v>42</v>
      </c>
      <c r="B132" t="s">
        <v>12</v>
      </c>
      <c r="C132" t="s">
        <v>24</v>
      </c>
      <c r="D132">
        <v>10205252</v>
      </c>
      <c r="E132" t="s">
        <v>25</v>
      </c>
      <c r="F132" t="s">
        <v>15</v>
      </c>
      <c r="G132" t="s">
        <v>16</v>
      </c>
      <c r="H132" t="s">
        <v>22</v>
      </c>
      <c r="I132">
        <v>52005050</v>
      </c>
      <c r="J132" s="3">
        <v>2000</v>
      </c>
      <c r="K132" s="16" cm="1">
        <f t="array" ref="K132">_xlfn.XLOOKUP(I132,'Product Mapping'!$C$3:$C$10,'Product Mapping'!$F$3:$F$10*J132)</f>
        <v>84000</v>
      </c>
      <c r="L132" s="11" cm="1">
        <f t="array" ref="L132">_xlfn.XLOOKUP(I132,'Product Mapping'!$C$3:$C$10,'Product Mapping'!$G$3:$G$10*J132)</f>
        <v>17000</v>
      </c>
      <c r="M132" cm="1">
        <f t="array" ref="M132">_xlfn.XLOOKUP(I132,'Product Mapping'!$C$3:$C$10,'Product Mapping'!$H$3:$H$10*J132)</f>
        <v>11600</v>
      </c>
      <c r="N132" s="21">
        <f>Table14[[#This Row],[Volume (L)]]/0.5</f>
        <v>4000</v>
      </c>
    </row>
    <row r="133" spans="1:14" x14ac:dyDescent="0.3">
      <c r="A133" s="14" t="s">
        <v>42</v>
      </c>
      <c r="B133" t="s">
        <v>12</v>
      </c>
      <c r="C133" t="s">
        <v>24</v>
      </c>
      <c r="D133">
        <v>10205252</v>
      </c>
      <c r="E133" t="s">
        <v>25</v>
      </c>
      <c r="F133" t="s">
        <v>18</v>
      </c>
      <c r="G133" t="s">
        <v>16</v>
      </c>
      <c r="H133" t="s">
        <v>19</v>
      </c>
      <c r="I133">
        <v>60022909</v>
      </c>
      <c r="J133" s="3">
        <v>30000</v>
      </c>
      <c r="K133" s="16" cm="1">
        <f t="array" ref="K133">_xlfn.XLOOKUP(I133,'Product Mapping'!$C$3:$C$10,'Product Mapping'!$F$3:$F$10*J133)</f>
        <v>570000</v>
      </c>
      <c r="L133" s="11" cm="1">
        <f t="array" ref="L133">_xlfn.XLOOKUP(I133,'Product Mapping'!$C$3:$C$10,'Product Mapping'!$G$3:$G$10*J133)</f>
        <v>195000</v>
      </c>
      <c r="M133" cm="1">
        <f t="array" ref="M133">_xlfn.XLOOKUP(I133,'Product Mapping'!$C$3:$C$10,'Product Mapping'!$H$3:$H$10*J133)</f>
        <v>840000</v>
      </c>
      <c r="N133" s="21">
        <f>Table14[[#This Row],[Volume (L)]]/0.5</f>
        <v>60000</v>
      </c>
    </row>
    <row r="134" spans="1:14" x14ac:dyDescent="0.3">
      <c r="A134" s="14" t="s">
        <v>42</v>
      </c>
      <c r="B134" t="s">
        <v>12</v>
      </c>
      <c r="C134" t="s">
        <v>26</v>
      </c>
      <c r="D134">
        <v>10204959</v>
      </c>
      <c r="E134" t="s">
        <v>27</v>
      </c>
      <c r="F134" t="s">
        <v>15</v>
      </c>
      <c r="G134" t="s">
        <v>16</v>
      </c>
      <c r="H134" t="s">
        <v>17</v>
      </c>
      <c r="I134">
        <v>52005002</v>
      </c>
      <c r="J134" s="3">
        <v>1200</v>
      </c>
      <c r="K134" s="16" cm="1">
        <f t="array" ref="K134">_xlfn.XLOOKUP(I134,'Product Mapping'!$C$3:$C$10,'Product Mapping'!$F$3:$F$10*J134)</f>
        <v>48000</v>
      </c>
      <c r="L134" s="11" cm="1">
        <f t="array" ref="L134">_xlfn.XLOOKUP(I134,'Product Mapping'!$C$3:$C$10,'Product Mapping'!$G$3:$G$10*J134)</f>
        <v>8400</v>
      </c>
      <c r="M134" cm="1">
        <f t="array" ref="M134">_xlfn.XLOOKUP(I134,'Product Mapping'!$C$3:$C$10,'Product Mapping'!$H$3:$H$10*J134)</f>
        <v>6600</v>
      </c>
      <c r="N134" s="21">
        <f>Table14[[#This Row],[Volume (L)]]/0.5</f>
        <v>2400</v>
      </c>
    </row>
    <row r="135" spans="1:14" x14ac:dyDescent="0.3">
      <c r="A135" s="14" t="s">
        <v>42</v>
      </c>
      <c r="B135" t="s">
        <v>12</v>
      </c>
      <c r="C135" t="s">
        <v>26</v>
      </c>
      <c r="D135">
        <v>10204959</v>
      </c>
      <c r="E135" t="s">
        <v>27</v>
      </c>
      <c r="F135" t="s">
        <v>18</v>
      </c>
      <c r="G135" t="s">
        <v>16</v>
      </c>
      <c r="H135" t="s">
        <v>23</v>
      </c>
      <c r="I135">
        <v>60022300</v>
      </c>
      <c r="J135" s="3">
        <v>21000</v>
      </c>
      <c r="K135" s="16" cm="1">
        <f t="array" ref="K135">_xlfn.XLOOKUP(I135,'Product Mapping'!$C$3:$C$10,'Product Mapping'!$F$3:$F$10*J135)</f>
        <v>378000</v>
      </c>
      <c r="L135" s="11" cm="1">
        <f t="array" ref="L135">_xlfn.XLOOKUP(I135,'Product Mapping'!$C$3:$C$10,'Product Mapping'!$G$3:$G$10*J135)</f>
        <v>126000</v>
      </c>
      <c r="M135" cm="1">
        <f t="array" ref="M135">_xlfn.XLOOKUP(I135,'Product Mapping'!$C$3:$C$10,'Product Mapping'!$H$3:$H$10*J135)</f>
        <v>609000</v>
      </c>
      <c r="N135" s="21">
        <f>Table14[[#This Row],[Volume (L)]]/0.5</f>
        <v>42000</v>
      </c>
    </row>
    <row r="136" spans="1:14" x14ac:dyDescent="0.3">
      <c r="A136" s="14" t="s">
        <v>42</v>
      </c>
      <c r="B136" t="s">
        <v>12</v>
      </c>
      <c r="C136" t="s">
        <v>28</v>
      </c>
      <c r="D136">
        <v>10205590</v>
      </c>
      <c r="E136" t="s">
        <v>29</v>
      </c>
      <c r="F136" t="s">
        <v>15</v>
      </c>
      <c r="G136" t="s">
        <v>16</v>
      </c>
      <c r="H136" t="s">
        <v>22</v>
      </c>
      <c r="I136">
        <v>52005050</v>
      </c>
      <c r="J136" s="3">
        <v>700</v>
      </c>
      <c r="K136" s="16" cm="1">
        <f t="array" ref="K136">_xlfn.XLOOKUP(I136,'Product Mapping'!$C$3:$C$10,'Product Mapping'!$F$3:$F$10*J136)</f>
        <v>29400</v>
      </c>
      <c r="L136" s="11" cm="1">
        <f t="array" ref="L136">_xlfn.XLOOKUP(I136,'Product Mapping'!$C$3:$C$10,'Product Mapping'!$G$3:$G$10*J136)</f>
        <v>5950</v>
      </c>
      <c r="M136" cm="1">
        <f t="array" ref="M136">_xlfn.XLOOKUP(I136,'Product Mapping'!$C$3:$C$10,'Product Mapping'!$H$3:$H$10*J136)</f>
        <v>4060</v>
      </c>
      <c r="N136" s="21">
        <f>Table14[[#This Row],[Volume (L)]]/0.5</f>
        <v>1400</v>
      </c>
    </row>
    <row r="137" spans="1:14" x14ac:dyDescent="0.3">
      <c r="A137" s="14" t="s">
        <v>42</v>
      </c>
      <c r="B137" t="s">
        <v>12</v>
      </c>
      <c r="C137" t="s">
        <v>28</v>
      </c>
      <c r="D137">
        <v>10205590</v>
      </c>
      <c r="E137" t="s">
        <v>29</v>
      </c>
      <c r="F137" t="s">
        <v>18</v>
      </c>
      <c r="G137" t="s">
        <v>16</v>
      </c>
      <c r="H137" t="s">
        <v>19</v>
      </c>
      <c r="I137">
        <v>60022909</v>
      </c>
      <c r="J137" s="3">
        <v>13000</v>
      </c>
      <c r="K137" s="16" cm="1">
        <f t="array" ref="K137">_xlfn.XLOOKUP(I137,'Product Mapping'!$C$3:$C$10,'Product Mapping'!$F$3:$F$10*J137)</f>
        <v>247000</v>
      </c>
      <c r="L137" s="11" cm="1">
        <f t="array" ref="L137">_xlfn.XLOOKUP(I137,'Product Mapping'!$C$3:$C$10,'Product Mapping'!$G$3:$G$10*J137)</f>
        <v>84500</v>
      </c>
      <c r="M137" cm="1">
        <f t="array" ref="M137">_xlfn.XLOOKUP(I137,'Product Mapping'!$C$3:$C$10,'Product Mapping'!$H$3:$H$10*J137)</f>
        <v>364000</v>
      </c>
      <c r="N137" s="21">
        <f>Table14[[#This Row],[Volume (L)]]/0.5</f>
        <v>26000</v>
      </c>
    </row>
    <row r="138" spans="1:14" x14ac:dyDescent="0.3">
      <c r="A138" s="14" t="s">
        <v>42</v>
      </c>
      <c r="B138" t="s">
        <v>12</v>
      </c>
      <c r="C138" t="s">
        <v>30</v>
      </c>
      <c r="D138">
        <v>10204957</v>
      </c>
      <c r="E138" t="s">
        <v>31</v>
      </c>
      <c r="F138" t="s">
        <v>15</v>
      </c>
      <c r="G138" t="s">
        <v>16</v>
      </c>
      <c r="H138" t="s">
        <v>17</v>
      </c>
      <c r="I138">
        <v>52005002</v>
      </c>
      <c r="J138" s="3">
        <v>1400</v>
      </c>
      <c r="K138" s="16" cm="1">
        <f t="array" ref="K138">_xlfn.XLOOKUP(I138,'Product Mapping'!$C$3:$C$10,'Product Mapping'!$F$3:$F$10*J138)</f>
        <v>56000</v>
      </c>
      <c r="L138" s="11" cm="1">
        <f t="array" ref="L138">_xlfn.XLOOKUP(I138,'Product Mapping'!$C$3:$C$10,'Product Mapping'!$G$3:$G$10*J138)</f>
        <v>9800</v>
      </c>
      <c r="M138" cm="1">
        <f t="array" ref="M138">_xlfn.XLOOKUP(I138,'Product Mapping'!$C$3:$C$10,'Product Mapping'!$H$3:$H$10*J138)</f>
        <v>7700</v>
      </c>
      <c r="N138" s="21">
        <f>Table14[[#This Row],[Volume (L)]]/0.5</f>
        <v>2800</v>
      </c>
    </row>
    <row r="139" spans="1:14" x14ac:dyDescent="0.3">
      <c r="A139" s="14" t="s">
        <v>42</v>
      </c>
      <c r="B139" t="s">
        <v>12</v>
      </c>
      <c r="C139" t="s">
        <v>30</v>
      </c>
      <c r="D139">
        <v>10204957</v>
      </c>
      <c r="E139" t="s">
        <v>31</v>
      </c>
      <c r="F139" t="s">
        <v>18</v>
      </c>
      <c r="G139" t="s">
        <v>16</v>
      </c>
      <c r="H139" t="s">
        <v>19</v>
      </c>
      <c r="I139">
        <v>60022909</v>
      </c>
      <c r="J139" s="3">
        <v>15900</v>
      </c>
      <c r="K139" s="16" cm="1">
        <f t="array" ref="K139">_xlfn.XLOOKUP(I139,'Product Mapping'!$C$3:$C$10,'Product Mapping'!$F$3:$F$10*J139)</f>
        <v>302100</v>
      </c>
      <c r="L139" s="11" cm="1">
        <f t="array" ref="L139">_xlfn.XLOOKUP(I139,'Product Mapping'!$C$3:$C$10,'Product Mapping'!$G$3:$G$10*J139)</f>
        <v>103350</v>
      </c>
      <c r="M139" cm="1">
        <f t="array" ref="M139">_xlfn.XLOOKUP(I139,'Product Mapping'!$C$3:$C$10,'Product Mapping'!$H$3:$H$10*J139)</f>
        <v>445200</v>
      </c>
      <c r="N139" s="21">
        <f>Table14[[#This Row],[Volume (L)]]/0.5</f>
        <v>31800</v>
      </c>
    </row>
    <row r="140" spans="1:14" x14ac:dyDescent="0.3">
      <c r="A140" s="14" t="s">
        <v>42</v>
      </c>
      <c r="B140" t="s">
        <v>12</v>
      </c>
      <c r="C140" t="s">
        <v>32</v>
      </c>
      <c r="D140">
        <v>10204980</v>
      </c>
      <c r="E140" t="s">
        <v>33</v>
      </c>
      <c r="F140" t="s">
        <v>15</v>
      </c>
      <c r="G140" t="s">
        <v>16</v>
      </c>
      <c r="H140" t="s">
        <v>17</v>
      </c>
      <c r="I140">
        <v>52005002</v>
      </c>
      <c r="J140" s="3">
        <v>2100</v>
      </c>
      <c r="K140" s="16" cm="1">
        <f t="array" ref="K140">_xlfn.XLOOKUP(I140,'Product Mapping'!$C$3:$C$10,'Product Mapping'!$F$3:$F$10*J140)</f>
        <v>84000</v>
      </c>
      <c r="L140" s="11" cm="1">
        <f t="array" ref="L140">_xlfn.XLOOKUP(I140,'Product Mapping'!$C$3:$C$10,'Product Mapping'!$G$3:$G$10*J140)</f>
        <v>14700</v>
      </c>
      <c r="M140" cm="1">
        <f t="array" ref="M140">_xlfn.XLOOKUP(I140,'Product Mapping'!$C$3:$C$10,'Product Mapping'!$H$3:$H$10*J140)</f>
        <v>11550</v>
      </c>
      <c r="N140" s="21">
        <f>Table14[[#This Row],[Volume (L)]]/0.5</f>
        <v>4200</v>
      </c>
    </row>
    <row r="141" spans="1:14" x14ac:dyDescent="0.3">
      <c r="A141" s="14" t="s">
        <v>42</v>
      </c>
      <c r="B141" t="s">
        <v>12</v>
      </c>
      <c r="C141" t="s">
        <v>32</v>
      </c>
      <c r="D141">
        <v>10204980</v>
      </c>
      <c r="E141" t="s">
        <v>33</v>
      </c>
      <c r="F141" t="s">
        <v>18</v>
      </c>
      <c r="G141" t="s">
        <v>16</v>
      </c>
      <c r="H141" t="s">
        <v>23</v>
      </c>
      <c r="I141">
        <v>60022300</v>
      </c>
      <c r="J141" s="3">
        <v>28700</v>
      </c>
      <c r="K141" s="16" cm="1">
        <f t="array" ref="K141">_xlfn.XLOOKUP(I141,'Product Mapping'!$C$3:$C$10,'Product Mapping'!$F$3:$F$10*J141)</f>
        <v>516600</v>
      </c>
      <c r="L141" s="11" cm="1">
        <f t="array" ref="L141">_xlfn.XLOOKUP(I141,'Product Mapping'!$C$3:$C$10,'Product Mapping'!$G$3:$G$10*J141)</f>
        <v>172200</v>
      </c>
      <c r="M141" cm="1">
        <f t="array" ref="M141">_xlfn.XLOOKUP(I141,'Product Mapping'!$C$3:$C$10,'Product Mapping'!$H$3:$H$10*J141)</f>
        <v>832300</v>
      </c>
      <c r="N141" s="21">
        <f>Table14[[#This Row],[Volume (L)]]/0.5</f>
        <v>57400</v>
      </c>
    </row>
    <row r="142" spans="1:14" x14ac:dyDescent="0.3">
      <c r="A142" s="14" t="s">
        <v>43</v>
      </c>
      <c r="B142" t="s">
        <v>12</v>
      </c>
      <c r="C142" t="s">
        <v>13</v>
      </c>
      <c r="D142">
        <v>10204958</v>
      </c>
      <c r="E142" t="s">
        <v>14</v>
      </c>
      <c r="F142" t="s">
        <v>15</v>
      </c>
      <c r="G142" t="s">
        <v>16</v>
      </c>
      <c r="H142" t="s">
        <v>17</v>
      </c>
      <c r="I142">
        <v>52005002</v>
      </c>
      <c r="J142" s="3">
        <v>2000</v>
      </c>
      <c r="K142" s="16" cm="1">
        <f t="array" ref="K142">_xlfn.XLOOKUP(I142,'Product Mapping'!$C$3:$C$10,'Product Mapping'!$F$3:$F$10*J142)</f>
        <v>80000</v>
      </c>
      <c r="L142" s="11" cm="1">
        <f t="array" ref="L142">_xlfn.XLOOKUP(I142,'Product Mapping'!$C$3:$C$10,'Product Mapping'!$G$3:$G$10*J142)</f>
        <v>14000</v>
      </c>
      <c r="M142" cm="1">
        <f t="array" ref="M142">_xlfn.XLOOKUP(I142,'Product Mapping'!$C$3:$C$10,'Product Mapping'!$H$3:$H$10*J142)</f>
        <v>11000</v>
      </c>
      <c r="N142" s="21">
        <f>Table14[[#This Row],[Volume (L)]]/0.5</f>
        <v>4000</v>
      </c>
    </row>
    <row r="143" spans="1:14" x14ac:dyDescent="0.3">
      <c r="A143" s="14" t="s">
        <v>44</v>
      </c>
      <c r="B143" t="s">
        <v>12</v>
      </c>
      <c r="C143" t="s">
        <v>13</v>
      </c>
      <c r="D143">
        <v>10204958</v>
      </c>
      <c r="E143" t="s">
        <v>14</v>
      </c>
      <c r="F143" t="s">
        <v>18</v>
      </c>
      <c r="G143" t="s">
        <v>16</v>
      </c>
      <c r="H143" t="s">
        <v>19</v>
      </c>
      <c r="I143">
        <v>60022909</v>
      </c>
      <c r="J143" s="3">
        <v>25000</v>
      </c>
      <c r="K143" s="16" cm="1">
        <f t="array" ref="K143">_xlfn.XLOOKUP(I143,'Product Mapping'!$C$3:$C$10,'Product Mapping'!$F$3:$F$10*J143)</f>
        <v>475000</v>
      </c>
      <c r="L143" s="11" cm="1">
        <f t="array" ref="L143">_xlfn.XLOOKUP(I143,'Product Mapping'!$C$3:$C$10,'Product Mapping'!$G$3:$G$10*J143)</f>
        <v>162500</v>
      </c>
      <c r="M143" cm="1">
        <f t="array" ref="M143">_xlfn.XLOOKUP(I143,'Product Mapping'!$C$3:$C$10,'Product Mapping'!$H$3:$H$10*J143)</f>
        <v>700000</v>
      </c>
      <c r="N143" s="21">
        <f>Table14[[#This Row],[Volume (L)]]/0.5</f>
        <v>50000</v>
      </c>
    </row>
    <row r="144" spans="1:14" x14ac:dyDescent="0.3">
      <c r="A144" s="14" t="s">
        <v>44</v>
      </c>
      <c r="B144" t="s">
        <v>12</v>
      </c>
      <c r="C144" t="s">
        <v>20</v>
      </c>
      <c r="D144">
        <v>10205600</v>
      </c>
      <c r="E144" t="s">
        <v>21</v>
      </c>
      <c r="F144" t="s">
        <v>15</v>
      </c>
      <c r="G144" t="s">
        <v>16</v>
      </c>
      <c r="H144" t="s">
        <v>22</v>
      </c>
      <c r="I144">
        <v>52005050</v>
      </c>
      <c r="J144" s="3">
        <v>1500</v>
      </c>
      <c r="K144" s="16" cm="1">
        <f t="array" ref="K144">_xlfn.XLOOKUP(I144,'Product Mapping'!$C$3:$C$10,'Product Mapping'!$F$3:$F$10*J144)</f>
        <v>63000</v>
      </c>
      <c r="L144" s="11" cm="1">
        <f t="array" ref="L144">_xlfn.XLOOKUP(I144,'Product Mapping'!$C$3:$C$10,'Product Mapping'!$G$3:$G$10*J144)</f>
        <v>12750</v>
      </c>
      <c r="M144" cm="1">
        <f t="array" ref="M144">_xlfn.XLOOKUP(I144,'Product Mapping'!$C$3:$C$10,'Product Mapping'!$H$3:$H$10*J144)</f>
        <v>8700</v>
      </c>
      <c r="N144" s="21">
        <f>Table14[[#This Row],[Volume (L)]]/0.5</f>
        <v>3000</v>
      </c>
    </row>
    <row r="145" spans="1:14" x14ac:dyDescent="0.3">
      <c r="A145" s="14" t="s">
        <v>44</v>
      </c>
      <c r="B145" t="s">
        <v>12</v>
      </c>
      <c r="C145" t="s">
        <v>20</v>
      </c>
      <c r="D145">
        <v>10205600</v>
      </c>
      <c r="E145" t="s">
        <v>21</v>
      </c>
      <c r="F145" t="s">
        <v>18</v>
      </c>
      <c r="G145" t="s">
        <v>16</v>
      </c>
      <c r="H145" t="s">
        <v>23</v>
      </c>
      <c r="I145">
        <v>60022300</v>
      </c>
      <c r="J145" s="3">
        <v>18700</v>
      </c>
      <c r="K145" s="16" cm="1">
        <f t="array" ref="K145">_xlfn.XLOOKUP(I145,'Product Mapping'!$C$3:$C$10,'Product Mapping'!$F$3:$F$10*J145)</f>
        <v>336600</v>
      </c>
      <c r="L145" s="11" cm="1">
        <f t="array" ref="L145">_xlfn.XLOOKUP(I145,'Product Mapping'!$C$3:$C$10,'Product Mapping'!$G$3:$G$10*J145)</f>
        <v>112200</v>
      </c>
      <c r="M145" cm="1">
        <f t="array" ref="M145">_xlfn.XLOOKUP(I145,'Product Mapping'!$C$3:$C$10,'Product Mapping'!$H$3:$H$10*J145)</f>
        <v>542300</v>
      </c>
      <c r="N145" s="21">
        <f>Table14[[#This Row],[Volume (L)]]/0.5</f>
        <v>37400</v>
      </c>
    </row>
    <row r="146" spans="1:14" x14ac:dyDescent="0.3">
      <c r="A146" s="14" t="s">
        <v>44</v>
      </c>
      <c r="B146" t="s">
        <v>12</v>
      </c>
      <c r="C146" t="s">
        <v>24</v>
      </c>
      <c r="D146">
        <v>10205252</v>
      </c>
      <c r="E146" t="s">
        <v>25</v>
      </c>
      <c r="F146" t="s">
        <v>15</v>
      </c>
      <c r="G146" t="s">
        <v>16</v>
      </c>
      <c r="H146" t="s">
        <v>22</v>
      </c>
      <c r="I146">
        <v>52005050</v>
      </c>
      <c r="J146" s="3">
        <v>2500</v>
      </c>
      <c r="K146" s="16" cm="1">
        <f t="array" ref="K146">_xlfn.XLOOKUP(I146,'Product Mapping'!$C$3:$C$10,'Product Mapping'!$F$3:$F$10*J146)</f>
        <v>105000</v>
      </c>
      <c r="L146" s="11" cm="1">
        <f t="array" ref="L146">_xlfn.XLOOKUP(I146,'Product Mapping'!$C$3:$C$10,'Product Mapping'!$G$3:$G$10*J146)</f>
        <v>21250</v>
      </c>
      <c r="M146" cm="1">
        <f t="array" ref="M146">_xlfn.XLOOKUP(I146,'Product Mapping'!$C$3:$C$10,'Product Mapping'!$H$3:$H$10*J146)</f>
        <v>14500</v>
      </c>
      <c r="N146" s="21">
        <f>Table14[[#This Row],[Volume (L)]]/0.5</f>
        <v>5000</v>
      </c>
    </row>
    <row r="147" spans="1:14" x14ac:dyDescent="0.3">
      <c r="A147" s="14" t="s">
        <v>44</v>
      </c>
      <c r="B147" t="s">
        <v>12</v>
      </c>
      <c r="C147" t="s">
        <v>24</v>
      </c>
      <c r="D147">
        <v>10205252</v>
      </c>
      <c r="E147" t="s">
        <v>25</v>
      </c>
      <c r="F147" t="s">
        <v>18</v>
      </c>
      <c r="G147" t="s">
        <v>16</v>
      </c>
      <c r="H147" t="s">
        <v>19</v>
      </c>
      <c r="I147">
        <v>60022909</v>
      </c>
      <c r="J147" s="3">
        <v>29000</v>
      </c>
      <c r="K147" s="16" cm="1">
        <f t="array" ref="K147">_xlfn.XLOOKUP(I147,'Product Mapping'!$C$3:$C$10,'Product Mapping'!$F$3:$F$10*J147)</f>
        <v>551000</v>
      </c>
      <c r="L147" s="11" cm="1">
        <f t="array" ref="L147">_xlfn.XLOOKUP(I147,'Product Mapping'!$C$3:$C$10,'Product Mapping'!$G$3:$G$10*J147)</f>
        <v>188500</v>
      </c>
      <c r="M147" cm="1">
        <f t="array" ref="M147">_xlfn.XLOOKUP(I147,'Product Mapping'!$C$3:$C$10,'Product Mapping'!$H$3:$H$10*J147)</f>
        <v>812000</v>
      </c>
      <c r="N147" s="21">
        <f>Table14[[#This Row],[Volume (L)]]/0.5</f>
        <v>58000</v>
      </c>
    </row>
    <row r="148" spans="1:14" x14ac:dyDescent="0.3">
      <c r="A148" s="14" t="s">
        <v>44</v>
      </c>
      <c r="B148" t="s">
        <v>12</v>
      </c>
      <c r="C148" t="s">
        <v>26</v>
      </c>
      <c r="D148">
        <v>10204959</v>
      </c>
      <c r="E148" t="s">
        <v>27</v>
      </c>
      <c r="F148" t="s">
        <v>15</v>
      </c>
      <c r="G148" t="s">
        <v>16</v>
      </c>
      <c r="H148" t="s">
        <v>17</v>
      </c>
      <c r="I148">
        <v>52005002</v>
      </c>
      <c r="J148" s="3">
        <v>1200</v>
      </c>
      <c r="K148" s="16" cm="1">
        <f t="array" ref="K148">_xlfn.XLOOKUP(I148,'Product Mapping'!$C$3:$C$10,'Product Mapping'!$F$3:$F$10*J148)</f>
        <v>48000</v>
      </c>
      <c r="L148" s="11" cm="1">
        <f t="array" ref="L148">_xlfn.XLOOKUP(I148,'Product Mapping'!$C$3:$C$10,'Product Mapping'!$G$3:$G$10*J148)</f>
        <v>8400</v>
      </c>
      <c r="M148" cm="1">
        <f t="array" ref="M148">_xlfn.XLOOKUP(I148,'Product Mapping'!$C$3:$C$10,'Product Mapping'!$H$3:$H$10*J148)</f>
        <v>6600</v>
      </c>
      <c r="N148" s="21">
        <f>Table14[[#This Row],[Volume (L)]]/0.5</f>
        <v>2400</v>
      </c>
    </row>
    <row r="149" spans="1:14" x14ac:dyDescent="0.3">
      <c r="A149" s="14" t="s">
        <v>44</v>
      </c>
      <c r="B149" t="s">
        <v>12</v>
      </c>
      <c r="C149" t="s">
        <v>26</v>
      </c>
      <c r="D149">
        <v>10204959</v>
      </c>
      <c r="E149" t="s">
        <v>27</v>
      </c>
      <c r="F149" t="s">
        <v>18</v>
      </c>
      <c r="G149" t="s">
        <v>16</v>
      </c>
      <c r="H149" t="s">
        <v>23</v>
      </c>
      <c r="I149">
        <v>60022300</v>
      </c>
      <c r="J149" s="3">
        <v>22000</v>
      </c>
      <c r="K149" s="16" cm="1">
        <f t="array" ref="K149">_xlfn.XLOOKUP(I149,'Product Mapping'!$C$3:$C$10,'Product Mapping'!$F$3:$F$10*J149)</f>
        <v>396000</v>
      </c>
      <c r="L149" s="11" cm="1">
        <f t="array" ref="L149">_xlfn.XLOOKUP(I149,'Product Mapping'!$C$3:$C$10,'Product Mapping'!$G$3:$G$10*J149)</f>
        <v>132000</v>
      </c>
      <c r="M149" cm="1">
        <f t="array" ref="M149">_xlfn.XLOOKUP(I149,'Product Mapping'!$C$3:$C$10,'Product Mapping'!$H$3:$H$10*J149)</f>
        <v>638000</v>
      </c>
      <c r="N149" s="21">
        <f>Table14[[#This Row],[Volume (L)]]/0.5</f>
        <v>44000</v>
      </c>
    </row>
    <row r="150" spans="1:14" x14ac:dyDescent="0.3">
      <c r="A150" s="14" t="s">
        <v>44</v>
      </c>
      <c r="B150" t="s">
        <v>12</v>
      </c>
      <c r="C150" t="s">
        <v>28</v>
      </c>
      <c r="D150">
        <v>10205590</v>
      </c>
      <c r="E150" t="s">
        <v>29</v>
      </c>
      <c r="F150" t="s">
        <v>15</v>
      </c>
      <c r="G150" t="s">
        <v>16</v>
      </c>
      <c r="H150" t="s">
        <v>22</v>
      </c>
      <c r="I150">
        <v>52005050</v>
      </c>
      <c r="J150" s="3">
        <v>800</v>
      </c>
      <c r="K150" s="16" cm="1">
        <f t="array" ref="K150">_xlfn.XLOOKUP(I150,'Product Mapping'!$C$3:$C$10,'Product Mapping'!$F$3:$F$10*J150)</f>
        <v>33600</v>
      </c>
      <c r="L150" s="11" cm="1">
        <f t="array" ref="L150">_xlfn.XLOOKUP(I150,'Product Mapping'!$C$3:$C$10,'Product Mapping'!$G$3:$G$10*J150)</f>
        <v>6800</v>
      </c>
      <c r="M150" cm="1">
        <f t="array" ref="M150">_xlfn.XLOOKUP(I150,'Product Mapping'!$C$3:$C$10,'Product Mapping'!$H$3:$H$10*J150)</f>
        <v>4640</v>
      </c>
      <c r="N150" s="21">
        <f>Table14[[#This Row],[Volume (L)]]/0.5</f>
        <v>1600</v>
      </c>
    </row>
    <row r="151" spans="1:14" x14ac:dyDescent="0.3">
      <c r="A151" s="14" t="s">
        <v>44</v>
      </c>
      <c r="B151" t="s">
        <v>12</v>
      </c>
      <c r="C151" t="s">
        <v>28</v>
      </c>
      <c r="D151">
        <v>10205590</v>
      </c>
      <c r="E151" t="s">
        <v>29</v>
      </c>
      <c r="F151" t="s">
        <v>18</v>
      </c>
      <c r="G151" t="s">
        <v>16</v>
      </c>
      <c r="H151" t="s">
        <v>19</v>
      </c>
      <c r="I151">
        <v>60022909</v>
      </c>
      <c r="J151" s="3">
        <v>12000</v>
      </c>
      <c r="K151" s="16" cm="1">
        <f t="array" ref="K151">_xlfn.XLOOKUP(I151,'Product Mapping'!$C$3:$C$10,'Product Mapping'!$F$3:$F$10*J151)</f>
        <v>228000</v>
      </c>
      <c r="L151" s="11" cm="1">
        <f t="array" ref="L151">_xlfn.XLOOKUP(I151,'Product Mapping'!$C$3:$C$10,'Product Mapping'!$G$3:$G$10*J151)</f>
        <v>78000</v>
      </c>
      <c r="M151" cm="1">
        <f t="array" ref="M151">_xlfn.XLOOKUP(I151,'Product Mapping'!$C$3:$C$10,'Product Mapping'!$H$3:$H$10*J151)</f>
        <v>336000</v>
      </c>
      <c r="N151" s="21">
        <f>Table14[[#This Row],[Volume (L)]]/0.5</f>
        <v>24000</v>
      </c>
    </row>
    <row r="152" spans="1:14" x14ac:dyDescent="0.3">
      <c r="A152" s="14" t="s">
        <v>44</v>
      </c>
      <c r="B152" t="s">
        <v>12</v>
      </c>
      <c r="C152" t="s">
        <v>30</v>
      </c>
      <c r="D152">
        <v>10204957</v>
      </c>
      <c r="E152" t="s">
        <v>31</v>
      </c>
      <c r="F152" t="s">
        <v>15</v>
      </c>
      <c r="G152" t="s">
        <v>16</v>
      </c>
      <c r="H152" t="s">
        <v>17</v>
      </c>
      <c r="I152">
        <v>52005002</v>
      </c>
      <c r="J152" s="3">
        <v>1800</v>
      </c>
      <c r="K152" s="16" cm="1">
        <f t="array" ref="K152">_xlfn.XLOOKUP(I152,'Product Mapping'!$C$3:$C$10,'Product Mapping'!$F$3:$F$10*J152)</f>
        <v>72000</v>
      </c>
      <c r="L152" s="11" cm="1">
        <f t="array" ref="L152">_xlfn.XLOOKUP(I152,'Product Mapping'!$C$3:$C$10,'Product Mapping'!$G$3:$G$10*J152)</f>
        <v>12600</v>
      </c>
      <c r="M152" cm="1">
        <f t="array" ref="M152">_xlfn.XLOOKUP(I152,'Product Mapping'!$C$3:$C$10,'Product Mapping'!$H$3:$H$10*J152)</f>
        <v>9900</v>
      </c>
      <c r="N152" s="21">
        <f>Table14[[#This Row],[Volume (L)]]/0.5</f>
        <v>3600</v>
      </c>
    </row>
    <row r="153" spans="1:14" x14ac:dyDescent="0.3">
      <c r="A153" s="14" t="s">
        <v>44</v>
      </c>
      <c r="B153" t="s">
        <v>12</v>
      </c>
      <c r="C153" t="s">
        <v>30</v>
      </c>
      <c r="D153">
        <v>10204957</v>
      </c>
      <c r="E153" t="s">
        <v>31</v>
      </c>
      <c r="F153" t="s">
        <v>18</v>
      </c>
      <c r="G153" t="s">
        <v>16</v>
      </c>
      <c r="H153" t="s">
        <v>19</v>
      </c>
      <c r="I153">
        <v>60022909</v>
      </c>
      <c r="J153" s="3">
        <v>16900</v>
      </c>
      <c r="K153" s="16" cm="1">
        <f t="array" ref="K153">_xlfn.XLOOKUP(I153,'Product Mapping'!$C$3:$C$10,'Product Mapping'!$F$3:$F$10*J153)</f>
        <v>321100</v>
      </c>
      <c r="L153" s="11" cm="1">
        <f t="array" ref="L153">_xlfn.XLOOKUP(I153,'Product Mapping'!$C$3:$C$10,'Product Mapping'!$G$3:$G$10*J153)</f>
        <v>109850</v>
      </c>
      <c r="M153" cm="1">
        <f t="array" ref="M153">_xlfn.XLOOKUP(I153,'Product Mapping'!$C$3:$C$10,'Product Mapping'!$H$3:$H$10*J153)</f>
        <v>473200</v>
      </c>
      <c r="N153" s="21">
        <f>Table14[[#This Row],[Volume (L)]]/0.5</f>
        <v>33800</v>
      </c>
    </row>
    <row r="154" spans="1:14" x14ac:dyDescent="0.3">
      <c r="A154" s="14" t="s">
        <v>44</v>
      </c>
      <c r="B154" t="s">
        <v>12</v>
      </c>
      <c r="C154" t="s">
        <v>32</v>
      </c>
      <c r="D154">
        <v>10204980</v>
      </c>
      <c r="E154" t="s">
        <v>33</v>
      </c>
      <c r="F154" t="s">
        <v>15</v>
      </c>
      <c r="G154" t="s">
        <v>16</v>
      </c>
      <c r="H154" t="s">
        <v>17</v>
      </c>
      <c r="I154">
        <v>52005002</v>
      </c>
      <c r="J154" s="3">
        <v>2500</v>
      </c>
      <c r="K154" s="16" cm="1">
        <f t="array" ref="K154">_xlfn.XLOOKUP(I154,'Product Mapping'!$C$3:$C$10,'Product Mapping'!$F$3:$F$10*J154)</f>
        <v>100000</v>
      </c>
      <c r="L154" s="11" cm="1">
        <f t="array" ref="L154">_xlfn.XLOOKUP(I154,'Product Mapping'!$C$3:$C$10,'Product Mapping'!$G$3:$G$10*J154)</f>
        <v>17500</v>
      </c>
      <c r="M154" cm="1">
        <f t="array" ref="M154">_xlfn.XLOOKUP(I154,'Product Mapping'!$C$3:$C$10,'Product Mapping'!$H$3:$H$10*J154)</f>
        <v>13750</v>
      </c>
      <c r="N154" s="21">
        <f>Table14[[#This Row],[Volume (L)]]/0.5</f>
        <v>5000</v>
      </c>
    </row>
    <row r="155" spans="1:14" x14ac:dyDescent="0.3">
      <c r="A155" s="14" t="s">
        <v>44</v>
      </c>
      <c r="B155" t="s">
        <v>12</v>
      </c>
      <c r="C155" t="s">
        <v>32</v>
      </c>
      <c r="D155">
        <v>10204980</v>
      </c>
      <c r="E155" t="s">
        <v>33</v>
      </c>
      <c r="F155" t="s">
        <v>18</v>
      </c>
      <c r="G155" t="s">
        <v>16</v>
      </c>
      <c r="H155" t="s">
        <v>23</v>
      </c>
      <c r="I155">
        <v>60022300</v>
      </c>
      <c r="J155" s="3">
        <v>28000</v>
      </c>
      <c r="K155" s="16" cm="1">
        <f t="array" ref="K155">_xlfn.XLOOKUP(I155,'Product Mapping'!$C$3:$C$10,'Product Mapping'!$F$3:$F$10*J155)</f>
        <v>504000</v>
      </c>
      <c r="L155" s="11" cm="1">
        <f t="array" ref="L155">_xlfn.XLOOKUP(I155,'Product Mapping'!$C$3:$C$10,'Product Mapping'!$G$3:$G$10*J155)</f>
        <v>168000</v>
      </c>
      <c r="M155" cm="1">
        <f t="array" ref="M155">_xlfn.XLOOKUP(I155,'Product Mapping'!$C$3:$C$10,'Product Mapping'!$H$3:$H$10*J155)</f>
        <v>812000</v>
      </c>
      <c r="N155" s="21">
        <f>Table14[[#This Row],[Volume (L)]]/0.5</f>
        <v>56000</v>
      </c>
    </row>
    <row r="157" spans="1:14" s="18" customFormat="1" x14ac:dyDescent="0.3">
      <c r="N157" s="22"/>
    </row>
    <row r="158" spans="1:14" x14ac:dyDescent="0.3">
      <c r="J158" s="16"/>
      <c r="K158" s="16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EB79-B4F7-4BFE-9D2A-397655BA3DEF}">
  <dimension ref="B2:N160"/>
  <sheetViews>
    <sheetView topLeftCell="C1" workbookViewId="0">
      <selection activeCell="D14" sqref="D14"/>
    </sheetView>
  </sheetViews>
  <sheetFormatPr defaultRowHeight="14.4" x14ac:dyDescent="0.3"/>
  <cols>
    <col min="2" max="2" width="14.77734375" bestFit="1" customWidth="1"/>
    <col min="3" max="3" width="20.21875" customWidth="1"/>
    <col min="4" max="4" width="16.6640625" bestFit="1" customWidth="1"/>
    <col min="5" max="5" width="15.77734375" customWidth="1"/>
    <col min="6" max="6" width="9.5546875" customWidth="1"/>
    <col min="7" max="7" width="19.21875" customWidth="1"/>
    <col min="8" max="8" width="13.21875" customWidth="1"/>
    <col min="9" max="9" width="16.77734375" customWidth="1"/>
    <col min="10" max="10" width="14.44140625" customWidth="1"/>
    <col min="11" max="11" width="13.21875" customWidth="1"/>
    <col min="12" max="12" width="20.21875" customWidth="1"/>
    <col min="13" max="13" width="17.44140625" customWidth="1"/>
    <col min="14" max="14" width="23" bestFit="1" customWidth="1"/>
  </cols>
  <sheetData>
    <row r="2" spans="2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70</v>
      </c>
      <c r="M2" t="s">
        <v>71</v>
      </c>
      <c r="N2" t="s">
        <v>10</v>
      </c>
    </row>
    <row r="3" spans="2:14" x14ac:dyDescent="0.3">
      <c r="B3" s="14" t="s">
        <v>11</v>
      </c>
      <c r="C3" t="s">
        <v>12</v>
      </c>
      <c r="D3" t="s">
        <v>13</v>
      </c>
      <c r="E3">
        <v>10204958</v>
      </c>
      <c r="F3" t="s">
        <v>14</v>
      </c>
      <c r="G3" t="s">
        <v>15</v>
      </c>
      <c r="H3" t="s">
        <v>16</v>
      </c>
      <c r="I3" t="s">
        <v>17</v>
      </c>
      <c r="J3">
        <v>52005002</v>
      </c>
      <c r="K3" s="3">
        <v>2000</v>
      </c>
      <c r="L3" s="11"/>
      <c r="M3" s="11"/>
    </row>
    <row r="4" spans="2:14" x14ac:dyDescent="0.3">
      <c r="B4" s="14" t="s">
        <v>11</v>
      </c>
      <c r="C4" t="s">
        <v>12</v>
      </c>
      <c r="D4" t="s">
        <v>13</v>
      </c>
      <c r="E4">
        <v>10204958</v>
      </c>
      <c r="F4" t="s">
        <v>14</v>
      </c>
      <c r="G4" t="s">
        <v>18</v>
      </c>
      <c r="H4" t="s">
        <v>16</v>
      </c>
      <c r="I4" t="s">
        <v>19</v>
      </c>
      <c r="J4">
        <v>60022909</v>
      </c>
      <c r="K4" s="3">
        <v>25000</v>
      </c>
      <c r="L4" s="11"/>
      <c r="M4" s="11"/>
    </row>
    <row r="5" spans="2:14" x14ac:dyDescent="0.3">
      <c r="B5" s="14" t="s">
        <v>11</v>
      </c>
      <c r="C5" t="s">
        <v>12</v>
      </c>
      <c r="D5" t="s">
        <v>20</v>
      </c>
      <c r="E5">
        <v>10205600</v>
      </c>
      <c r="F5" t="s">
        <v>21</v>
      </c>
      <c r="G5" t="s">
        <v>15</v>
      </c>
      <c r="H5" t="s">
        <v>16</v>
      </c>
      <c r="I5" t="s">
        <v>22</v>
      </c>
      <c r="J5">
        <v>52005050</v>
      </c>
      <c r="K5" s="3">
        <v>1500</v>
      </c>
      <c r="L5" s="11"/>
      <c r="M5" s="11"/>
    </row>
    <row r="6" spans="2:14" x14ac:dyDescent="0.3">
      <c r="B6" s="14" t="s">
        <v>11</v>
      </c>
      <c r="C6" t="s">
        <v>12</v>
      </c>
      <c r="D6" t="s">
        <v>20</v>
      </c>
      <c r="E6" t="s">
        <v>21</v>
      </c>
      <c r="F6" t="s">
        <v>21</v>
      </c>
      <c r="G6" t="s">
        <v>18</v>
      </c>
      <c r="H6" t="s">
        <v>16</v>
      </c>
      <c r="I6" t="s">
        <v>23</v>
      </c>
      <c r="J6">
        <v>60022300</v>
      </c>
      <c r="K6" s="3">
        <v>18700</v>
      </c>
      <c r="L6" s="11"/>
      <c r="M6" s="11"/>
    </row>
    <row r="7" spans="2:14" x14ac:dyDescent="0.3">
      <c r="B7" s="14" t="s">
        <v>11</v>
      </c>
      <c r="C7" t="s">
        <v>12</v>
      </c>
      <c r="D7" t="s">
        <v>24</v>
      </c>
      <c r="E7">
        <v>10205252</v>
      </c>
      <c r="F7" t="s">
        <v>25</v>
      </c>
      <c r="G7" t="s">
        <v>15</v>
      </c>
      <c r="H7" t="s">
        <v>16</v>
      </c>
      <c r="I7" t="s">
        <v>22</v>
      </c>
      <c r="J7">
        <v>52005050</v>
      </c>
      <c r="K7" s="3">
        <v>2500</v>
      </c>
      <c r="L7" s="11"/>
      <c r="M7" s="11"/>
    </row>
    <row r="8" spans="2:14" x14ac:dyDescent="0.3">
      <c r="B8" s="14"/>
      <c r="K8" s="3"/>
      <c r="L8" s="16"/>
      <c r="M8" s="11"/>
    </row>
    <row r="9" spans="2:14" x14ac:dyDescent="0.3">
      <c r="B9" s="14" t="s">
        <v>11</v>
      </c>
      <c r="C9" t="s">
        <v>12</v>
      </c>
      <c r="D9" t="s">
        <v>24</v>
      </c>
      <c r="E9">
        <v>10205252</v>
      </c>
      <c r="F9" t="s">
        <v>25</v>
      </c>
      <c r="G9" t="s">
        <v>18</v>
      </c>
      <c r="H9" t="s">
        <v>16</v>
      </c>
      <c r="I9" t="s">
        <v>19</v>
      </c>
      <c r="J9">
        <v>60022909</v>
      </c>
      <c r="K9" s="3">
        <v>29000</v>
      </c>
      <c r="L9" s="11"/>
      <c r="M9" s="11"/>
    </row>
    <row r="10" spans="2:14" x14ac:dyDescent="0.3">
      <c r="B10" s="14" t="s">
        <v>11</v>
      </c>
      <c r="C10" t="s">
        <v>12</v>
      </c>
      <c r="D10" t="s">
        <v>26</v>
      </c>
      <c r="E10">
        <v>10204959</v>
      </c>
      <c r="F10" t="s">
        <v>27</v>
      </c>
      <c r="G10" t="s">
        <v>15</v>
      </c>
      <c r="H10" t="s">
        <v>16</v>
      </c>
      <c r="I10" t="s">
        <v>17</v>
      </c>
      <c r="J10">
        <v>52005002</v>
      </c>
      <c r="K10" s="3">
        <v>1200</v>
      </c>
      <c r="L10" s="11"/>
      <c r="M10" s="11"/>
    </row>
    <row r="11" spans="2:14" x14ac:dyDescent="0.3">
      <c r="B11" s="14" t="s">
        <v>11</v>
      </c>
      <c r="C11" t="s">
        <v>12</v>
      </c>
      <c r="D11" t="s">
        <v>72</v>
      </c>
      <c r="E11">
        <v>10204959</v>
      </c>
      <c r="F11" t="s">
        <v>27</v>
      </c>
      <c r="G11" t="s">
        <v>18</v>
      </c>
      <c r="H11" t="s">
        <v>16</v>
      </c>
      <c r="I11" t="s">
        <v>23</v>
      </c>
      <c r="J11">
        <v>60022300</v>
      </c>
      <c r="K11" s="3">
        <v>22000</v>
      </c>
      <c r="L11" s="11"/>
      <c r="M11" s="11"/>
    </row>
    <row r="12" spans="2:14" x14ac:dyDescent="0.3">
      <c r="B12" s="14" t="s">
        <v>11</v>
      </c>
      <c r="C12" t="s">
        <v>12</v>
      </c>
      <c r="D12" t="s">
        <v>28</v>
      </c>
      <c r="E12">
        <v>10205590</v>
      </c>
      <c r="F12" t="s">
        <v>29</v>
      </c>
      <c r="G12" t="s">
        <v>15</v>
      </c>
      <c r="H12" t="s">
        <v>16</v>
      </c>
      <c r="I12" t="s">
        <v>22</v>
      </c>
      <c r="J12">
        <v>52005050</v>
      </c>
      <c r="K12" s="3">
        <v>800</v>
      </c>
      <c r="L12" s="11"/>
      <c r="M12" s="11"/>
    </row>
    <row r="13" spans="2:14" x14ac:dyDescent="0.3">
      <c r="B13" s="14" t="s">
        <v>11</v>
      </c>
      <c r="C13" t="s">
        <v>12</v>
      </c>
      <c r="D13" t="s">
        <v>28</v>
      </c>
      <c r="E13">
        <v>10205590</v>
      </c>
      <c r="F13" t="s">
        <v>29</v>
      </c>
      <c r="G13" t="s">
        <v>18</v>
      </c>
      <c r="H13" t="s">
        <v>16</v>
      </c>
      <c r="I13" t="s">
        <v>19</v>
      </c>
      <c r="J13">
        <v>60022909</v>
      </c>
      <c r="K13" s="3">
        <v>12000</v>
      </c>
      <c r="L13" s="11"/>
      <c r="M13" s="11"/>
    </row>
    <row r="14" spans="2:14" x14ac:dyDescent="0.3">
      <c r="B14" s="14" t="s">
        <v>11</v>
      </c>
      <c r="C14" t="s">
        <v>12</v>
      </c>
      <c r="D14" t="s">
        <v>30</v>
      </c>
      <c r="E14">
        <v>10204957</v>
      </c>
      <c r="F14" t="s">
        <v>31</v>
      </c>
      <c r="G14" t="s">
        <v>15</v>
      </c>
      <c r="H14" t="s">
        <v>16</v>
      </c>
      <c r="I14" t="s">
        <v>17</v>
      </c>
      <c r="J14">
        <v>52005002</v>
      </c>
      <c r="K14" s="3">
        <v>1800</v>
      </c>
      <c r="L14" s="11"/>
      <c r="M14" s="11"/>
    </row>
    <row r="15" spans="2:14" x14ac:dyDescent="0.3">
      <c r="B15" s="14" t="s">
        <v>11</v>
      </c>
      <c r="C15" t="s">
        <v>12</v>
      </c>
      <c r="D15" t="s">
        <v>30</v>
      </c>
      <c r="E15">
        <v>10204957</v>
      </c>
      <c r="F15" t="s">
        <v>31</v>
      </c>
      <c r="G15" t="s">
        <v>18</v>
      </c>
      <c r="H15" t="s">
        <v>16</v>
      </c>
      <c r="I15" t="s">
        <v>19</v>
      </c>
      <c r="J15">
        <v>60022909</v>
      </c>
      <c r="K15" s="3">
        <v>16900</v>
      </c>
      <c r="L15" s="11"/>
      <c r="M15" s="11"/>
    </row>
    <row r="16" spans="2:14" x14ac:dyDescent="0.3">
      <c r="B16" s="14" t="s">
        <v>11</v>
      </c>
      <c r="C16" t="s">
        <v>12</v>
      </c>
      <c r="D16" t="s">
        <v>32</v>
      </c>
      <c r="E16">
        <v>10204980</v>
      </c>
      <c r="F16" t="s">
        <v>33</v>
      </c>
      <c r="G16" t="s">
        <v>15</v>
      </c>
      <c r="H16" t="s">
        <v>16</v>
      </c>
      <c r="I16" t="s">
        <v>17</v>
      </c>
      <c r="J16">
        <v>52005002</v>
      </c>
      <c r="K16" s="3">
        <v>2500</v>
      </c>
      <c r="L16" s="11"/>
      <c r="M16" s="11"/>
    </row>
    <row r="17" spans="2:14" x14ac:dyDescent="0.3">
      <c r="B17" s="14" t="s">
        <v>11</v>
      </c>
      <c r="C17" t="s">
        <v>12</v>
      </c>
      <c r="D17" t="s">
        <v>73</v>
      </c>
      <c r="F17" t="s">
        <v>33</v>
      </c>
      <c r="G17" t="s">
        <v>18</v>
      </c>
      <c r="H17" t="s">
        <v>16</v>
      </c>
      <c r="I17" t="s">
        <v>23</v>
      </c>
      <c r="J17">
        <v>60022300</v>
      </c>
      <c r="K17" s="3">
        <v>28000</v>
      </c>
      <c r="L17" s="11"/>
      <c r="M17" s="11"/>
    </row>
    <row r="18" spans="2:14" x14ac:dyDescent="0.3">
      <c r="B18" s="14" t="s">
        <v>34</v>
      </c>
      <c r="C18" t="s">
        <v>12</v>
      </c>
      <c r="D18" t="s">
        <v>13</v>
      </c>
      <c r="E18">
        <v>10204958</v>
      </c>
      <c r="F18" t="s">
        <v>14</v>
      </c>
      <c r="G18" t="s">
        <v>15</v>
      </c>
      <c r="H18" t="s">
        <v>16</v>
      </c>
      <c r="I18" t="s">
        <v>17</v>
      </c>
      <c r="J18">
        <v>52005002</v>
      </c>
      <c r="K18" s="3">
        <v>1500</v>
      </c>
      <c r="L18" s="16"/>
      <c r="M18" s="11"/>
    </row>
    <row r="19" spans="2:14" x14ac:dyDescent="0.3">
      <c r="B19" s="14" t="s">
        <v>34</v>
      </c>
      <c r="C19" t="s">
        <v>12</v>
      </c>
      <c r="D19" t="s">
        <v>13</v>
      </c>
      <c r="E19">
        <v>10204958</v>
      </c>
      <c r="F19" t="s">
        <v>14</v>
      </c>
      <c r="G19" t="s">
        <v>18</v>
      </c>
      <c r="H19" t="s">
        <v>16</v>
      </c>
      <c r="I19" t="s">
        <v>19</v>
      </c>
      <c r="J19">
        <v>60022909</v>
      </c>
      <c r="K19" s="3">
        <v>23000</v>
      </c>
      <c r="L19" s="16"/>
      <c r="M19" s="11"/>
    </row>
    <row r="20" spans="2:14" x14ac:dyDescent="0.3">
      <c r="B20" s="14" t="s">
        <v>34</v>
      </c>
      <c r="C20" t="s">
        <v>12</v>
      </c>
      <c r="D20" t="s">
        <v>20</v>
      </c>
      <c r="E20">
        <v>10205600</v>
      </c>
      <c r="F20" t="s">
        <v>21</v>
      </c>
      <c r="G20" t="s">
        <v>15</v>
      </c>
      <c r="H20" t="s">
        <v>16</v>
      </c>
      <c r="I20" t="s">
        <v>22</v>
      </c>
      <c r="J20">
        <v>52005050</v>
      </c>
      <c r="K20" s="3">
        <v>1100</v>
      </c>
      <c r="L20" s="16"/>
      <c r="M20" s="11"/>
    </row>
    <row r="21" spans="2:14" x14ac:dyDescent="0.3">
      <c r="B21" s="14" t="s">
        <v>34</v>
      </c>
      <c r="C21" t="s">
        <v>12</v>
      </c>
      <c r="D21" t="s">
        <v>74</v>
      </c>
      <c r="E21">
        <v>10205600</v>
      </c>
      <c r="F21" t="s">
        <v>21</v>
      </c>
      <c r="G21" t="s">
        <v>18</v>
      </c>
      <c r="H21" t="s">
        <v>16</v>
      </c>
      <c r="I21" t="s">
        <v>23</v>
      </c>
      <c r="J21">
        <v>60022300</v>
      </c>
      <c r="K21" s="3">
        <v>19700</v>
      </c>
      <c r="L21" s="16"/>
      <c r="M21" s="13"/>
      <c r="N21" s="12"/>
    </row>
    <row r="22" spans="2:14" x14ac:dyDescent="0.3">
      <c r="B22" s="14" t="s">
        <v>34</v>
      </c>
      <c r="C22" t="s">
        <v>12</v>
      </c>
      <c r="D22" t="s">
        <v>24</v>
      </c>
      <c r="E22">
        <v>10205252</v>
      </c>
      <c r="F22" t="s">
        <v>25</v>
      </c>
      <c r="G22" t="s">
        <v>15</v>
      </c>
      <c r="H22" t="s">
        <v>16</v>
      </c>
      <c r="I22" t="s">
        <v>22</v>
      </c>
      <c r="J22">
        <v>52005050</v>
      </c>
      <c r="K22" s="3">
        <v>2000</v>
      </c>
      <c r="L22" s="16"/>
      <c r="M22" s="11"/>
      <c r="N22" s="10"/>
    </row>
    <row r="23" spans="2:14" x14ac:dyDescent="0.3">
      <c r="B23" s="14" t="s">
        <v>34</v>
      </c>
      <c r="C23" t="s">
        <v>12</v>
      </c>
      <c r="D23" t="s">
        <v>24</v>
      </c>
      <c r="E23">
        <v>10205252</v>
      </c>
      <c r="F23" t="s">
        <v>25</v>
      </c>
      <c r="G23" t="s">
        <v>18</v>
      </c>
      <c r="H23" t="s">
        <v>16</v>
      </c>
      <c r="I23" t="s">
        <v>19</v>
      </c>
      <c r="J23">
        <v>60022909</v>
      </c>
      <c r="K23" s="3">
        <v>30000</v>
      </c>
      <c r="L23" s="16"/>
      <c r="M23" s="11"/>
      <c r="N23" s="10"/>
    </row>
    <row r="24" spans="2:14" x14ac:dyDescent="0.3">
      <c r="B24" s="14" t="s">
        <v>34</v>
      </c>
      <c r="C24" t="s">
        <v>12</v>
      </c>
      <c r="D24" t="s">
        <v>26</v>
      </c>
      <c r="E24">
        <v>10204959</v>
      </c>
      <c r="F24" t="s">
        <v>27</v>
      </c>
      <c r="G24" t="s">
        <v>15</v>
      </c>
      <c r="H24" t="s">
        <v>16</v>
      </c>
      <c r="I24" t="s">
        <v>17</v>
      </c>
      <c r="J24">
        <v>52005002</v>
      </c>
      <c r="K24" s="3">
        <v>1200</v>
      </c>
      <c r="L24" s="16"/>
      <c r="M24" s="11"/>
      <c r="N24" s="10"/>
    </row>
    <row r="25" spans="2:14" x14ac:dyDescent="0.3">
      <c r="B25" s="14" t="s">
        <v>34</v>
      </c>
      <c r="C25" t="s">
        <v>12</v>
      </c>
      <c r="D25" t="s">
        <v>26</v>
      </c>
      <c r="E25">
        <v>10204959</v>
      </c>
      <c r="F25" t="s">
        <v>27</v>
      </c>
      <c r="G25" t="s">
        <v>18</v>
      </c>
      <c r="H25" t="s">
        <v>16</v>
      </c>
      <c r="I25" t="s">
        <v>23</v>
      </c>
      <c r="J25">
        <v>60022300</v>
      </c>
      <c r="K25" s="3">
        <v>21000</v>
      </c>
      <c r="L25" s="16"/>
      <c r="M25" s="11"/>
      <c r="N25" s="10"/>
    </row>
    <row r="26" spans="2:14" x14ac:dyDescent="0.3">
      <c r="B26" s="14" t="s">
        <v>34</v>
      </c>
      <c r="C26" t="s">
        <v>12</v>
      </c>
      <c r="D26" t="s">
        <v>75</v>
      </c>
      <c r="E26">
        <v>10205590</v>
      </c>
      <c r="F26" t="s">
        <v>29</v>
      </c>
      <c r="G26" t="s">
        <v>15</v>
      </c>
      <c r="H26" t="s">
        <v>16</v>
      </c>
      <c r="I26" t="s">
        <v>22</v>
      </c>
      <c r="J26">
        <v>52005050</v>
      </c>
      <c r="K26" s="3">
        <v>700</v>
      </c>
      <c r="L26" s="16"/>
      <c r="M26" s="11"/>
    </row>
    <row r="27" spans="2:14" x14ac:dyDescent="0.3">
      <c r="B27" s="14" t="s">
        <v>34</v>
      </c>
      <c r="C27" t="s">
        <v>12</v>
      </c>
      <c r="D27" t="s">
        <v>28</v>
      </c>
      <c r="E27">
        <v>10205590</v>
      </c>
      <c r="F27" t="s">
        <v>29</v>
      </c>
      <c r="G27" t="s">
        <v>18</v>
      </c>
      <c r="H27" t="s">
        <v>16</v>
      </c>
      <c r="I27" t="s">
        <v>19</v>
      </c>
      <c r="J27">
        <v>60022909</v>
      </c>
      <c r="K27" s="3">
        <v>13000</v>
      </c>
      <c r="L27" s="17"/>
      <c r="M27" s="11"/>
    </row>
    <row r="28" spans="2:14" x14ac:dyDescent="0.3">
      <c r="B28" s="14" t="s">
        <v>34</v>
      </c>
      <c r="C28" t="s">
        <v>12</v>
      </c>
      <c r="D28" t="s">
        <v>30</v>
      </c>
      <c r="E28">
        <v>10204957</v>
      </c>
      <c r="F28" t="s">
        <v>31</v>
      </c>
      <c r="G28" t="s">
        <v>15</v>
      </c>
      <c r="H28" t="s">
        <v>16</v>
      </c>
      <c r="I28" t="s">
        <v>17</v>
      </c>
      <c r="J28">
        <v>52005002</v>
      </c>
      <c r="K28" s="3">
        <v>1400</v>
      </c>
      <c r="L28" s="16"/>
      <c r="M28" s="11"/>
    </row>
    <row r="29" spans="2:14" x14ac:dyDescent="0.3">
      <c r="B29" s="14" t="s">
        <v>34</v>
      </c>
      <c r="C29" t="s">
        <v>12</v>
      </c>
      <c r="D29" t="s">
        <v>30</v>
      </c>
      <c r="E29">
        <v>10204957</v>
      </c>
      <c r="F29" t="s">
        <v>31</v>
      </c>
      <c r="G29" t="s">
        <v>18</v>
      </c>
      <c r="H29" t="s">
        <v>16</v>
      </c>
      <c r="I29" t="s">
        <v>19</v>
      </c>
      <c r="J29">
        <v>60022909</v>
      </c>
      <c r="K29" s="3">
        <v>15900</v>
      </c>
      <c r="L29" s="16"/>
      <c r="M29" s="11"/>
    </row>
    <row r="30" spans="2:14" x14ac:dyDescent="0.3">
      <c r="B30" s="14" t="s">
        <v>34</v>
      </c>
      <c r="C30" t="s">
        <v>12</v>
      </c>
      <c r="D30" t="s">
        <v>32</v>
      </c>
      <c r="E30">
        <v>10204980</v>
      </c>
      <c r="F30" t="s">
        <v>33</v>
      </c>
      <c r="G30" t="s">
        <v>15</v>
      </c>
      <c r="H30" t="s">
        <v>16</v>
      </c>
      <c r="I30" t="s">
        <v>17</v>
      </c>
      <c r="J30">
        <v>52005002</v>
      </c>
      <c r="K30" s="3">
        <v>2100</v>
      </c>
      <c r="L30" s="16"/>
      <c r="M30" s="11"/>
    </row>
    <row r="31" spans="2:14" x14ac:dyDescent="0.3">
      <c r="B31" s="14" t="s">
        <v>34</v>
      </c>
      <c r="C31" t="s">
        <v>12</v>
      </c>
      <c r="D31" t="s">
        <v>32</v>
      </c>
      <c r="E31">
        <v>10204980</v>
      </c>
      <c r="F31" t="s">
        <v>33</v>
      </c>
      <c r="G31" t="s">
        <v>18</v>
      </c>
      <c r="H31" t="s">
        <v>16</v>
      </c>
      <c r="I31" t="s">
        <v>23</v>
      </c>
      <c r="J31">
        <v>60022300</v>
      </c>
      <c r="K31" s="3">
        <v>28700</v>
      </c>
      <c r="L31" s="16"/>
      <c r="M31" s="11"/>
    </row>
    <row r="32" spans="2:14" x14ac:dyDescent="0.3">
      <c r="B32" s="14" t="s">
        <v>35</v>
      </c>
      <c r="C32" t="s">
        <v>12</v>
      </c>
      <c r="D32" t="s">
        <v>13</v>
      </c>
      <c r="E32">
        <v>10204958</v>
      </c>
      <c r="F32" t="s">
        <v>14</v>
      </c>
      <c r="G32" t="s">
        <v>15</v>
      </c>
      <c r="H32" t="s">
        <v>16</v>
      </c>
      <c r="I32" t="s">
        <v>17</v>
      </c>
      <c r="J32">
        <v>52005002</v>
      </c>
      <c r="K32" s="3">
        <v>2000</v>
      </c>
      <c r="L32" s="16"/>
      <c r="M32" s="11"/>
    </row>
    <row r="33" spans="2:13" x14ac:dyDescent="0.3">
      <c r="B33" s="14" t="s">
        <v>35</v>
      </c>
      <c r="C33" t="s">
        <v>12</v>
      </c>
      <c r="D33" t="s">
        <v>13</v>
      </c>
      <c r="F33" t="s">
        <v>14</v>
      </c>
      <c r="G33" t="s">
        <v>18</v>
      </c>
      <c r="H33" t="s">
        <v>16</v>
      </c>
      <c r="I33" t="s">
        <v>19</v>
      </c>
      <c r="J33">
        <v>60022909</v>
      </c>
      <c r="K33" s="3">
        <v>25000</v>
      </c>
      <c r="L33" s="16"/>
      <c r="M33" s="11"/>
    </row>
    <row r="34" spans="2:13" x14ac:dyDescent="0.3">
      <c r="B34" s="14" t="s">
        <v>35</v>
      </c>
      <c r="C34" t="s">
        <v>12</v>
      </c>
      <c r="D34" t="s">
        <v>20</v>
      </c>
      <c r="E34">
        <v>10205600</v>
      </c>
      <c r="F34" t="s">
        <v>21</v>
      </c>
      <c r="G34" t="s">
        <v>15</v>
      </c>
      <c r="H34" t="s">
        <v>16</v>
      </c>
      <c r="I34" t="s">
        <v>22</v>
      </c>
      <c r="J34">
        <v>52005050</v>
      </c>
      <c r="K34" s="3">
        <v>1500</v>
      </c>
      <c r="L34" s="16"/>
      <c r="M34" s="11"/>
    </row>
    <row r="35" spans="2:13" x14ac:dyDescent="0.3">
      <c r="B35" s="14" t="s">
        <v>35</v>
      </c>
      <c r="C35" t="s">
        <v>12</v>
      </c>
      <c r="D35" t="s">
        <v>20</v>
      </c>
      <c r="E35">
        <v>10205600</v>
      </c>
      <c r="F35" t="s">
        <v>21</v>
      </c>
      <c r="G35" t="s">
        <v>18</v>
      </c>
      <c r="H35" t="s">
        <v>16</v>
      </c>
      <c r="I35" t="s">
        <v>23</v>
      </c>
      <c r="J35">
        <v>60022300</v>
      </c>
      <c r="K35" s="3">
        <v>18700</v>
      </c>
      <c r="L35" s="16"/>
      <c r="M35" s="11"/>
    </row>
    <row r="36" spans="2:13" x14ac:dyDescent="0.3">
      <c r="B36" s="14" t="s">
        <v>35</v>
      </c>
      <c r="C36" t="s">
        <v>12</v>
      </c>
      <c r="D36" t="s">
        <v>76</v>
      </c>
      <c r="E36">
        <v>10205252</v>
      </c>
      <c r="F36" t="s">
        <v>25</v>
      </c>
      <c r="G36" t="s">
        <v>15</v>
      </c>
      <c r="H36" t="s">
        <v>16</v>
      </c>
      <c r="I36" t="s">
        <v>22</v>
      </c>
      <c r="J36">
        <v>52005050</v>
      </c>
      <c r="K36" s="3">
        <v>2500</v>
      </c>
      <c r="L36" s="16"/>
      <c r="M36" s="11"/>
    </row>
    <row r="37" spans="2:13" x14ac:dyDescent="0.3">
      <c r="B37" s="14" t="s">
        <v>35</v>
      </c>
      <c r="C37" t="s">
        <v>12</v>
      </c>
      <c r="D37" t="s">
        <v>24</v>
      </c>
      <c r="F37" t="s">
        <v>25</v>
      </c>
      <c r="G37" t="s">
        <v>18</v>
      </c>
      <c r="H37" t="s">
        <v>16</v>
      </c>
      <c r="I37" t="s">
        <v>19</v>
      </c>
      <c r="J37">
        <v>60022909</v>
      </c>
      <c r="K37" s="3">
        <v>29000</v>
      </c>
      <c r="L37" s="16"/>
      <c r="M37" s="11"/>
    </row>
    <row r="38" spans="2:13" x14ac:dyDescent="0.3">
      <c r="B38" s="14" t="s">
        <v>35</v>
      </c>
      <c r="C38" t="s">
        <v>12</v>
      </c>
      <c r="D38" t="s">
        <v>26</v>
      </c>
      <c r="E38">
        <v>10204959</v>
      </c>
      <c r="F38" t="s">
        <v>27</v>
      </c>
      <c r="G38" t="s">
        <v>15</v>
      </c>
      <c r="H38" t="s">
        <v>16</v>
      </c>
      <c r="I38" t="s">
        <v>17</v>
      </c>
      <c r="J38">
        <v>52005002</v>
      </c>
      <c r="K38" s="3">
        <v>1200</v>
      </c>
      <c r="L38" s="16"/>
      <c r="M38" s="11"/>
    </row>
    <row r="39" spans="2:13" x14ac:dyDescent="0.3">
      <c r="B39" s="14" t="s">
        <v>35</v>
      </c>
      <c r="C39" t="s">
        <v>12</v>
      </c>
      <c r="D39" t="s">
        <v>26</v>
      </c>
      <c r="E39">
        <v>10204959</v>
      </c>
      <c r="F39" t="s">
        <v>27</v>
      </c>
      <c r="G39" t="s">
        <v>18</v>
      </c>
      <c r="H39" t="s">
        <v>16</v>
      </c>
      <c r="I39" t="s">
        <v>23</v>
      </c>
      <c r="J39">
        <v>60022300</v>
      </c>
      <c r="K39" s="3">
        <v>22000</v>
      </c>
      <c r="L39" s="16"/>
      <c r="M39" s="11"/>
    </row>
    <row r="40" spans="2:13" x14ac:dyDescent="0.3">
      <c r="B40" s="14" t="s">
        <v>35</v>
      </c>
      <c r="C40" t="s">
        <v>12</v>
      </c>
      <c r="D40" t="s">
        <v>28</v>
      </c>
      <c r="E40">
        <v>10205590</v>
      </c>
      <c r="F40" t="s">
        <v>29</v>
      </c>
      <c r="G40" t="s">
        <v>15</v>
      </c>
      <c r="H40" t="s">
        <v>16</v>
      </c>
      <c r="I40" t="s">
        <v>22</v>
      </c>
      <c r="J40">
        <v>52005050</v>
      </c>
      <c r="K40" s="3">
        <v>800</v>
      </c>
      <c r="L40" s="16"/>
      <c r="M40" s="11"/>
    </row>
    <row r="41" spans="2:13" x14ac:dyDescent="0.3">
      <c r="B41" s="14" t="s">
        <v>35</v>
      </c>
      <c r="C41" t="s">
        <v>12</v>
      </c>
      <c r="D41" t="s">
        <v>28</v>
      </c>
      <c r="E41">
        <v>10205590</v>
      </c>
      <c r="F41" t="s">
        <v>29</v>
      </c>
      <c r="G41" t="s">
        <v>18</v>
      </c>
      <c r="H41" t="s">
        <v>16</v>
      </c>
      <c r="I41" t="s">
        <v>19</v>
      </c>
      <c r="J41">
        <v>60022909</v>
      </c>
      <c r="K41" s="3">
        <v>12000</v>
      </c>
      <c r="L41" s="16"/>
      <c r="M41" s="11"/>
    </row>
    <row r="42" spans="2:13" x14ac:dyDescent="0.3">
      <c r="B42" s="14" t="s">
        <v>35</v>
      </c>
      <c r="C42" t="s">
        <v>12</v>
      </c>
      <c r="D42" t="s">
        <v>30</v>
      </c>
      <c r="E42">
        <v>10204957</v>
      </c>
      <c r="F42" t="s">
        <v>31</v>
      </c>
      <c r="G42" t="s">
        <v>15</v>
      </c>
      <c r="H42" t="s">
        <v>16</v>
      </c>
      <c r="I42" t="s">
        <v>17</v>
      </c>
      <c r="J42">
        <v>52005002</v>
      </c>
      <c r="K42" s="3">
        <v>1800</v>
      </c>
      <c r="L42" s="16"/>
      <c r="M42" s="11"/>
    </row>
    <row r="43" spans="2:13" x14ac:dyDescent="0.3">
      <c r="B43" s="14" t="s">
        <v>35</v>
      </c>
      <c r="C43" t="s">
        <v>12</v>
      </c>
      <c r="D43" t="s">
        <v>30</v>
      </c>
      <c r="E43">
        <v>10204957</v>
      </c>
      <c r="F43" t="s">
        <v>31</v>
      </c>
      <c r="G43" t="s">
        <v>18</v>
      </c>
      <c r="H43" t="s">
        <v>16</v>
      </c>
      <c r="I43" t="s">
        <v>19</v>
      </c>
      <c r="J43">
        <v>60022909</v>
      </c>
      <c r="K43" s="3">
        <v>16900</v>
      </c>
      <c r="L43" s="16"/>
      <c r="M43" s="11"/>
    </row>
    <row r="44" spans="2:13" x14ac:dyDescent="0.3">
      <c r="B44" s="14" t="s">
        <v>35</v>
      </c>
      <c r="C44" t="s">
        <v>12</v>
      </c>
      <c r="D44" t="s">
        <v>32</v>
      </c>
      <c r="E44">
        <v>10204980</v>
      </c>
      <c r="F44" t="s">
        <v>33</v>
      </c>
      <c r="G44" t="s">
        <v>15</v>
      </c>
      <c r="H44" t="s">
        <v>16</v>
      </c>
      <c r="I44" t="s">
        <v>17</v>
      </c>
      <c r="J44">
        <v>52005002</v>
      </c>
      <c r="K44" s="3">
        <v>2500</v>
      </c>
      <c r="L44" s="16"/>
      <c r="M44" s="11"/>
    </row>
    <row r="45" spans="2:13" x14ac:dyDescent="0.3">
      <c r="B45" s="14" t="s">
        <v>35</v>
      </c>
      <c r="C45" t="s">
        <v>12</v>
      </c>
      <c r="D45" t="s">
        <v>32</v>
      </c>
      <c r="E45">
        <v>10204980</v>
      </c>
      <c r="F45" t="s">
        <v>33</v>
      </c>
      <c r="G45" t="s">
        <v>18</v>
      </c>
      <c r="H45" t="s">
        <v>16</v>
      </c>
      <c r="I45" t="s">
        <v>23</v>
      </c>
      <c r="J45">
        <v>60022300</v>
      </c>
      <c r="K45" s="3">
        <v>28000</v>
      </c>
      <c r="L45" s="16"/>
      <c r="M45" s="11"/>
    </row>
    <row r="46" spans="2:13" x14ac:dyDescent="0.3">
      <c r="B46" s="14" t="s">
        <v>36</v>
      </c>
      <c r="C46" t="s">
        <v>12</v>
      </c>
      <c r="D46" t="s">
        <v>13</v>
      </c>
      <c r="E46">
        <v>10204958</v>
      </c>
      <c r="F46" t="s">
        <v>14</v>
      </c>
      <c r="G46" t="s">
        <v>15</v>
      </c>
      <c r="H46" t="s">
        <v>16</v>
      </c>
      <c r="I46" t="s">
        <v>17</v>
      </c>
      <c r="J46">
        <v>52005002</v>
      </c>
      <c r="K46" s="3">
        <v>1500</v>
      </c>
      <c r="L46" s="16"/>
      <c r="M46" s="11"/>
    </row>
    <row r="47" spans="2:13" x14ac:dyDescent="0.3">
      <c r="B47" s="14" t="s">
        <v>36</v>
      </c>
      <c r="C47" t="s">
        <v>12</v>
      </c>
      <c r="D47" t="s">
        <v>13</v>
      </c>
      <c r="E47">
        <v>10204958</v>
      </c>
      <c r="F47" t="s">
        <v>14</v>
      </c>
      <c r="G47" t="s">
        <v>18</v>
      </c>
      <c r="H47" t="s">
        <v>16</v>
      </c>
      <c r="I47" t="s">
        <v>19</v>
      </c>
      <c r="J47">
        <v>60022909</v>
      </c>
      <c r="K47" s="3">
        <v>23000</v>
      </c>
      <c r="L47" s="16"/>
      <c r="M47" s="11"/>
    </row>
    <row r="48" spans="2:13" x14ac:dyDescent="0.3">
      <c r="B48" s="14" t="s">
        <v>36</v>
      </c>
      <c r="C48" t="s">
        <v>12</v>
      </c>
      <c r="D48" t="s">
        <v>20</v>
      </c>
      <c r="E48">
        <v>10205600</v>
      </c>
      <c r="F48" t="s">
        <v>21</v>
      </c>
      <c r="G48" t="s">
        <v>15</v>
      </c>
      <c r="H48" t="s">
        <v>16</v>
      </c>
      <c r="I48" t="s">
        <v>22</v>
      </c>
      <c r="J48">
        <v>52005050</v>
      </c>
      <c r="K48" s="3">
        <v>1100</v>
      </c>
      <c r="L48" s="16"/>
      <c r="M48" s="11"/>
    </row>
    <row r="49" spans="2:13" x14ac:dyDescent="0.3">
      <c r="B49" s="14" t="s">
        <v>36</v>
      </c>
      <c r="C49" t="s">
        <v>12</v>
      </c>
      <c r="D49" t="s">
        <v>20</v>
      </c>
      <c r="E49">
        <v>10205600</v>
      </c>
      <c r="F49" t="s">
        <v>21</v>
      </c>
      <c r="G49" t="s">
        <v>18</v>
      </c>
      <c r="H49" t="s">
        <v>16</v>
      </c>
      <c r="I49" t="s">
        <v>23</v>
      </c>
      <c r="J49">
        <v>60022300</v>
      </c>
      <c r="K49" s="3">
        <v>19700</v>
      </c>
      <c r="L49" s="16"/>
      <c r="M49" s="11"/>
    </row>
    <row r="50" spans="2:13" x14ac:dyDescent="0.3">
      <c r="B50" s="14" t="s">
        <v>36</v>
      </c>
      <c r="C50" t="s">
        <v>12</v>
      </c>
      <c r="D50" t="s">
        <v>24</v>
      </c>
      <c r="E50">
        <v>10205252</v>
      </c>
      <c r="F50" t="s">
        <v>25</v>
      </c>
      <c r="G50" t="s">
        <v>15</v>
      </c>
      <c r="H50" t="s">
        <v>16</v>
      </c>
      <c r="I50" t="s">
        <v>22</v>
      </c>
      <c r="J50">
        <v>52005050</v>
      </c>
      <c r="K50" s="3">
        <v>2000</v>
      </c>
      <c r="L50" s="16"/>
      <c r="M50" s="11"/>
    </row>
    <row r="51" spans="2:13" x14ac:dyDescent="0.3">
      <c r="B51" s="14" t="s">
        <v>36</v>
      </c>
      <c r="C51" t="s">
        <v>12</v>
      </c>
      <c r="D51" t="s">
        <v>24</v>
      </c>
      <c r="F51" t="s">
        <v>25</v>
      </c>
      <c r="G51" t="s">
        <v>18</v>
      </c>
      <c r="H51" t="s">
        <v>16</v>
      </c>
      <c r="I51" t="s">
        <v>19</v>
      </c>
      <c r="J51">
        <v>60022909</v>
      </c>
      <c r="K51" s="3">
        <v>30000</v>
      </c>
      <c r="L51" s="16"/>
      <c r="M51" s="11"/>
    </row>
    <row r="52" spans="2:13" x14ac:dyDescent="0.3">
      <c r="B52" s="14" t="s">
        <v>36</v>
      </c>
      <c r="C52" t="s">
        <v>12</v>
      </c>
      <c r="D52" t="s">
        <v>26</v>
      </c>
      <c r="E52">
        <v>10204959</v>
      </c>
      <c r="F52" t="s">
        <v>27</v>
      </c>
      <c r="G52" t="s">
        <v>15</v>
      </c>
      <c r="H52" t="s">
        <v>16</v>
      </c>
      <c r="I52" t="s">
        <v>17</v>
      </c>
      <c r="J52">
        <v>52005002</v>
      </c>
      <c r="K52" s="3">
        <v>1200</v>
      </c>
      <c r="L52" s="16"/>
      <c r="M52" s="11"/>
    </row>
    <row r="53" spans="2:13" x14ac:dyDescent="0.3">
      <c r="B53" s="14" t="s">
        <v>36</v>
      </c>
      <c r="C53" t="s">
        <v>12</v>
      </c>
      <c r="D53" t="s">
        <v>26</v>
      </c>
      <c r="E53">
        <v>10204959</v>
      </c>
      <c r="F53" t="s">
        <v>27</v>
      </c>
      <c r="G53" t="s">
        <v>18</v>
      </c>
      <c r="H53" t="s">
        <v>16</v>
      </c>
      <c r="I53" t="s">
        <v>23</v>
      </c>
      <c r="J53">
        <v>60022300</v>
      </c>
      <c r="K53" s="3">
        <v>21000</v>
      </c>
      <c r="L53" s="16"/>
      <c r="M53" s="11"/>
    </row>
    <row r="54" spans="2:13" x14ac:dyDescent="0.3">
      <c r="B54" s="14" t="s">
        <v>36</v>
      </c>
      <c r="C54" t="s">
        <v>12</v>
      </c>
      <c r="D54" t="s">
        <v>28</v>
      </c>
      <c r="E54">
        <v>10205590</v>
      </c>
      <c r="F54" t="s">
        <v>29</v>
      </c>
      <c r="G54" t="s">
        <v>15</v>
      </c>
      <c r="H54" t="s">
        <v>16</v>
      </c>
      <c r="I54" t="s">
        <v>22</v>
      </c>
      <c r="J54">
        <v>52005050</v>
      </c>
      <c r="K54" s="3">
        <v>700</v>
      </c>
      <c r="L54" s="16"/>
      <c r="M54" s="11"/>
    </row>
    <row r="55" spans="2:13" x14ac:dyDescent="0.3">
      <c r="B55" s="14" t="s">
        <v>36</v>
      </c>
      <c r="C55" t="s">
        <v>12</v>
      </c>
      <c r="D55" t="s">
        <v>28</v>
      </c>
      <c r="E55">
        <v>10205590</v>
      </c>
      <c r="F55" t="s">
        <v>29</v>
      </c>
      <c r="G55" t="s">
        <v>18</v>
      </c>
      <c r="H55" t="s">
        <v>16</v>
      </c>
      <c r="I55" t="s">
        <v>19</v>
      </c>
      <c r="J55">
        <v>60022909</v>
      </c>
      <c r="K55" s="3">
        <v>13000</v>
      </c>
      <c r="L55" s="16"/>
      <c r="M55" s="11"/>
    </row>
    <row r="56" spans="2:13" x14ac:dyDescent="0.3">
      <c r="B56" s="14" t="s">
        <v>36</v>
      </c>
      <c r="C56" t="s">
        <v>12</v>
      </c>
      <c r="D56" t="s">
        <v>30</v>
      </c>
      <c r="E56">
        <v>10204957</v>
      </c>
      <c r="F56" t="s">
        <v>31</v>
      </c>
      <c r="G56" t="s">
        <v>15</v>
      </c>
      <c r="H56" t="s">
        <v>16</v>
      </c>
      <c r="I56" t="s">
        <v>17</v>
      </c>
      <c r="J56">
        <v>52005002</v>
      </c>
      <c r="K56" s="3">
        <v>1400</v>
      </c>
      <c r="L56" s="16"/>
      <c r="M56" s="11"/>
    </row>
    <row r="57" spans="2:13" x14ac:dyDescent="0.3">
      <c r="B57" s="14" t="s">
        <v>36</v>
      </c>
      <c r="C57" t="s">
        <v>12</v>
      </c>
      <c r="D57" t="s">
        <v>30</v>
      </c>
      <c r="E57">
        <v>10204957</v>
      </c>
      <c r="F57" t="s">
        <v>31</v>
      </c>
      <c r="G57" t="s">
        <v>18</v>
      </c>
      <c r="H57" t="s">
        <v>16</v>
      </c>
      <c r="I57" t="s">
        <v>19</v>
      </c>
      <c r="J57">
        <v>60022909</v>
      </c>
      <c r="K57" s="3">
        <v>15900</v>
      </c>
      <c r="L57" s="16"/>
      <c r="M57" s="11"/>
    </row>
    <row r="58" spans="2:13" x14ac:dyDescent="0.3">
      <c r="B58" s="14" t="s">
        <v>36</v>
      </c>
      <c r="C58" t="s">
        <v>12</v>
      </c>
      <c r="D58" t="s">
        <v>32</v>
      </c>
      <c r="E58">
        <v>10204980</v>
      </c>
      <c r="F58" t="s">
        <v>33</v>
      </c>
      <c r="G58" t="s">
        <v>15</v>
      </c>
      <c r="H58" t="s">
        <v>16</v>
      </c>
      <c r="I58" t="s">
        <v>17</v>
      </c>
      <c r="J58">
        <v>52005002</v>
      </c>
      <c r="K58" s="3">
        <v>2100</v>
      </c>
      <c r="L58" s="16"/>
      <c r="M58" s="11"/>
    </row>
    <row r="59" spans="2:13" x14ac:dyDescent="0.3">
      <c r="B59" s="14" t="s">
        <v>36</v>
      </c>
      <c r="C59" t="s">
        <v>12</v>
      </c>
      <c r="D59" t="s">
        <v>32</v>
      </c>
      <c r="E59">
        <v>10204980</v>
      </c>
      <c r="F59" t="s">
        <v>33</v>
      </c>
      <c r="G59" t="s">
        <v>18</v>
      </c>
      <c r="H59" t="s">
        <v>16</v>
      </c>
      <c r="I59" t="s">
        <v>23</v>
      </c>
      <c r="J59">
        <v>60022300</v>
      </c>
      <c r="K59" s="3">
        <v>28700</v>
      </c>
      <c r="L59" s="16"/>
      <c r="M59" s="11"/>
    </row>
    <row r="60" spans="2:13" x14ac:dyDescent="0.3">
      <c r="B60" s="14" t="s">
        <v>37</v>
      </c>
      <c r="C60" t="s">
        <v>12</v>
      </c>
      <c r="D60" t="s">
        <v>13</v>
      </c>
      <c r="E60">
        <v>10204958</v>
      </c>
      <c r="F60" t="s">
        <v>14</v>
      </c>
      <c r="G60" t="s">
        <v>15</v>
      </c>
      <c r="H60" t="s">
        <v>16</v>
      </c>
      <c r="I60" t="s">
        <v>17</v>
      </c>
      <c r="J60">
        <v>52005002</v>
      </c>
      <c r="K60" s="3">
        <v>2000</v>
      </c>
      <c r="L60" s="16"/>
      <c r="M60" s="11"/>
    </row>
    <row r="61" spans="2:13" x14ac:dyDescent="0.3">
      <c r="B61" s="14" t="s">
        <v>37</v>
      </c>
      <c r="C61" t="s">
        <v>12</v>
      </c>
      <c r="D61" t="s">
        <v>13</v>
      </c>
      <c r="E61">
        <v>10204958</v>
      </c>
      <c r="F61" t="s">
        <v>14</v>
      </c>
      <c r="G61" t="s">
        <v>18</v>
      </c>
      <c r="H61" t="s">
        <v>16</v>
      </c>
      <c r="I61" t="s">
        <v>19</v>
      </c>
      <c r="J61">
        <v>60022909</v>
      </c>
      <c r="K61" s="3">
        <v>25000</v>
      </c>
      <c r="L61" s="16"/>
      <c r="M61" s="11"/>
    </row>
    <row r="62" spans="2:13" x14ac:dyDescent="0.3">
      <c r="B62" s="14" t="s">
        <v>37</v>
      </c>
      <c r="C62" t="s">
        <v>12</v>
      </c>
      <c r="D62" t="s">
        <v>20</v>
      </c>
      <c r="E62">
        <v>10205600</v>
      </c>
      <c r="F62" t="s">
        <v>21</v>
      </c>
      <c r="G62" t="s">
        <v>15</v>
      </c>
      <c r="H62" t="s">
        <v>16</v>
      </c>
      <c r="I62" t="s">
        <v>22</v>
      </c>
      <c r="J62">
        <v>52005050</v>
      </c>
      <c r="K62" s="3">
        <v>1500</v>
      </c>
      <c r="L62" s="16"/>
      <c r="M62" s="11"/>
    </row>
    <row r="63" spans="2:13" x14ac:dyDescent="0.3">
      <c r="B63" s="14" t="s">
        <v>37</v>
      </c>
      <c r="C63" t="s">
        <v>12</v>
      </c>
      <c r="D63" t="s">
        <v>20</v>
      </c>
      <c r="E63">
        <v>10205600</v>
      </c>
      <c r="F63" t="s">
        <v>21</v>
      </c>
      <c r="G63" t="s">
        <v>18</v>
      </c>
      <c r="H63" t="s">
        <v>16</v>
      </c>
      <c r="I63" t="s">
        <v>23</v>
      </c>
      <c r="J63">
        <v>60022300</v>
      </c>
      <c r="K63" s="3">
        <v>18700</v>
      </c>
      <c r="L63" s="16"/>
      <c r="M63" s="11"/>
    </row>
    <row r="64" spans="2:13" x14ac:dyDescent="0.3">
      <c r="B64" s="14" t="s">
        <v>37</v>
      </c>
      <c r="C64" t="s">
        <v>12</v>
      </c>
      <c r="D64" t="s">
        <v>24</v>
      </c>
      <c r="E64">
        <v>10205252</v>
      </c>
      <c r="F64" t="s">
        <v>25</v>
      </c>
      <c r="G64" t="s">
        <v>15</v>
      </c>
      <c r="H64" t="s">
        <v>16</v>
      </c>
      <c r="I64" t="s">
        <v>22</v>
      </c>
      <c r="J64">
        <v>52005050</v>
      </c>
      <c r="K64" s="3">
        <v>2500</v>
      </c>
      <c r="L64" s="16"/>
      <c r="M64" s="11"/>
    </row>
    <row r="65" spans="2:13" x14ac:dyDescent="0.3">
      <c r="B65" s="14" t="s">
        <v>37</v>
      </c>
      <c r="C65" t="s">
        <v>12</v>
      </c>
      <c r="D65" t="s">
        <v>24</v>
      </c>
      <c r="E65">
        <v>10205252</v>
      </c>
      <c r="F65" t="s">
        <v>25</v>
      </c>
      <c r="G65" t="s">
        <v>18</v>
      </c>
      <c r="H65" t="s">
        <v>16</v>
      </c>
      <c r="I65" t="s">
        <v>19</v>
      </c>
      <c r="J65">
        <v>60022909</v>
      </c>
      <c r="K65" s="3">
        <v>29000</v>
      </c>
      <c r="L65" s="16"/>
      <c r="M65" s="11"/>
    </row>
    <row r="66" spans="2:13" x14ac:dyDescent="0.3">
      <c r="B66" s="14" t="s">
        <v>37</v>
      </c>
      <c r="C66" t="s">
        <v>12</v>
      </c>
      <c r="D66" t="s">
        <v>26</v>
      </c>
      <c r="E66">
        <v>10204959</v>
      </c>
      <c r="F66" t="s">
        <v>27</v>
      </c>
      <c r="G66" t="s">
        <v>15</v>
      </c>
      <c r="H66" t="s">
        <v>16</v>
      </c>
      <c r="I66" t="s">
        <v>17</v>
      </c>
      <c r="J66">
        <v>52005002</v>
      </c>
      <c r="K66" s="3">
        <v>1200</v>
      </c>
      <c r="L66" s="16"/>
      <c r="M66" s="11"/>
    </row>
    <row r="67" spans="2:13" x14ac:dyDescent="0.3">
      <c r="B67" s="14" t="s">
        <v>37</v>
      </c>
      <c r="C67" t="s">
        <v>12</v>
      </c>
      <c r="D67" t="s">
        <v>26</v>
      </c>
      <c r="E67">
        <v>10204959</v>
      </c>
      <c r="F67" t="s">
        <v>27</v>
      </c>
      <c r="G67" t="s">
        <v>18</v>
      </c>
      <c r="H67" t="s">
        <v>16</v>
      </c>
      <c r="I67" t="s">
        <v>23</v>
      </c>
      <c r="J67">
        <v>60022300</v>
      </c>
      <c r="K67" s="3">
        <v>22000</v>
      </c>
      <c r="L67" s="16"/>
      <c r="M67" s="11"/>
    </row>
    <row r="68" spans="2:13" x14ac:dyDescent="0.3">
      <c r="B68" s="14" t="s">
        <v>37</v>
      </c>
      <c r="C68" t="s">
        <v>12</v>
      </c>
      <c r="D68" t="s">
        <v>28</v>
      </c>
      <c r="E68">
        <v>10205590</v>
      </c>
      <c r="F68" t="s">
        <v>29</v>
      </c>
      <c r="G68" t="s">
        <v>15</v>
      </c>
      <c r="H68" t="s">
        <v>16</v>
      </c>
      <c r="I68" t="s">
        <v>22</v>
      </c>
      <c r="J68">
        <v>52005050</v>
      </c>
      <c r="K68" s="3">
        <v>800</v>
      </c>
      <c r="L68" s="16"/>
      <c r="M68" s="11"/>
    </row>
    <row r="69" spans="2:13" x14ac:dyDescent="0.3">
      <c r="B69" s="14" t="s">
        <v>37</v>
      </c>
      <c r="C69" t="s">
        <v>12</v>
      </c>
      <c r="D69" t="s">
        <v>28</v>
      </c>
      <c r="E69">
        <v>10205590</v>
      </c>
      <c r="F69" t="s">
        <v>29</v>
      </c>
      <c r="G69" t="s">
        <v>18</v>
      </c>
      <c r="H69" t="s">
        <v>16</v>
      </c>
      <c r="I69" t="s">
        <v>19</v>
      </c>
      <c r="J69">
        <v>60022909</v>
      </c>
      <c r="K69" s="3">
        <v>12000</v>
      </c>
      <c r="L69" s="16"/>
      <c r="M69" s="11"/>
    </row>
    <row r="70" spans="2:13" x14ac:dyDescent="0.3">
      <c r="B70" s="14" t="s">
        <v>37</v>
      </c>
      <c r="C70" t="s">
        <v>12</v>
      </c>
      <c r="D70" t="s">
        <v>30</v>
      </c>
      <c r="E70">
        <v>10204957</v>
      </c>
      <c r="F70" t="s">
        <v>31</v>
      </c>
      <c r="G70" t="s">
        <v>15</v>
      </c>
      <c r="H70" t="s">
        <v>16</v>
      </c>
      <c r="I70" t="s">
        <v>17</v>
      </c>
      <c r="J70">
        <v>52005002</v>
      </c>
      <c r="K70" s="3">
        <v>1800</v>
      </c>
      <c r="L70" s="16"/>
      <c r="M70" s="11"/>
    </row>
    <row r="71" spans="2:13" x14ac:dyDescent="0.3">
      <c r="B71" s="14" t="s">
        <v>37</v>
      </c>
      <c r="C71" t="s">
        <v>12</v>
      </c>
      <c r="D71" t="s">
        <v>30</v>
      </c>
      <c r="E71">
        <v>10204957</v>
      </c>
      <c r="F71" t="s">
        <v>31</v>
      </c>
      <c r="G71" t="s">
        <v>18</v>
      </c>
      <c r="H71" t="s">
        <v>16</v>
      </c>
      <c r="I71" t="s">
        <v>19</v>
      </c>
      <c r="J71">
        <v>60022909</v>
      </c>
      <c r="K71" s="3">
        <v>16900</v>
      </c>
      <c r="L71" s="16"/>
      <c r="M71" s="11"/>
    </row>
    <row r="72" spans="2:13" x14ac:dyDescent="0.3">
      <c r="B72" s="14" t="s">
        <v>37</v>
      </c>
      <c r="C72" t="s">
        <v>12</v>
      </c>
      <c r="D72" t="s">
        <v>32</v>
      </c>
      <c r="E72">
        <v>10204980</v>
      </c>
      <c r="F72" t="s">
        <v>33</v>
      </c>
      <c r="G72" t="s">
        <v>15</v>
      </c>
      <c r="H72" t="s">
        <v>16</v>
      </c>
      <c r="I72" t="s">
        <v>17</v>
      </c>
      <c r="J72">
        <v>52005002</v>
      </c>
      <c r="K72" s="3">
        <v>2500</v>
      </c>
      <c r="L72" s="16"/>
      <c r="M72" s="11"/>
    </row>
    <row r="73" spans="2:13" x14ac:dyDescent="0.3">
      <c r="B73" s="14" t="s">
        <v>37</v>
      </c>
      <c r="C73" t="s">
        <v>12</v>
      </c>
      <c r="D73" t="s">
        <v>32</v>
      </c>
      <c r="E73">
        <v>10204980</v>
      </c>
      <c r="F73" t="s">
        <v>33</v>
      </c>
      <c r="G73" t="s">
        <v>18</v>
      </c>
      <c r="H73" t="s">
        <v>16</v>
      </c>
      <c r="I73" t="s">
        <v>23</v>
      </c>
      <c r="J73">
        <v>60022300</v>
      </c>
      <c r="K73" s="3">
        <v>28000</v>
      </c>
      <c r="L73" s="16"/>
      <c r="M73" s="11"/>
    </row>
    <row r="74" spans="2:13" x14ac:dyDescent="0.3">
      <c r="B74" s="14" t="s">
        <v>38</v>
      </c>
      <c r="C74" t="s">
        <v>12</v>
      </c>
      <c r="D74" t="s">
        <v>13</v>
      </c>
      <c r="E74">
        <v>10204958</v>
      </c>
      <c r="F74" t="s">
        <v>14</v>
      </c>
      <c r="G74" t="s">
        <v>15</v>
      </c>
      <c r="H74" t="s">
        <v>16</v>
      </c>
      <c r="I74" t="s">
        <v>17</v>
      </c>
      <c r="J74">
        <v>52005002</v>
      </c>
      <c r="K74" s="3">
        <v>1500</v>
      </c>
      <c r="L74" s="16"/>
      <c r="M74" s="11"/>
    </row>
    <row r="75" spans="2:13" x14ac:dyDescent="0.3">
      <c r="B75" s="14" t="s">
        <v>38</v>
      </c>
      <c r="C75" t="s">
        <v>12</v>
      </c>
      <c r="D75" t="s">
        <v>13</v>
      </c>
      <c r="E75">
        <v>10204958</v>
      </c>
      <c r="F75" t="s">
        <v>14</v>
      </c>
      <c r="G75" t="s">
        <v>18</v>
      </c>
      <c r="H75" t="s">
        <v>16</v>
      </c>
      <c r="I75" t="s">
        <v>19</v>
      </c>
      <c r="J75">
        <v>60022909</v>
      </c>
      <c r="K75" s="3">
        <v>23000</v>
      </c>
      <c r="L75" s="16"/>
      <c r="M75" s="11"/>
    </row>
    <row r="76" spans="2:13" x14ac:dyDescent="0.3">
      <c r="B76" s="14" t="s">
        <v>38</v>
      </c>
      <c r="C76" t="s">
        <v>12</v>
      </c>
      <c r="D76" t="s">
        <v>20</v>
      </c>
      <c r="E76">
        <v>10205600</v>
      </c>
      <c r="F76" t="s">
        <v>21</v>
      </c>
      <c r="G76" t="s">
        <v>15</v>
      </c>
      <c r="H76" t="s">
        <v>16</v>
      </c>
      <c r="I76" t="s">
        <v>22</v>
      </c>
      <c r="J76">
        <v>52005050</v>
      </c>
      <c r="K76" s="3">
        <v>1100</v>
      </c>
      <c r="L76" s="16"/>
      <c r="M76" s="11"/>
    </row>
    <row r="77" spans="2:13" x14ac:dyDescent="0.3">
      <c r="B77" s="14" t="s">
        <v>38</v>
      </c>
      <c r="C77" t="s">
        <v>12</v>
      </c>
      <c r="D77" t="s">
        <v>20</v>
      </c>
      <c r="E77">
        <v>10205600</v>
      </c>
      <c r="F77" t="s">
        <v>21</v>
      </c>
      <c r="G77" t="s">
        <v>18</v>
      </c>
      <c r="H77" t="s">
        <v>16</v>
      </c>
      <c r="I77" t="s">
        <v>23</v>
      </c>
      <c r="J77">
        <v>60022300</v>
      </c>
      <c r="K77" s="3">
        <v>19700</v>
      </c>
      <c r="L77" s="16"/>
      <c r="M77" s="11"/>
    </row>
    <row r="78" spans="2:13" x14ac:dyDescent="0.3">
      <c r="B78" s="14" t="s">
        <v>38</v>
      </c>
      <c r="C78" t="s">
        <v>12</v>
      </c>
      <c r="D78" t="s">
        <v>24</v>
      </c>
      <c r="E78">
        <v>10205252</v>
      </c>
      <c r="F78" t="s">
        <v>25</v>
      </c>
      <c r="G78" t="s">
        <v>15</v>
      </c>
      <c r="H78" t="s">
        <v>16</v>
      </c>
      <c r="I78" t="s">
        <v>22</v>
      </c>
      <c r="J78">
        <v>52005050</v>
      </c>
      <c r="K78" s="3">
        <v>2000</v>
      </c>
      <c r="L78" s="16"/>
      <c r="M78" s="11"/>
    </row>
    <row r="79" spans="2:13" x14ac:dyDescent="0.3">
      <c r="B79" s="14" t="s">
        <v>38</v>
      </c>
      <c r="C79" t="s">
        <v>12</v>
      </c>
      <c r="D79" t="s">
        <v>24</v>
      </c>
      <c r="E79">
        <v>10205252</v>
      </c>
      <c r="F79" t="s">
        <v>25</v>
      </c>
      <c r="G79" t="s">
        <v>18</v>
      </c>
      <c r="H79" t="s">
        <v>16</v>
      </c>
      <c r="I79" t="s">
        <v>19</v>
      </c>
      <c r="J79">
        <v>60022909</v>
      </c>
      <c r="K79" s="3">
        <v>30000</v>
      </c>
      <c r="L79" s="16"/>
      <c r="M79" s="11"/>
    </row>
    <row r="80" spans="2:13" x14ac:dyDescent="0.3">
      <c r="B80" s="14" t="s">
        <v>38</v>
      </c>
      <c r="C80" t="s">
        <v>12</v>
      </c>
      <c r="D80" t="s">
        <v>26</v>
      </c>
      <c r="E80">
        <v>10204959</v>
      </c>
      <c r="F80" t="s">
        <v>27</v>
      </c>
      <c r="G80" t="s">
        <v>15</v>
      </c>
      <c r="H80" t="s">
        <v>16</v>
      </c>
      <c r="I80" t="s">
        <v>17</v>
      </c>
      <c r="J80">
        <v>52005002</v>
      </c>
      <c r="K80" s="3">
        <v>1200</v>
      </c>
      <c r="L80" s="16"/>
      <c r="M80" s="11"/>
    </row>
    <row r="81" spans="2:13" x14ac:dyDescent="0.3">
      <c r="B81" s="14" t="s">
        <v>38</v>
      </c>
      <c r="C81" t="s">
        <v>12</v>
      </c>
      <c r="D81" t="s">
        <v>26</v>
      </c>
      <c r="E81">
        <v>10204959</v>
      </c>
      <c r="F81" t="s">
        <v>27</v>
      </c>
      <c r="G81" t="s">
        <v>18</v>
      </c>
      <c r="H81" t="s">
        <v>16</v>
      </c>
      <c r="I81" t="s">
        <v>23</v>
      </c>
      <c r="J81">
        <v>60022300</v>
      </c>
      <c r="K81" s="3">
        <v>21000</v>
      </c>
      <c r="L81" s="16"/>
      <c r="M81" s="11"/>
    </row>
    <row r="82" spans="2:13" x14ac:dyDescent="0.3">
      <c r="B82" s="14" t="s">
        <v>38</v>
      </c>
      <c r="C82" t="s">
        <v>12</v>
      </c>
      <c r="D82" t="s">
        <v>28</v>
      </c>
      <c r="E82">
        <v>10205590</v>
      </c>
      <c r="F82" t="s">
        <v>29</v>
      </c>
      <c r="G82" t="s">
        <v>15</v>
      </c>
      <c r="H82" t="s">
        <v>16</v>
      </c>
      <c r="I82" t="s">
        <v>22</v>
      </c>
      <c r="J82">
        <v>52005050</v>
      </c>
      <c r="K82" s="3">
        <v>700</v>
      </c>
      <c r="L82" s="16"/>
      <c r="M82" s="11"/>
    </row>
    <row r="83" spans="2:13" x14ac:dyDescent="0.3">
      <c r="B83" s="14" t="s">
        <v>38</v>
      </c>
      <c r="C83" t="s">
        <v>12</v>
      </c>
      <c r="D83" t="s">
        <v>28</v>
      </c>
      <c r="E83">
        <v>10205590</v>
      </c>
      <c r="F83" t="s">
        <v>29</v>
      </c>
      <c r="G83" t="s">
        <v>18</v>
      </c>
      <c r="H83" t="s">
        <v>16</v>
      </c>
      <c r="I83" t="s">
        <v>19</v>
      </c>
      <c r="J83">
        <v>60022909</v>
      </c>
      <c r="K83" s="3">
        <v>13000</v>
      </c>
      <c r="L83" s="16"/>
      <c r="M83" s="11"/>
    </row>
    <row r="84" spans="2:13" x14ac:dyDescent="0.3">
      <c r="B84" s="14" t="s">
        <v>38</v>
      </c>
      <c r="C84" t="s">
        <v>12</v>
      </c>
      <c r="D84" t="s">
        <v>30</v>
      </c>
      <c r="E84">
        <v>10204957</v>
      </c>
      <c r="F84" t="s">
        <v>31</v>
      </c>
      <c r="G84" t="s">
        <v>15</v>
      </c>
      <c r="H84" t="s">
        <v>16</v>
      </c>
      <c r="I84" t="s">
        <v>17</v>
      </c>
      <c r="J84">
        <v>52005002</v>
      </c>
      <c r="K84" s="3">
        <v>1400</v>
      </c>
      <c r="L84" s="16"/>
      <c r="M84" s="11"/>
    </row>
    <row r="85" spans="2:13" x14ac:dyDescent="0.3">
      <c r="B85" s="14" t="s">
        <v>38</v>
      </c>
      <c r="C85" t="s">
        <v>12</v>
      </c>
      <c r="D85" t="s">
        <v>30</v>
      </c>
      <c r="E85">
        <v>10204957</v>
      </c>
      <c r="F85" t="s">
        <v>31</v>
      </c>
      <c r="G85" t="s">
        <v>18</v>
      </c>
      <c r="H85" t="s">
        <v>16</v>
      </c>
      <c r="I85" t="s">
        <v>19</v>
      </c>
      <c r="J85">
        <v>60022909</v>
      </c>
      <c r="K85" s="3">
        <v>15900</v>
      </c>
      <c r="L85" s="16"/>
      <c r="M85" s="11"/>
    </row>
    <row r="86" spans="2:13" x14ac:dyDescent="0.3">
      <c r="B86" s="14" t="s">
        <v>38</v>
      </c>
      <c r="C86" t="s">
        <v>12</v>
      </c>
      <c r="D86" t="s">
        <v>32</v>
      </c>
      <c r="E86">
        <v>10204980</v>
      </c>
      <c r="F86" t="s">
        <v>33</v>
      </c>
      <c r="G86" t="s">
        <v>15</v>
      </c>
      <c r="H86" t="s">
        <v>16</v>
      </c>
      <c r="I86" t="s">
        <v>17</v>
      </c>
      <c r="J86">
        <v>52005002</v>
      </c>
      <c r="K86" s="3">
        <v>2100</v>
      </c>
      <c r="L86" s="16"/>
      <c r="M86" s="11"/>
    </row>
    <row r="87" spans="2:13" x14ac:dyDescent="0.3">
      <c r="B87" s="14" t="s">
        <v>38</v>
      </c>
      <c r="C87" t="s">
        <v>12</v>
      </c>
      <c r="D87" t="s">
        <v>32</v>
      </c>
      <c r="E87">
        <v>10204980</v>
      </c>
      <c r="F87" t="s">
        <v>33</v>
      </c>
      <c r="G87" t="s">
        <v>18</v>
      </c>
      <c r="H87" t="s">
        <v>16</v>
      </c>
      <c r="I87" t="s">
        <v>23</v>
      </c>
      <c r="J87">
        <v>60022300</v>
      </c>
      <c r="K87" s="3">
        <v>28700</v>
      </c>
      <c r="L87" s="16"/>
      <c r="M87" s="11"/>
    </row>
    <row r="88" spans="2:13" x14ac:dyDescent="0.3">
      <c r="B88" s="14" t="s">
        <v>39</v>
      </c>
      <c r="C88" t="s">
        <v>12</v>
      </c>
      <c r="D88" t="s">
        <v>13</v>
      </c>
      <c r="E88">
        <v>10204958</v>
      </c>
      <c r="F88" t="s">
        <v>14</v>
      </c>
      <c r="G88" t="s">
        <v>15</v>
      </c>
      <c r="H88" t="s">
        <v>16</v>
      </c>
      <c r="I88" t="s">
        <v>17</v>
      </c>
      <c r="J88">
        <v>52005002</v>
      </c>
      <c r="K88" s="3">
        <v>2000</v>
      </c>
      <c r="L88" s="16"/>
      <c r="M88" s="11"/>
    </row>
    <row r="89" spans="2:13" x14ac:dyDescent="0.3">
      <c r="B89" s="14" t="s">
        <v>39</v>
      </c>
      <c r="C89" t="s">
        <v>12</v>
      </c>
      <c r="D89" t="s">
        <v>13</v>
      </c>
      <c r="E89">
        <v>10204958</v>
      </c>
      <c r="F89" t="s">
        <v>14</v>
      </c>
      <c r="G89" t="s">
        <v>18</v>
      </c>
      <c r="H89" t="s">
        <v>16</v>
      </c>
      <c r="I89" t="s">
        <v>19</v>
      </c>
      <c r="J89">
        <v>60022909</v>
      </c>
      <c r="K89" s="3">
        <v>25000</v>
      </c>
      <c r="L89" s="16"/>
      <c r="M89" s="11"/>
    </row>
    <row r="90" spans="2:13" x14ac:dyDescent="0.3">
      <c r="B90" s="14" t="s">
        <v>39</v>
      </c>
      <c r="C90" t="s">
        <v>12</v>
      </c>
      <c r="D90" t="s">
        <v>20</v>
      </c>
      <c r="E90">
        <v>10205600</v>
      </c>
      <c r="F90" t="s">
        <v>21</v>
      </c>
      <c r="G90" t="s">
        <v>15</v>
      </c>
      <c r="H90" t="s">
        <v>16</v>
      </c>
      <c r="I90" t="s">
        <v>22</v>
      </c>
      <c r="J90">
        <v>52005050</v>
      </c>
      <c r="K90" s="3">
        <v>1500</v>
      </c>
      <c r="L90" s="16"/>
      <c r="M90" s="11"/>
    </row>
    <row r="91" spans="2:13" x14ac:dyDescent="0.3">
      <c r="B91" s="14" t="s">
        <v>39</v>
      </c>
      <c r="C91" t="s">
        <v>12</v>
      </c>
      <c r="D91" t="s">
        <v>20</v>
      </c>
      <c r="E91">
        <v>10205600</v>
      </c>
      <c r="F91" t="s">
        <v>21</v>
      </c>
      <c r="G91" t="s">
        <v>18</v>
      </c>
      <c r="H91" t="s">
        <v>16</v>
      </c>
      <c r="I91" t="s">
        <v>23</v>
      </c>
      <c r="J91">
        <v>60022300</v>
      </c>
      <c r="K91" s="3">
        <v>18700</v>
      </c>
      <c r="L91" s="16"/>
      <c r="M91" s="11"/>
    </row>
    <row r="92" spans="2:13" x14ac:dyDescent="0.3">
      <c r="B92" s="14" t="s">
        <v>39</v>
      </c>
      <c r="C92" t="s">
        <v>12</v>
      </c>
      <c r="D92" t="s">
        <v>24</v>
      </c>
      <c r="E92">
        <v>10205252</v>
      </c>
      <c r="F92" t="s">
        <v>25</v>
      </c>
      <c r="G92" t="s">
        <v>15</v>
      </c>
      <c r="H92" t="s">
        <v>16</v>
      </c>
      <c r="I92" t="s">
        <v>22</v>
      </c>
      <c r="J92">
        <v>52005050</v>
      </c>
      <c r="K92" s="3">
        <v>2500</v>
      </c>
      <c r="L92" s="16"/>
      <c r="M92" s="11"/>
    </row>
    <row r="93" spans="2:13" x14ac:dyDescent="0.3">
      <c r="B93" s="14" t="s">
        <v>39</v>
      </c>
      <c r="C93" t="s">
        <v>12</v>
      </c>
      <c r="D93" t="s">
        <v>24</v>
      </c>
      <c r="E93">
        <v>10205252</v>
      </c>
      <c r="F93" t="s">
        <v>25</v>
      </c>
      <c r="G93" t="s">
        <v>18</v>
      </c>
      <c r="H93" t="s">
        <v>16</v>
      </c>
      <c r="I93" t="s">
        <v>19</v>
      </c>
      <c r="J93">
        <v>60022909</v>
      </c>
      <c r="K93" s="3">
        <v>29000</v>
      </c>
      <c r="L93" s="16"/>
      <c r="M93" s="11"/>
    </row>
    <row r="94" spans="2:13" x14ac:dyDescent="0.3">
      <c r="B94" s="14" t="s">
        <v>39</v>
      </c>
      <c r="C94" t="s">
        <v>12</v>
      </c>
      <c r="D94" t="s">
        <v>26</v>
      </c>
      <c r="E94">
        <v>10204959</v>
      </c>
      <c r="F94" t="s">
        <v>27</v>
      </c>
      <c r="G94" t="s">
        <v>15</v>
      </c>
      <c r="H94" t="s">
        <v>16</v>
      </c>
      <c r="I94" t="s">
        <v>17</v>
      </c>
      <c r="J94">
        <v>52005002</v>
      </c>
      <c r="K94" s="3">
        <v>1200</v>
      </c>
      <c r="L94" s="16"/>
      <c r="M94" s="11"/>
    </row>
    <row r="95" spans="2:13" x14ac:dyDescent="0.3">
      <c r="B95" s="14" t="s">
        <v>39</v>
      </c>
      <c r="C95" t="s">
        <v>12</v>
      </c>
      <c r="D95" t="s">
        <v>26</v>
      </c>
      <c r="E95">
        <v>10204959</v>
      </c>
      <c r="F95" t="s">
        <v>27</v>
      </c>
      <c r="G95" t="s">
        <v>18</v>
      </c>
      <c r="H95" t="s">
        <v>16</v>
      </c>
      <c r="I95" t="s">
        <v>23</v>
      </c>
      <c r="J95">
        <v>60022300</v>
      </c>
      <c r="K95" s="3">
        <v>22000</v>
      </c>
      <c r="L95" s="16"/>
      <c r="M95" s="11"/>
    </row>
    <row r="96" spans="2:13" x14ac:dyDescent="0.3">
      <c r="B96" s="14" t="s">
        <v>39</v>
      </c>
      <c r="C96" t="s">
        <v>12</v>
      </c>
      <c r="D96" t="s">
        <v>28</v>
      </c>
      <c r="E96">
        <v>10205590</v>
      </c>
      <c r="F96" t="s">
        <v>29</v>
      </c>
      <c r="G96" t="s">
        <v>15</v>
      </c>
      <c r="H96" t="s">
        <v>16</v>
      </c>
      <c r="I96" t="s">
        <v>22</v>
      </c>
      <c r="J96">
        <v>52005050</v>
      </c>
      <c r="K96" s="3">
        <v>800</v>
      </c>
      <c r="L96" s="16"/>
      <c r="M96" s="11"/>
    </row>
    <row r="97" spans="2:13" x14ac:dyDescent="0.3">
      <c r="B97" s="14" t="s">
        <v>39</v>
      </c>
      <c r="C97" t="s">
        <v>12</v>
      </c>
      <c r="D97" t="s">
        <v>28</v>
      </c>
      <c r="E97">
        <v>10205590</v>
      </c>
      <c r="F97" t="s">
        <v>29</v>
      </c>
      <c r="G97" t="s">
        <v>18</v>
      </c>
      <c r="H97" t="s">
        <v>16</v>
      </c>
      <c r="I97" t="s">
        <v>19</v>
      </c>
      <c r="J97">
        <v>60022909</v>
      </c>
      <c r="K97" s="3">
        <v>12000</v>
      </c>
      <c r="L97" s="16"/>
      <c r="M97" s="11"/>
    </row>
    <row r="98" spans="2:13" x14ac:dyDescent="0.3">
      <c r="B98" s="14" t="s">
        <v>39</v>
      </c>
      <c r="C98" t="s">
        <v>12</v>
      </c>
      <c r="D98" t="s">
        <v>30</v>
      </c>
      <c r="E98">
        <v>10204957</v>
      </c>
      <c r="F98" t="s">
        <v>31</v>
      </c>
      <c r="G98" t="s">
        <v>15</v>
      </c>
      <c r="H98" t="s">
        <v>16</v>
      </c>
      <c r="I98" t="s">
        <v>17</v>
      </c>
      <c r="J98">
        <v>52005002</v>
      </c>
      <c r="K98" s="3">
        <v>1800</v>
      </c>
      <c r="L98" s="16"/>
      <c r="M98" s="11"/>
    </row>
    <row r="99" spans="2:13" x14ac:dyDescent="0.3">
      <c r="B99" s="14" t="s">
        <v>39</v>
      </c>
      <c r="C99" t="s">
        <v>12</v>
      </c>
      <c r="D99" t="s">
        <v>30</v>
      </c>
      <c r="E99">
        <v>10204957</v>
      </c>
      <c r="F99" t="s">
        <v>31</v>
      </c>
      <c r="G99" t="s">
        <v>18</v>
      </c>
      <c r="H99" t="s">
        <v>16</v>
      </c>
      <c r="I99" t="s">
        <v>19</v>
      </c>
      <c r="J99">
        <v>60022909</v>
      </c>
      <c r="K99" s="3">
        <v>16900</v>
      </c>
      <c r="L99" s="16"/>
      <c r="M99" s="11"/>
    </row>
    <row r="100" spans="2:13" x14ac:dyDescent="0.3">
      <c r="B100" s="14" t="s">
        <v>39</v>
      </c>
      <c r="C100" t="s">
        <v>12</v>
      </c>
      <c r="D100" t="s">
        <v>32</v>
      </c>
      <c r="E100">
        <v>10204980</v>
      </c>
      <c r="F100" t="s">
        <v>33</v>
      </c>
      <c r="G100" t="s">
        <v>15</v>
      </c>
      <c r="H100" t="s">
        <v>16</v>
      </c>
      <c r="I100" t="s">
        <v>17</v>
      </c>
      <c r="J100">
        <v>52005002</v>
      </c>
      <c r="K100" s="3">
        <v>2500</v>
      </c>
      <c r="L100" s="16"/>
      <c r="M100" s="11"/>
    </row>
    <row r="101" spans="2:13" x14ac:dyDescent="0.3">
      <c r="B101" s="14" t="s">
        <v>39</v>
      </c>
      <c r="C101" t="s">
        <v>12</v>
      </c>
      <c r="D101" t="s">
        <v>32</v>
      </c>
      <c r="E101">
        <v>10204980</v>
      </c>
      <c r="F101" t="s">
        <v>33</v>
      </c>
      <c r="G101" t="s">
        <v>18</v>
      </c>
      <c r="H101" t="s">
        <v>16</v>
      </c>
      <c r="I101" t="s">
        <v>23</v>
      </c>
      <c r="J101">
        <v>60022300</v>
      </c>
      <c r="K101" s="3">
        <v>28000</v>
      </c>
      <c r="L101" s="16"/>
      <c r="M101" s="11"/>
    </row>
    <row r="102" spans="2:13" x14ac:dyDescent="0.3">
      <c r="B102" s="14" t="s">
        <v>40</v>
      </c>
      <c r="C102" t="s">
        <v>12</v>
      </c>
      <c r="D102" t="s">
        <v>13</v>
      </c>
      <c r="E102">
        <v>10204958</v>
      </c>
      <c r="F102" t="s">
        <v>14</v>
      </c>
      <c r="G102" t="s">
        <v>15</v>
      </c>
      <c r="H102" t="s">
        <v>16</v>
      </c>
      <c r="I102" t="s">
        <v>17</v>
      </c>
      <c r="J102">
        <v>52005002</v>
      </c>
      <c r="K102" s="3">
        <v>1500</v>
      </c>
      <c r="L102" s="16"/>
      <c r="M102" s="11"/>
    </row>
    <row r="103" spans="2:13" x14ac:dyDescent="0.3">
      <c r="B103" s="14" t="s">
        <v>40</v>
      </c>
      <c r="C103" t="s">
        <v>12</v>
      </c>
      <c r="D103" t="s">
        <v>13</v>
      </c>
      <c r="E103">
        <v>10204958</v>
      </c>
      <c r="F103" t="s">
        <v>14</v>
      </c>
      <c r="G103" t="s">
        <v>18</v>
      </c>
      <c r="H103" t="s">
        <v>16</v>
      </c>
      <c r="I103" t="s">
        <v>19</v>
      </c>
      <c r="J103">
        <v>60022909</v>
      </c>
      <c r="K103" s="3">
        <v>23000</v>
      </c>
      <c r="L103" s="16"/>
      <c r="M103" s="11"/>
    </row>
    <row r="104" spans="2:13" x14ac:dyDescent="0.3">
      <c r="B104" s="14" t="s">
        <v>40</v>
      </c>
      <c r="C104" t="s">
        <v>12</v>
      </c>
      <c r="D104" t="s">
        <v>20</v>
      </c>
      <c r="E104">
        <v>10205600</v>
      </c>
      <c r="F104" t="s">
        <v>21</v>
      </c>
      <c r="G104" t="s">
        <v>15</v>
      </c>
      <c r="H104" t="s">
        <v>16</v>
      </c>
      <c r="I104" t="s">
        <v>22</v>
      </c>
      <c r="J104">
        <v>52005050</v>
      </c>
      <c r="K104" s="3">
        <v>1100</v>
      </c>
      <c r="L104" s="16"/>
      <c r="M104" s="11"/>
    </row>
    <row r="105" spans="2:13" x14ac:dyDescent="0.3">
      <c r="B105" s="14" t="s">
        <v>40</v>
      </c>
      <c r="C105" t="s">
        <v>12</v>
      </c>
      <c r="D105" t="s">
        <v>20</v>
      </c>
      <c r="E105">
        <v>10205600</v>
      </c>
      <c r="F105" t="s">
        <v>21</v>
      </c>
      <c r="G105" t="s">
        <v>18</v>
      </c>
      <c r="H105" t="s">
        <v>16</v>
      </c>
      <c r="I105" t="s">
        <v>23</v>
      </c>
      <c r="J105">
        <v>60022300</v>
      </c>
      <c r="K105" s="3">
        <v>19700</v>
      </c>
      <c r="L105" s="16"/>
      <c r="M105" s="11"/>
    </row>
    <row r="106" spans="2:13" x14ac:dyDescent="0.3">
      <c r="B106" s="14" t="s">
        <v>40</v>
      </c>
      <c r="C106" t="s">
        <v>12</v>
      </c>
      <c r="D106" t="s">
        <v>24</v>
      </c>
      <c r="E106">
        <v>10205252</v>
      </c>
      <c r="F106" t="s">
        <v>25</v>
      </c>
      <c r="G106" t="s">
        <v>15</v>
      </c>
      <c r="H106" t="s">
        <v>16</v>
      </c>
      <c r="I106" t="s">
        <v>22</v>
      </c>
      <c r="J106">
        <v>52005050</v>
      </c>
      <c r="K106" s="3">
        <v>2000</v>
      </c>
      <c r="L106" s="16"/>
      <c r="M106" s="11"/>
    </row>
    <row r="107" spans="2:13" x14ac:dyDescent="0.3">
      <c r="B107" s="14" t="s">
        <v>40</v>
      </c>
      <c r="C107" t="s">
        <v>12</v>
      </c>
      <c r="D107" t="s">
        <v>24</v>
      </c>
      <c r="E107">
        <v>10205252</v>
      </c>
      <c r="F107" t="s">
        <v>25</v>
      </c>
      <c r="G107" t="s">
        <v>18</v>
      </c>
      <c r="H107" t="s">
        <v>16</v>
      </c>
      <c r="I107" t="s">
        <v>19</v>
      </c>
      <c r="J107">
        <v>60022909</v>
      </c>
      <c r="K107" s="3">
        <v>30000</v>
      </c>
      <c r="L107" s="16"/>
      <c r="M107" s="11"/>
    </row>
    <row r="108" spans="2:13" x14ac:dyDescent="0.3">
      <c r="B108" s="14" t="s">
        <v>40</v>
      </c>
      <c r="C108" t="s">
        <v>12</v>
      </c>
      <c r="D108" t="s">
        <v>26</v>
      </c>
      <c r="E108">
        <v>10204959</v>
      </c>
      <c r="F108" t="s">
        <v>27</v>
      </c>
      <c r="G108" t="s">
        <v>15</v>
      </c>
      <c r="H108" t="s">
        <v>16</v>
      </c>
      <c r="I108" t="s">
        <v>17</v>
      </c>
      <c r="J108">
        <v>52005002</v>
      </c>
      <c r="K108" s="3">
        <v>1200</v>
      </c>
      <c r="L108" s="16"/>
      <c r="M108" s="11"/>
    </row>
    <row r="109" spans="2:13" x14ac:dyDescent="0.3">
      <c r="B109" s="14" t="s">
        <v>40</v>
      </c>
      <c r="C109" t="s">
        <v>12</v>
      </c>
      <c r="D109" t="s">
        <v>26</v>
      </c>
      <c r="E109">
        <v>10204959</v>
      </c>
      <c r="F109" t="s">
        <v>27</v>
      </c>
      <c r="G109" t="s">
        <v>18</v>
      </c>
      <c r="H109" t="s">
        <v>16</v>
      </c>
      <c r="I109" t="s">
        <v>23</v>
      </c>
      <c r="J109">
        <v>60022300</v>
      </c>
      <c r="K109" s="3">
        <v>21000</v>
      </c>
      <c r="L109" s="16"/>
      <c r="M109" s="11"/>
    </row>
    <row r="110" spans="2:13" x14ac:dyDescent="0.3">
      <c r="B110" s="14" t="s">
        <v>40</v>
      </c>
      <c r="C110" t="s">
        <v>12</v>
      </c>
      <c r="D110" t="s">
        <v>28</v>
      </c>
      <c r="E110">
        <v>10205590</v>
      </c>
      <c r="F110" t="s">
        <v>29</v>
      </c>
      <c r="G110" t="s">
        <v>15</v>
      </c>
      <c r="H110" t="s">
        <v>16</v>
      </c>
      <c r="I110" t="s">
        <v>22</v>
      </c>
      <c r="J110">
        <v>52005050</v>
      </c>
      <c r="K110" s="3">
        <v>700</v>
      </c>
      <c r="L110" s="16"/>
      <c r="M110" s="11"/>
    </row>
    <row r="111" spans="2:13" x14ac:dyDescent="0.3">
      <c r="B111" s="14" t="s">
        <v>40</v>
      </c>
      <c r="C111" t="s">
        <v>12</v>
      </c>
      <c r="D111" t="s">
        <v>28</v>
      </c>
      <c r="E111">
        <v>10205590</v>
      </c>
      <c r="F111" t="s">
        <v>29</v>
      </c>
      <c r="G111" t="s">
        <v>18</v>
      </c>
      <c r="H111" t="s">
        <v>16</v>
      </c>
      <c r="I111" t="s">
        <v>19</v>
      </c>
      <c r="J111">
        <v>60022909</v>
      </c>
      <c r="K111" s="3">
        <v>13000</v>
      </c>
      <c r="L111" s="16"/>
      <c r="M111" s="11"/>
    </row>
    <row r="112" spans="2:13" x14ac:dyDescent="0.3">
      <c r="B112" s="14" t="s">
        <v>40</v>
      </c>
      <c r="C112" t="s">
        <v>12</v>
      </c>
      <c r="D112" t="s">
        <v>30</v>
      </c>
      <c r="E112">
        <v>10204957</v>
      </c>
      <c r="F112" t="s">
        <v>31</v>
      </c>
      <c r="G112" t="s">
        <v>15</v>
      </c>
      <c r="H112" t="s">
        <v>16</v>
      </c>
      <c r="I112" t="s">
        <v>17</v>
      </c>
      <c r="J112">
        <v>52005002</v>
      </c>
      <c r="K112" s="3">
        <v>1400</v>
      </c>
      <c r="L112" s="16"/>
      <c r="M112" s="11"/>
    </row>
    <row r="113" spans="2:13" x14ac:dyDescent="0.3">
      <c r="B113" s="14" t="s">
        <v>40</v>
      </c>
      <c r="C113" t="s">
        <v>12</v>
      </c>
      <c r="D113" t="s">
        <v>30</v>
      </c>
      <c r="E113">
        <v>10204957</v>
      </c>
      <c r="F113" t="s">
        <v>31</v>
      </c>
      <c r="G113" t="s">
        <v>18</v>
      </c>
      <c r="H113" t="s">
        <v>16</v>
      </c>
      <c r="I113" t="s">
        <v>19</v>
      </c>
      <c r="J113">
        <v>60022909</v>
      </c>
      <c r="K113" s="3">
        <v>15900</v>
      </c>
      <c r="L113" s="16"/>
      <c r="M113" s="11"/>
    </row>
    <row r="114" spans="2:13" x14ac:dyDescent="0.3">
      <c r="B114" s="14" t="s">
        <v>40</v>
      </c>
      <c r="C114" t="s">
        <v>12</v>
      </c>
      <c r="D114" t="s">
        <v>32</v>
      </c>
      <c r="E114">
        <v>10204980</v>
      </c>
      <c r="F114" t="s">
        <v>33</v>
      </c>
      <c r="G114" t="s">
        <v>15</v>
      </c>
      <c r="H114" t="s">
        <v>16</v>
      </c>
      <c r="I114" t="s">
        <v>17</v>
      </c>
      <c r="J114">
        <v>52005002</v>
      </c>
      <c r="K114" s="3">
        <v>2100</v>
      </c>
      <c r="L114" s="16"/>
      <c r="M114" s="11"/>
    </row>
    <row r="115" spans="2:13" x14ac:dyDescent="0.3">
      <c r="B115" s="14" t="s">
        <v>40</v>
      </c>
      <c r="C115" t="s">
        <v>12</v>
      </c>
      <c r="D115" t="s">
        <v>32</v>
      </c>
      <c r="E115">
        <v>10204980</v>
      </c>
      <c r="F115" t="s">
        <v>33</v>
      </c>
      <c r="G115" t="s">
        <v>18</v>
      </c>
      <c r="H115" t="s">
        <v>16</v>
      </c>
      <c r="I115" t="s">
        <v>23</v>
      </c>
      <c r="J115">
        <v>60022300</v>
      </c>
      <c r="K115" s="3">
        <v>28700</v>
      </c>
      <c r="L115" s="16"/>
      <c r="M115" s="11"/>
    </row>
    <row r="116" spans="2:13" x14ac:dyDescent="0.3">
      <c r="B116" s="14" t="s">
        <v>41</v>
      </c>
      <c r="C116" t="s">
        <v>12</v>
      </c>
      <c r="D116" t="s">
        <v>13</v>
      </c>
      <c r="E116">
        <v>10204958</v>
      </c>
      <c r="F116" t="s">
        <v>14</v>
      </c>
      <c r="G116" t="s">
        <v>15</v>
      </c>
      <c r="H116" t="s">
        <v>16</v>
      </c>
      <c r="I116" t="s">
        <v>17</v>
      </c>
      <c r="J116">
        <v>52005002</v>
      </c>
      <c r="K116" s="3">
        <v>2000</v>
      </c>
      <c r="L116" s="16"/>
      <c r="M116" s="11"/>
    </row>
    <row r="117" spans="2:13" x14ac:dyDescent="0.3">
      <c r="B117" s="14" t="s">
        <v>41</v>
      </c>
      <c r="C117" t="s">
        <v>12</v>
      </c>
      <c r="D117" t="s">
        <v>13</v>
      </c>
      <c r="E117">
        <v>10204958</v>
      </c>
      <c r="F117" t="s">
        <v>14</v>
      </c>
      <c r="G117" t="s">
        <v>18</v>
      </c>
      <c r="H117" t="s">
        <v>16</v>
      </c>
      <c r="I117" t="s">
        <v>19</v>
      </c>
      <c r="J117">
        <v>60022909</v>
      </c>
      <c r="K117" s="3">
        <v>25000</v>
      </c>
      <c r="L117" s="16"/>
      <c r="M117" s="11"/>
    </row>
    <row r="118" spans="2:13" x14ac:dyDescent="0.3">
      <c r="B118" s="14" t="s">
        <v>41</v>
      </c>
      <c r="C118" t="s">
        <v>12</v>
      </c>
      <c r="D118" t="s">
        <v>20</v>
      </c>
      <c r="E118">
        <v>10205600</v>
      </c>
      <c r="F118" t="s">
        <v>21</v>
      </c>
      <c r="G118" t="s">
        <v>15</v>
      </c>
      <c r="H118" t="s">
        <v>16</v>
      </c>
      <c r="I118" t="s">
        <v>22</v>
      </c>
      <c r="J118">
        <v>52005050</v>
      </c>
      <c r="K118" s="3">
        <v>1500</v>
      </c>
      <c r="L118" s="16"/>
      <c r="M118" s="11"/>
    </row>
    <row r="119" spans="2:13" x14ac:dyDescent="0.3">
      <c r="B119" s="14" t="s">
        <v>41</v>
      </c>
      <c r="C119" t="s">
        <v>12</v>
      </c>
      <c r="D119" t="s">
        <v>20</v>
      </c>
      <c r="E119">
        <v>10205600</v>
      </c>
      <c r="F119" t="s">
        <v>21</v>
      </c>
      <c r="G119" t="s">
        <v>18</v>
      </c>
      <c r="H119" t="s">
        <v>16</v>
      </c>
      <c r="I119" t="s">
        <v>23</v>
      </c>
      <c r="J119">
        <v>60022300</v>
      </c>
      <c r="K119" s="3">
        <v>18700</v>
      </c>
      <c r="L119" s="16"/>
      <c r="M119" s="11"/>
    </row>
    <row r="120" spans="2:13" x14ac:dyDescent="0.3">
      <c r="B120" s="14" t="s">
        <v>41</v>
      </c>
      <c r="C120" t="s">
        <v>12</v>
      </c>
      <c r="D120" t="s">
        <v>24</v>
      </c>
      <c r="E120">
        <v>10205252</v>
      </c>
      <c r="F120" t="s">
        <v>25</v>
      </c>
      <c r="G120" t="s">
        <v>15</v>
      </c>
      <c r="H120" t="s">
        <v>16</v>
      </c>
      <c r="I120" t="s">
        <v>22</v>
      </c>
      <c r="J120">
        <v>52005050</v>
      </c>
      <c r="K120" s="3">
        <v>2500</v>
      </c>
      <c r="L120" s="16"/>
      <c r="M120" s="11"/>
    </row>
    <row r="121" spans="2:13" x14ac:dyDescent="0.3">
      <c r="B121" s="14" t="s">
        <v>41</v>
      </c>
      <c r="C121" t="s">
        <v>12</v>
      </c>
      <c r="D121" t="s">
        <v>24</v>
      </c>
      <c r="E121">
        <v>10205252</v>
      </c>
      <c r="F121" t="s">
        <v>25</v>
      </c>
      <c r="G121" t="s">
        <v>18</v>
      </c>
      <c r="H121" t="s">
        <v>16</v>
      </c>
      <c r="I121" t="s">
        <v>19</v>
      </c>
      <c r="J121">
        <v>60022909</v>
      </c>
      <c r="K121" s="3">
        <v>29000</v>
      </c>
      <c r="L121" s="16"/>
      <c r="M121" s="11"/>
    </row>
    <row r="122" spans="2:13" x14ac:dyDescent="0.3">
      <c r="B122" s="14" t="s">
        <v>41</v>
      </c>
      <c r="C122" t="s">
        <v>12</v>
      </c>
      <c r="D122" t="s">
        <v>26</v>
      </c>
      <c r="E122">
        <v>10204959</v>
      </c>
      <c r="F122" t="s">
        <v>27</v>
      </c>
      <c r="G122" t="s">
        <v>15</v>
      </c>
      <c r="H122" t="s">
        <v>16</v>
      </c>
      <c r="I122" t="s">
        <v>17</v>
      </c>
      <c r="J122">
        <v>52005002</v>
      </c>
      <c r="K122" s="3">
        <v>1200</v>
      </c>
      <c r="L122" s="16"/>
      <c r="M122" s="11"/>
    </row>
    <row r="123" spans="2:13" x14ac:dyDescent="0.3">
      <c r="B123" s="14" t="s">
        <v>41</v>
      </c>
      <c r="C123" t="s">
        <v>12</v>
      </c>
      <c r="D123" t="s">
        <v>26</v>
      </c>
      <c r="E123">
        <v>10204959</v>
      </c>
      <c r="F123" t="s">
        <v>27</v>
      </c>
      <c r="G123" t="s">
        <v>18</v>
      </c>
      <c r="H123" t="s">
        <v>16</v>
      </c>
      <c r="I123" t="s">
        <v>23</v>
      </c>
      <c r="J123">
        <v>60022300</v>
      </c>
      <c r="K123" s="3">
        <v>22000</v>
      </c>
      <c r="L123" s="16"/>
      <c r="M123" s="11"/>
    </row>
    <row r="124" spans="2:13" x14ac:dyDescent="0.3">
      <c r="B124" s="14" t="s">
        <v>41</v>
      </c>
      <c r="C124" t="s">
        <v>12</v>
      </c>
      <c r="D124" t="s">
        <v>28</v>
      </c>
      <c r="E124">
        <v>10205590</v>
      </c>
      <c r="F124" t="s">
        <v>29</v>
      </c>
      <c r="G124" t="s">
        <v>15</v>
      </c>
      <c r="H124" t="s">
        <v>16</v>
      </c>
      <c r="I124" t="s">
        <v>22</v>
      </c>
      <c r="J124">
        <v>52005050</v>
      </c>
      <c r="K124" s="3">
        <v>800</v>
      </c>
      <c r="L124" s="16"/>
      <c r="M124" s="11"/>
    </row>
    <row r="125" spans="2:13" x14ac:dyDescent="0.3">
      <c r="B125" s="14" t="s">
        <v>41</v>
      </c>
      <c r="C125" t="s">
        <v>12</v>
      </c>
      <c r="D125" t="s">
        <v>28</v>
      </c>
      <c r="E125">
        <v>10205590</v>
      </c>
      <c r="F125" t="s">
        <v>29</v>
      </c>
      <c r="G125" t="s">
        <v>18</v>
      </c>
      <c r="H125" t="s">
        <v>16</v>
      </c>
      <c r="I125" t="s">
        <v>19</v>
      </c>
      <c r="J125">
        <v>60022909</v>
      </c>
      <c r="K125" s="3">
        <v>12000</v>
      </c>
      <c r="L125" s="16"/>
      <c r="M125" s="11"/>
    </row>
    <row r="126" spans="2:13" x14ac:dyDescent="0.3">
      <c r="B126" s="14" t="s">
        <v>41</v>
      </c>
      <c r="C126" t="s">
        <v>12</v>
      </c>
      <c r="D126" t="s">
        <v>30</v>
      </c>
      <c r="E126">
        <v>10204957</v>
      </c>
      <c r="F126" t="s">
        <v>31</v>
      </c>
      <c r="G126" t="s">
        <v>15</v>
      </c>
      <c r="H126" t="s">
        <v>16</v>
      </c>
      <c r="I126" t="s">
        <v>17</v>
      </c>
      <c r="J126">
        <v>52005002</v>
      </c>
      <c r="K126" s="3">
        <v>1800</v>
      </c>
      <c r="L126" s="16"/>
      <c r="M126" s="11"/>
    </row>
    <row r="127" spans="2:13" x14ac:dyDescent="0.3">
      <c r="B127" s="14" t="s">
        <v>41</v>
      </c>
      <c r="C127" t="s">
        <v>12</v>
      </c>
      <c r="D127" t="s">
        <v>30</v>
      </c>
      <c r="E127">
        <v>10204957</v>
      </c>
      <c r="F127" t="s">
        <v>31</v>
      </c>
      <c r="G127" t="s">
        <v>18</v>
      </c>
      <c r="H127" t="s">
        <v>16</v>
      </c>
      <c r="I127" t="s">
        <v>19</v>
      </c>
      <c r="J127">
        <v>60022909</v>
      </c>
      <c r="K127" s="3">
        <v>16900</v>
      </c>
      <c r="L127" s="16"/>
      <c r="M127" s="11"/>
    </row>
    <row r="128" spans="2:13" x14ac:dyDescent="0.3">
      <c r="B128" s="14" t="s">
        <v>41</v>
      </c>
      <c r="C128" t="s">
        <v>12</v>
      </c>
      <c r="D128" t="s">
        <v>32</v>
      </c>
      <c r="E128">
        <v>10204980</v>
      </c>
      <c r="F128" t="s">
        <v>33</v>
      </c>
      <c r="G128" t="s">
        <v>15</v>
      </c>
      <c r="H128" t="s">
        <v>16</v>
      </c>
      <c r="I128" t="s">
        <v>17</v>
      </c>
      <c r="J128">
        <v>52005002</v>
      </c>
      <c r="K128" s="3">
        <v>2500</v>
      </c>
      <c r="L128" s="16"/>
      <c r="M128" s="11"/>
    </row>
    <row r="129" spans="2:13" x14ac:dyDescent="0.3">
      <c r="B129" s="14" t="s">
        <v>41</v>
      </c>
      <c r="C129" t="s">
        <v>12</v>
      </c>
      <c r="D129" t="s">
        <v>32</v>
      </c>
      <c r="E129">
        <v>10204980</v>
      </c>
      <c r="F129" t="s">
        <v>33</v>
      </c>
      <c r="G129" t="s">
        <v>18</v>
      </c>
      <c r="H129" t="s">
        <v>16</v>
      </c>
      <c r="I129" t="s">
        <v>23</v>
      </c>
      <c r="J129">
        <v>60022300</v>
      </c>
      <c r="K129" s="3">
        <v>28000</v>
      </c>
      <c r="L129" s="16"/>
      <c r="M129" s="11"/>
    </row>
    <row r="130" spans="2:13" x14ac:dyDescent="0.3">
      <c r="B130" s="14" t="s">
        <v>42</v>
      </c>
      <c r="C130" t="s">
        <v>12</v>
      </c>
      <c r="D130" t="s">
        <v>13</v>
      </c>
      <c r="E130">
        <v>10204958</v>
      </c>
      <c r="F130" t="s">
        <v>14</v>
      </c>
      <c r="G130" t="s">
        <v>15</v>
      </c>
      <c r="H130" t="s">
        <v>16</v>
      </c>
      <c r="I130" t="s">
        <v>17</v>
      </c>
      <c r="J130">
        <v>52005002</v>
      </c>
      <c r="K130" s="3">
        <v>1500</v>
      </c>
      <c r="L130" s="16"/>
      <c r="M130" s="11"/>
    </row>
    <row r="131" spans="2:13" x14ac:dyDescent="0.3">
      <c r="B131" s="14" t="s">
        <v>42</v>
      </c>
      <c r="C131" t="s">
        <v>12</v>
      </c>
      <c r="D131" t="s">
        <v>13</v>
      </c>
      <c r="E131">
        <v>10204958</v>
      </c>
      <c r="F131" t="s">
        <v>14</v>
      </c>
      <c r="G131" t="s">
        <v>18</v>
      </c>
      <c r="H131" t="s">
        <v>16</v>
      </c>
      <c r="I131" t="s">
        <v>19</v>
      </c>
      <c r="J131">
        <v>60022909</v>
      </c>
      <c r="K131" s="3">
        <v>23000</v>
      </c>
      <c r="L131" s="16"/>
      <c r="M131" s="11"/>
    </row>
    <row r="132" spans="2:13" x14ac:dyDescent="0.3">
      <c r="B132" s="14" t="s">
        <v>42</v>
      </c>
      <c r="C132" t="s">
        <v>12</v>
      </c>
      <c r="D132" t="s">
        <v>20</v>
      </c>
      <c r="E132">
        <v>10205600</v>
      </c>
      <c r="F132" t="s">
        <v>21</v>
      </c>
      <c r="G132" t="s">
        <v>15</v>
      </c>
      <c r="H132" t="s">
        <v>16</v>
      </c>
      <c r="I132" t="s">
        <v>22</v>
      </c>
      <c r="J132">
        <v>52005050</v>
      </c>
      <c r="K132" s="3">
        <v>1100</v>
      </c>
      <c r="L132" s="16"/>
      <c r="M132" s="11"/>
    </row>
    <row r="133" spans="2:13" x14ac:dyDescent="0.3">
      <c r="B133" s="14" t="s">
        <v>42</v>
      </c>
      <c r="C133" t="s">
        <v>12</v>
      </c>
      <c r="D133" t="s">
        <v>20</v>
      </c>
      <c r="E133">
        <v>10205600</v>
      </c>
      <c r="F133" t="s">
        <v>21</v>
      </c>
      <c r="G133" t="s">
        <v>18</v>
      </c>
      <c r="H133" t="s">
        <v>16</v>
      </c>
      <c r="I133" t="s">
        <v>23</v>
      </c>
      <c r="J133">
        <v>60022300</v>
      </c>
      <c r="K133" s="3">
        <v>19700</v>
      </c>
      <c r="L133" s="16"/>
      <c r="M133" s="11"/>
    </row>
    <row r="134" spans="2:13" x14ac:dyDescent="0.3">
      <c r="B134" s="14" t="s">
        <v>42</v>
      </c>
      <c r="C134" t="s">
        <v>12</v>
      </c>
      <c r="D134" t="s">
        <v>24</v>
      </c>
      <c r="E134">
        <v>10205252</v>
      </c>
      <c r="F134" t="s">
        <v>25</v>
      </c>
      <c r="G134" t="s">
        <v>15</v>
      </c>
      <c r="H134" t="s">
        <v>16</v>
      </c>
      <c r="I134" t="s">
        <v>22</v>
      </c>
      <c r="J134">
        <v>52005050</v>
      </c>
      <c r="K134" s="3">
        <v>2000</v>
      </c>
      <c r="L134" s="16"/>
      <c r="M134" s="11"/>
    </row>
    <row r="135" spans="2:13" x14ac:dyDescent="0.3">
      <c r="B135" s="14" t="s">
        <v>42</v>
      </c>
      <c r="C135" t="s">
        <v>12</v>
      </c>
      <c r="D135" t="s">
        <v>24</v>
      </c>
      <c r="E135">
        <v>10205252</v>
      </c>
      <c r="F135" t="s">
        <v>25</v>
      </c>
      <c r="G135" t="s">
        <v>18</v>
      </c>
      <c r="H135" t="s">
        <v>16</v>
      </c>
      <c r="I135" t="s">
        <v>19</v>
      </c>
      <c r="J135">
        <v>60022909</v>
      </c>
      <c r="K135" s="3">
        <v>30000</v>
      </c>
      <c r="L135" s="16"/>
      <c r="M135" s="11"/>
    </row>
    <row r="136" spans="2:13" x14ac:dyDescent="0.3">
      <c r="B136" s="14" t="s">
        <v>42</v>
      </c>
      <c r="C136" t="s">
        <v>12</v>
      </c>
      <c r="D136" t="s">
        <v>26</v>
      </c>
      <c r="E136">
        <v>10204959</v>
      </c>
      <c r="F136" t="s">
        <v>27</v>
      </c>
      <c r="G136" t="s">
        <v>15</v>
      </c>
      <c r="H136" t="s">
        <v>16</v>
      </c>
      <c r="I136" t="s">
        <v>17</v>
      </c>
      <c r="J136">
        <v>52005002</v>
      </c>
      <c r="K136" s="3">
        <v>1200</v>
      </c>
      <c r="L136" s="16"/>
      <c r="M136" s="11"/>
    </row>
    <row r="137" spans="2:13" x14ac:dyDescent="0.3">
      <c r="B137" s="14" t="s">
        <v>42</v>
      </c>
      <c r="C137" t="s">
        <v>12</v>
      </c>
      <c r="D137" t="s">
        <v>26</v>
      </c>
      <c r="E137">
        <v>10204959</v>
      </c>
      <c r="F137" t="s">
        <v>27</v>
      </c>
      <c r="G137" t="s">
        <v>18</v>
      </c>
      <c r="H137" t="s">
        <v>16</v>
      </c>
      <c r="I137" t="s">
        <v>23</v>
      </c>
      <c r="J137">
        <v>60022300</v>
      </c>
      <c r="K137" s="3">
        <v>21000</v>
      </c>
      <c r="L137" s="16"/>
      <c r="M137" s="11"/>
    </row>
    <row r="138" spans="2:13" x14ac:dyDescent="0.3">
      <c r="B138" s="14" t="s">
        <v>42</v>
      </c>
      <c r="C138" t="s">
        <v>12</v>
      </c>
      <c r="D138" t="s">
        <v>28</v>
      </c>
      <c r="E138">
        <v>10205590</v>
      </c>
      <c r="F138" t="s">
        <v>29</v>
      </c>
      <c r="G138" t="s">
        <v>15</v>
      </c>
      <c r="H138" t="s">
        <v>16</v>
      </c>
      <c r="I138" t="s">
        <v>22</v>
      </c>
      <c r="J138">
        <v>52005050</v>
      </c>
      <c r="K138" s="3">
        <v>700</v>
      </c>
      <c r="L138" s="16"/>
      <c r="M138" s="11"/>
    </row>
    <row r="139" spans="2:13" x14ac:dyDescent="0.3">
      <c r="B139" s="14" t="s">
        <v>42</v>
      </c>
      <c r="C139" t="s">
        <v>12</v>
      </c>
      <c r="D139" t="s">
        <v>28</v>
      </c>
      <c r="E139">
        <v>10205590</v>
      </c>
      <c r="F139" t="s">
        <v>29</v>
      </c>
      <c r="G139" t="s">
        <v>18</v>
      </c>
      <c r="H139" t="s">
        <v>16</v>
      </c>
      <c r="I139" t="s">
        <v>19</v>
      </c>
      <c r="J139">
        <v>60022909</v>
      </c>
      <c r="K139" s="3">
        <v>13000</v>
      </c>
      <c r="L139" s="16"/>
      <c r="M139" s="11"/>
    </row>
    <row r="140" spans="2:13" x14ac:dyDescent="0.3">
      <c r="B140" s="14" t="s">
        <v>42</v>
      </c>
      <c r="C140" t="s">
        <v>12</v>
      </c>
      <c r="D140" t="s">
        <v>30</v>
      </c>
      <c r="E140">
        <v>10204957</v>
      </c>
      <c r="F140" t="s">
        <v>31</v>
      </c>
      <c r="G140" t="s">
        <v>15</v>
      </c>
      <c r="H140" t="s">
        <v>16</v>
      </c>
      <c r="I140" t="s">
        <v>17</v>
      </c>
      <c r="J140">
        <v>52005002</v>
      </c>
      <c r="K140" s="3">
        <v>1400</v>
      </c>
      <c r="L140" s="16"/>
      <c r="M140" s="11"/>
    </row>
    <row r="141" spans="2:13" x14ac:dyDescent="0.3">
      <c r="B141" s="14" t="s">
        <v>42</v>
      </c>
      <c r="C141" t="s">
        <v>12</v>
      </c>
      <c r="D141" t="s">
        <v>30</v>
      </c>
      <c r="E141">
        <v>10204957</v>
      </c>
      <c r="F141" t="s">
        <v>31</v>
      </c>
      <c r="G141" t="s">
        <v>18</v>
      </c>
      <c r="H141" t="s">
        <v>16</v>
      </c>
      <c r="I141" t="s">
        <v>19</v>
      </c>
      <c r="J141">
        <v>60022909</v>
      </c>
      <c r="K141" s="3">
        <v>15900</v>
      </c>
      <c r="L141" s="16"/>
      <c r="M141" s="11"/>
    </row>
    <row r="142" spans="2:13" x14ac:dyDescent="0.3">
      <c r="B142" s="14" t="s">
        <v>42</v>
      </c>
      <c r="C142" t="s">
        <v>12</v>
      </c>
      <c r="D142" t="s">
        <v>32</v>
      </c>
      <c r="E142">
        <v>10204980</v>
      </c>
      <c r="F142" t="s">
        <v>33</v>
      </c>
      <c r="G142" t="s">
        <v>15</v>
      </c>
      <c r="H142" t="s">
        <v>16</v>
      </c>
      <c r="I142" t="s">
        <v>17</v>
      </c>
      <c r="J142">
        <v>52005002</v>
      </c>
      <c r="K142" s="3">
        <v>2100</v>
      </c>
      <c r="L142" s="16"/>
      <c r="M142" s="11"/>
    </row>
    <row r="143" spans="2:13" x14ac:dyDescent="0.3">
      <c r="B143" s="14" t="s">
        <v>42</v>
      </c>
      <c r="C143" t="s">
        <v>12</v>
      </c>
      <c r="D143" t="s">
        <v>32</v>
      </c>
      <c r="E143">
        <v>10204980</v>
      </c>
      <c r="F143" t="s">
        <v>33</v>
      </c>
      <c r="G143" t="s">
        <v>18</v>
      </c>
      <c r="H143" t="s">
        <v>16</v>
      </c>
      <c r="I143" t="s">
        <v>23</v>
      </c>
      <c r="J143">
        <v>60022300</v>
      </c>
      <c r="K143" s="3">
        <v>28700</v>
      </c>
      <c r="L143" s="16"/>
      <c r="M143" s="11"/>
    </row>
    <row r="144" spans="2:13" x14ac:dyDescent="0.3">
      <c r="B144" s="14" t="s">
        <v>43</v>
      </c>
      <c r="C144" t="s">
        <v>12</v>
      </c>
      <c r="D144" t="s">
        <v>13</v>
      </c>
      <c r="E144">
        <v>10204958</v>
      </c>
      <c r="F144" t="s">
        <v>14</v>
      </c>
      <c r="G144" t="s">
        <v>15</v>
      </c>
      <c r="H144" t="s">
        <v>16</v>
      </c>
      <c r="I144" t="s">
        <v>17</v>
      </c>
      <c r="J144">
        <v>52005002</v>
      </c>
      <c r="K144" s="3">
        <v>2000</v>
      </c>
      <c r="L144" s="16"/>
      <c r="M144" s="11"/>
    </row>
    <row r="145" spans="2:13" x14ac:dyDescent="0.3">
      <c r="B145" s="14" t="s">
        <v>44</v>
      </c>
      <c r="C145" t="s">
        <v>12</v>
      </c>
      <c r="D145" t="s">
        <v>13</v>
      </c>
      <c r="E145">
        <v>10204958</v>
      </c>
      <c r="F145" t="s">
        <v>14</v>
      </c>
      <c r="G145" t="s">
        <v>18</v>
      </c>
      <c r="H145" t="s">
        <v>16</v>
      </c>
      <c r="I145" t="s">
        <v>19</v>
      </c>
      <c r="J145">
        <v>60022909</v>
      </c>
      <c r="K145" s="3">
        <v>25000</v>
      </c>
      <c r="L145" s="16"/>
      <c r="M145" s="11"/>
    </row>
    <row r="146" spans="2:13" x14ac:dyDescent="0.3">
      <c r="B146" s="14" t="s">
        <v>44</v>
      </c>
      <c r="C146" t="s">
        <v>12</v>
      </c>
      <c r="D146" t="s">
        <v>20</v>
      </c>
      <c r="E146">
        <v>10205600</v>
      </c>
      <c r="F146" t="s">
        <v>21</v>
      </c>
      <c r="G146" t="s">
        <v>15</v>
      </c>
      <c r="H146" t="s">
        <v>16</v>
      </c>
      <c r="I146" t="s">
        <v>22</v>
      </c>
      <c r="J146">
        <v>52005050</v>
      </c>
      <c r="K146" s="3">
        <v>1500</v>
      </c>
      <c r="L146" s="16"/>
      <c r="M146" s="11"/>
    </row>
    <row r="147" spans="2:13" x14ac:dyDescent="0.3">
      <c r="B147" s="14" t="s">
        <v>44</v>
      </c>
      <c r="C147" t="s">
        <v>12</v>
      </c>
      <c r="D147" t="s">
        <v>20</v>
      </c>
      <c r="E147">
        <v>10205600</v>
      </c>
      <c r="F147" t="s">
        <v>21</v>
      </c>
      <c r="G147" t="s">
        <v>18</v>
      </c>
      <c r="H147" t="s">
        <v>16</v>
      </c>
      <c r="I147" t="s">
        <v>23</v>
      </c>
      <c r="J147">
        <v>60022300</v>
      </c>
      <c r="K147" s="3">
        <v>18700</v>
      </c>
      <c r="L147" s="16"/>
      <c r="M147" s="11"/>
    </row>
    <row r="148" spans="2:13" x14ac:dyDescent="0.3">
      <c r="B148" s="14" t="s">
        <v>44</v>
      </c>
      <c r="C148" t="s">
        <v>12</v>
      </c>
      <c r="D148" t="s">
        <v>24</v>
      </c>
      <c r="E148">
        <v>10205252</v>
      </c>
      <c r="F148" t="s">
        <v>25</v>
      </c>
      <c r="G148" t="s">
        <v>15</v>
      </c>
      <c r="H148" t="s">
        <v>16</v>
      </c>
      <c r="I148" t="s">
        <v>22</v>
      </c>
      <c r="J148">
        <v>52005050</v>
      </c>
      <c r="K148" s="3">
        <v>2500</v>
      </c>
      <c r="L148" s="16"/>
      <c r="M148" s="11"/>
    </row>
    <row r="149" spans="2:13" x14ac:dyDescent="0.3">
      <c r="B149" s="14" t="s">
        <v>44</v>
      </c>
      <c r="C149" t="s">
        <v>12</v>
      </c>
      <c r="D149" t="s">
        <v>24</v>
      </c>
      <c r="E149">
        <v>10205252</v>
      </c>
      <c r="F149" t="s">
        <v>25</v>
      </c>
      <c r="G149" t="s">
        <v>18</v>
      </c>
      <c r="H149" t="s">
        <v>16</v>
      </c>
      <c r="I149" t="s">
        <v>19</v>
      </c>
      <c r="J149">
        <v>60022909</v>
      </c>
      <c r="K149" s="3">
        <v>29000</v>
      </c>
      <c r="L149" s="16"/>
      <c r="M149" s="11"/>
    </row>
    <row r="150" spans="2:13" x14ac:dyDescent="0.3">
      <c r="B150" s="14" t="s">
        <v>44</v>
      </c>
      <c r="C150" t="s">
        <v>12</v>
      </c>
      <c r="D150" t="s">
        <v>26</v>
      </c>
      <c r="E150">
        <v>10204959</v>
      </c>
      <c r="F150" t="s">
        <v>27</v>
      </c>
      <c r="G150" t="s">
        <v>15</v>
      </c>
      <c r="H150" t="s">
        <v>16</v>
      </c>
      <c r="I150" t="s">
        <v>17</v>
      </c>
      <c r="J150">
        <v>52005002</v>
      </c>
      <c r="K150" s="3">
        <v>1200</v>
      </c>
      <c r="L150" s="16"/>
      <c r="M150" s="11"/>
    </row>
    <row r="151" spans="2:13" x14ac:dyDescent="0.3">
      <c r="B151" s="14" t="s">
        <v>44</v>
      </c>
      <c r="C151" t="s">
        <v>12</v>
      </c>
      <c r="D151" t="s">
        <v>26</v>
      </c>
      <c r="E151">
        <v>10204959</v>
      </c>
      <c r="F151" t="s">
        <v>27</v>
      </c>
      <c r="G151" t="s">
        <v>18</v>
      </c>
      <c r="H151" t="s">
        <v>16</v>
      </c>
      <c r="I151" t="s">
        <v>23</v>
      </c>
      <c r="J151">
        <v>60022300</v>
      </c>
      <c r="K151" s="3">
        <v>22000</v>
      </c>
      <c r="L151" s="16"/>
      <c r="M151" s="11"/>
    </row>
    <row r="152" spans="2:13" x14ac:dyDescent="0.3">
      <c r="B152" s="14" t="s">
        <v>44</v>
      </c>
      <c r="C152" t="s">
        <v>12</v>
      </c>
      <c r="D152" t="s">
        <v>28</v>
      </c>
      <c r="E152">
        <v>10205590</v>
      </c>
      <c r="F152" t="s">
        <v>29</v>
      </c>
      <c r="G152" t="s">
        <v>15</v>
      </c>
      <c r="H152" t="s">
        <v>16</v>
      </c>
      <c r="I152" t="s">
        <v>22</v>
      </c>
      <c r="J152">
        <v>52005050</v>
      </c>
      <c r="K152" s="3">
        <v>800</v>
      </c>
      <c r="L152" s="16"/>
      <c r="M152" s="11"/>
    </row>
    <row r="153" spans="2:13" x14ac:dyDescent="0.3">
      <c r="B153" s="14" t="s">
        <v>44</v>
      </c>
      <c r="C153" t="s">
        <v>12</v>
      </c>
      <c r="D153" t="s">
        <v>28</v>
      </c>
      <c r="E153">
        <v>10205590</v>
      </c>
      <c r="F153" t="s">
        <v>29</v>
      </c>
      <c r="G153" t="s">
        <v>18</v>
      </c>
      <c r="H153" t="s">
        <v>16</v>
      </c>
      <c r="I153" t="s">
        <v>19</v>
      </c>
      <c r="J153">
        <v>60022909</v>
      </c>
      <c r="K153" s="3">
        <v>12000</v>
      </c>
      <c r="L153" s="16"/>
      <c r="M153" s="11"/>
    </row>
    <row r="154" spans="2:13" x14ac:dyDescent="0.3">
      <c r="B154" s="14" t="s">
        <v>44</v>
      </c>
      <c r="C154" t="s">
        <v>12</v>
      </c>
      <c r="D154" t="s">
        <v>30</v>
      </c>
      <c r="E154">
        <v>10204957</v>
      </c>
      <c r="F154" t="s">
        <v>31</v>
      </c>
      <c r="G154" t="s">
        <v>15</v>
      </c>
      <c r="H154" t="s">
        <v>16</v>
      </c>
      <c r="I154" t="s">
        <v>17</v>
      </c>
      <c r="J154">
        <v>52005002</v>
      </c>
      <c r="K154" s="3">
        <v>1800</v>
      </c>
      <c r="L154" s="16"/>
      <c r="M154" s="11"/>
    </row>
    <row r="155" spans="2:13" x14ac:dyDescent="0.3">
      <c r="B155" s="14" t="s">
        <v>44</v>
      </c>
      <c r="C155" t="s">
        <v>12</v>
      </c>
      <c r="D155" t="s">
        <v>30</v>
      </c>
      <c r="E155">
        <v>10204957</v>
      </c>
      <c r="F155" t="s">
        <v>31</v>
      </c>
      <c r="G155" t="s">
        <v>18</v>
      </c>
      <c r="H155" t="s">
        <v>16</v>
      </c>
      <c r="I155" t="s">
        <v>19</v>
      </c>
      <c r="J155">
        <v>60022909</v>
      </c>
      <c r="K155" s="3">
        <v>16900</v>
      </c>
      <c r="L155" s="16"/>
      <c r="M155" s="11"/>
    </row>
    <row r="156" spans="2:13" x14ac:dyDescent="0.3">
      <c r="B156" s="14" t="s">
        <v>44</v>
      </c>
      <c r="C156" t="s">
        <v>12</v>
      </c>
      <c r="D156" t="s">
        <v>32</v>
      </c>
      <c r="E156">
        <v>10204980</v>
      </c>
      <c r="F156" t="s">
        <v>33</v>
      </c>
      <c r="G156" t="s">
        <v>15</v>
      </c>
      <c r="H156" t="s">
        <v>16</v>
      </c>
      <c r="I156" t="s">
        <v>17</v>
      </c>
      <c r="J156">
        <v>52005002</v>
      </c>
      <c r="K156" s="3">
        <v>2500</v>
      </c>
      <c r="L156" s="16"/>
      <c r="M156" s="11"/>
    </row>
    <row r="157" spans="2:13" x14ac:dyDescent="0.3">
      <c r="B157" s="14" t="s">
        <v>44</v>
      </c>
      <c r="C157" t="s">
        <v>12</v>
      </c>
      <c r="D157" t="s">
        <v>32</v>
      </c>
      <c r="E157">
        <v>10204980</v>
      </c>
      <c r="F157" t="s">
        <v>33</v>
      </c>
      <c r="G157" t="s">
        <v>18</v>
      </c>
      <c r="H157" t="s">
        <v>16</v>
      </c>
      <c r="I157" t="s">
        <v>23</v>
      </c>
      <c r="J157">
        <v>60022300</v>
      </c>
      <c r="K157" s="3">
        <v>28000</v>
      </c>
      <c r="L157" s="16"/>
      <c r="M157" s="11"/>
    </row>
    <row r="159" spans="2:13" x14ac:dyDescent="0.3">
      <c r="K159" s="16"/>
    </row>
    <row r="160" spans="2:13" x14ac:dyDescent="0.3">
      <c r="K160" s="16"/>
      <c r="L160" s="16"/>
    </row>
  </sheetData>
  <phoneticPr fontId="3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3C50-E884-422A-8095-2F8AEE9FCD82}">
  <dimension ref="B2:K24"/>
  <sheetViews>
    <sheetView zoomScaleNormal="100" workbookViewId="0">
      <selection activeCell="F10" sqref="F10"/>
    </sheetView>
  </sheetViews>
  <sheetFormatPr defaultRowHeight="14.4" x14ac:dyDescent="0.3"/>
  <cols>
    <col min="2" max="2" width="14.77734375" customWidth="1"/>
    <col min="3" max="3" width="27.33203125" bestFit="1" customWidth="1"/>
    <col min="4" max="4" width="32.21875" customWidth="1"/>
    <col min="5" max="5" width="31.88671875" bestFit="1" customWidth="1"/>
    <col min="6" max="7" width="16.44140625" customWidth="1"/>
    <col min="8" max="8" width="14.77734375" customWidth="1"/>
    <col min="9" max="9" width="19.44140625" customWidth="1"/>
    <col min="10" max="10" width="22.21875" customWidth="1"/>
    <col min="11" max="11" width="35.21875" customWidth="1"/>
    <col min="12" max="12" width="20.77734375" customWidth="1"/>
  </cols>
  <sheetData>
    <row r="2" spans="2:11" x14ac:dyDescent="0.3">
      <c r="B2" s="4" t="s">
        <v>7</v>
      </c>
      <c r="C2" s="4" t="s">
        <v>8</v>
      </c>
      <c r="D2" t="s">
        <v>5</v>
      </c>
      <c r="E2" t="s">
        <v>6</v>
      </c>
      <c r="F2" t="s">
        <v>45</v>
      </c>
      <c r="G2" t="s">
        <v>46</v>
      </c>
      <c r="H2" s="4" t="s">
        <v>47</v>
      </c>
      <c r="I2" s="4" t="s">
        <v>48</v>
      </c>
      <c r="J2" s="4" t="s">
        <v>49</v>
      </c>
      <c r="K2" s="4" t="s">
        <v>50</v>
      </c>
    </row>
    <row r="3" spans="2:11" x14ac:dyDescent="0.3">
      <c r="B3" s="1" t="s">
        <v>17</v>
      </c>
      <c r="C3" s="1">
        <v>52005002</v>
      </c>
      <c r="D3" t="s">
        <v>15</v>
      </c>
      <c r="E3" t="s">
        <v>16</v>
      </c>
      <c r="F3" s="8">
        <v>40</v>
      </c>
      <c r="G3" s="8">
        <v>7</v>
      </c>
      <c r="H3" s="1">
        <v>5.5</v>
      </c>
      <c r="I3" s="9">
        <v>0</v>
      </c>
      <c r="J3" t="s">
        <v>51</v>
      </c>
      <c r="K3">
        <v>30</v>
      </c>
    </row>
    <row r="4" spans="2:11" x14ac:dyDescent="0.3">
      <c r="B4" s="1" t="s">
        <v>22</v>
      </c>
      <c r="C4" s="1">
        <v>52005050</v>
      </c>
      <c r="D4" t="s">
        <v>15</v>
      </c>
      <c r="E4" t="s">
        <v>16</v>
      </c>
      <c r="F4" s="8">
        <v>42</v>
      </c>
      <c r="G4" s="8">
        <v>8.5</v>
      </c>
      <c r="H4" s="2">
        <v>5.8</v>
      </c>
      <c r="I4" s="10">
        <v>0</v>
      </c>
      <c r="J4" t="s">
        <v>52</v>
      </c>
      <c r="K4">
        <v>30</v>
      </c>
    </row>
    <row r="5" spans="2:11" x14ac:dyDescent="0.3">
      <c r="B5" t="s">
        <v>53</v>
      </c>
      <c r="C5" s="1">
        <v>52007070</v>
      </c>
      <c r="D5" t="s">
        <v>15</v>
      </c>
      <c r="E5" t="s">
        <v>54</v>
      </c>
      <c r="F5" s="8">
        <v>60</v>
      </c>
      <c r="G5" s="8">
        <v>15</v>
      </c>
      <c r="H5" s="2">
        <v>6.8</v>
      </c>
      <c r="I5" s="10">
        <v>0.03</v>
      </c>
      <c r="J5" t="s">
        <v>55</v>
      </c>
      <c r="K5">
        <v>30</v>
      </c>
    </row>
    <row r="6" spans="2:11" ht="14.1" customHeight="1" x14ac:dyDescent="0.3">
      <c r="B6" t="s">
        <v>56</v>
      </c>
      <c r="C6" s="1">
        <v>52007080</v>
      </c>
      <c r="D6" t="s">
        <v>15</v>
      </c>
      <c r="E6" t="s">
        <v>54</v>
      </c>
      <c r="F6" s="8">
        <v>65</v>
      </c>
      <c r="G6" s="8">
        <v>18</v>
      </c>
      <c r="H6" s="1">
        <v>7.1</v>
      </c>
      <c r="I6" s="9">
        <v>0.04</v>
      </c>
      <c r="J6" t="s">
        <v>57</v>
      </c>
      <c r="K6">
        <v>30</v>
      </c>
    </row>
    <row r="7" spans="2:11" ht="14.1" customHeight="1" x14ac:dyDescent="0.3">
      <c r="B7" s="5" t="s">
        <v>23</v>
      </c>
      <c r="C7" s="5">
        <v>60022300</v>
      </c>
      <c r="D7" t="s">
        <v>18</v>
      </c>
      <c r="E7" t="s">
        <v>16</v>
      </c>
      <c r="F7" s="8">
        <v>18</v>
      </c>
      <c r="G7" s="8">
        <v>6</v>
      </c>
      <c r="H7" s="7">
        <v>29</v>
      </c>
      <c r="I7" s="6" t="s">
        <v>58</v>
      </c>
      <c r="J7" s="6" t="s">
        <v>58</v>
      </c>
    </row>
    <row r="8" spans="2:11" x14ac:dyDescent="0.3">
      <c r="B8" s="2" t="s">
        <v>19</v>
      </c>
      <c r="C8" s="2">
        <v>60022909</v>
      </c>
      <c r="D8" t="s">
        <v>18</v>
      </c>
      <c r="E8" t="s">
        <v>16</v>
      </c>
      <c r="F8" s="8">
        <v>19</v>
      </c>
      <c r="G8" s="8">
        <v>6.5</v>
      </c>
      <c r="H8" s="5">
        <v>28</v>
      </c>
      <c r="I8" t="s">
        <v>58</v>
      </c>
      <c r="J8" s="6" t="s">
        <v>58</v>
      </c>
    </row>
    <row r="9" spans="2:11" x14ac:dyDescent="0.3">
      <c r="B9" s="2" t="s">
        <v>59</v>
      </c>
      <c r="C9" s="2">
        <v>60033500</v>
      </c>
      <c r="D9" t="s">
        <v>60</v>
      </c>
      <c r="E9" t="s">
        <v>54</v>
      </c>
      <c r="F9" s="8">
        <v>28</v>
      </c>
      <c r="G9" s="8">
        <v>9.5</v>
      </c>
      <c r="H9">
        <v>14</v>
      </c>
      <c r="I9" t="s">
        <v>58</v>
      </c>
      <c r="J9" s="6" t="s">
        <v>58</v>
      </c>
    </row>
    <row r="10" spans="2:11" x14ac:dyDescent="0.3">
      <c r="B10" s="2" t="s">
        <v>61</v>
      </c>
      <c r="C10" s="2">
        <v>60033800</v>
      </c>
      <c r="D10" t="s">
        <v>60</v>
      </c>
      <c r="E10" t="s">
        <v>54</v>
      </c>
      <c r="F10" s="8">
        <v>29.5</v>
      </c>
      <c r="G10" s="8">
        <v>11</v>
      </c>
      <c r="H10">
        <v>13</v>
      </c>
      <c r="I10" t="s">
        <v>58</v>
      </c>
      <c r="J10" s="6" t="s">
        <v>58</v>
      </c>
    </row>
    <row r="13" spans="2:11" x14ac:dyDescent="0.3">
      <c r="I13" t="s">
        <v>62</v>
      </c>
    </row>
    <row r="14" spans="2:11" x14ac:dyDescent="0.3">
      <c r="I14" t="s">
        <v>63</v>
      </c>
    </row>
    <row r="15" spans="2:11" x14ac:dyDescent="0.3">
      <c r="B15" t="s">
        <v>64</v>
      </c>
    </row>
    <row r="16" spans="2:11" ht="15.6" x14ac:dyDescent="0.3">
      <c r="B16" s="4" t="s">
        <v>65</v>
      </c>
      <c r="C16" s="4" t="s">
        <v>66</v>
      </c>
      <c r="D16" s="4" t="s">
        <v>67</v>
      </c>
      <c r="E16" s="4" t="s">
        <v>68</v>
      </c>
      <c r="G16" s="15"/>
    </row>
    <row r="17" spans="2:5" x14ac:dyDescent="0.3">
      <c r="B17" s="1" t="s">
        <v>69</v>
      </c>
      <c r="C17" s="1">
        <v>10</v>
      </c>
      <c r="D17" s="1">
        <v>0.5</v>
      </c>
      <c r="E17" s="1">
        <v>30000</v>
      </c>
    </row>
    <row r="24" spans="2:5" ht="15.6" x14ac:dyDescent="0.3">
      <c r="B24" s="1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F44318CE80634EADC02C7E972D97D7" ma:contentTypeVersion="17" ma:contentTypeDescription="Create a new document." ma:contentTypeScope="" ma:versionID="2f88c2633ddaf198607f6be7b47e1eac">
  <xsd:schema xmlns:xsd="http://www.w3.org/2001/XMLSchema" xmlns:xs="http://www.w3.org/2001/XMLSchema" xmlns:p="http://schemas.microsoft.com/office/2006/metadata/properties" xmlns:ns2="bedcbdb6-ca6b-4967-b803-09616b3dd667" xmlns:ns3="811a0e05-925c-4166-bd6a-75d996d82a51" targetNamespace="http://schemas.microsoft.com/office/2006/metadata/properties" ma:root="true" ma:fieldsID="23c56e2ab0af0119ac6734eac38addf4" ns2:_="" ns3:_="">
    <xsd:import namespace="bedcbdb6-ca6b-4967-b803-09616b3dd667"/>
    <xsd:import namespace="811a0e05-925c-4166-bd6a-75d996d82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cbdb6-ca6b-4967-b803-09616b3dd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c020bd-11df-41b8-83ee-43f9e7b21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a0e05-925c-4166-bd6a-75d996d82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fd37991-69fe-43ed-a958-1e8c15ffb052}" ma:internalName="TaxCatchAll" ma:showField="CatchAllData" ma:web="811a0e05-925c-4166-bd6a-75d996d82a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1a0e05-925c-4166-bd6a-75d996d82a51" xsi:nil="true"/>
    <lcf76f155ced4ddcb4097134ff3c332f xmlns="bedcbdb6-ca6b-4967-b803-09616b3dd667">
      <Terms xmlns="http://schemas.microsoft.com/office/infopath/2007/PartnerControls"/>
    </lcf76f155ced4ddcb4097134ff3c332f>
    <SharedWithUsers xmlns="811a0e05-925c-4166-bd6a-75d996d82a51">
      <UserInfo>
        <DisplayName>Gustavo Imhof</DisplayName>
        <AccountId>49571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8079469-9105-4402-8012-470493F58F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cbdb6-ca6b-4967-b803-09616b3dd667"/>
    <ds:schemaRef ds:uri="811a0e05-925c-4166-bd6a-75d996d82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BF66F8-A663-4E73-A39B-EFF34BA030CF}">
  <ds:schemaRefs>
    <ds:schemaRef ds:uri="http://schemas.microsoft.com/office/2006/documentManagement/types"/>
    <ds:schemaRef ds:uri="bedcbdb6-ca6b-4967-b803-09616b3dd667"/>
    <ds:schemaRef ds:uri="http://schemas.openxmlformats.org/package/2006/metadata/core-properties"/>
    <ds:schemaRef ds:uri="http://purl.org/dc/dcmitype/"/>
    <ds:schemaRef ds:uri="http://purl.org/dc/terms/"/>
    <ds:schemaRef ds:uri="811a0e05-925c-4166-bd6a-75d996d82a51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FF2696B-1DFA-48E3-853D-07E706AAA2C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564BAFD-CBDC-4E55-AD3E-9AF449E73A0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5Y Plan </vt:lpstr>
      <vt:lpstr>Z8 and E3 Comparison with 2022</vt:lpstr>
      <vt:lpstr>Z8 and E3 Vs 2022 and 5Y Plan</vt:lpstr>
      <vt:lpstr>Swapping to Z8 and E3</vt:lpstr>
      <vt:lpstr>Z8 and E5 Comparison with 2022</vt:lpstr>
      <vt:lpstr>Z8 and E5 Vs 2022 and 5Y Plan</vt:lpstr>
      <vt:lpstr>Swapping to Z8 and E5</vt:lpstr>
      <vt:lpstr>Z5 and E5 Comparison with 2022</vt:lpstr>
      <vt:lpstr>Z5 and E5 Vs 2022 and 5Y Plan</vt:lpstr>
      <vt:lpstr>Swapping to Z5 and E5</vt:lpstr>
      <vt:lpstr>Z5 and E3 Comparison with 2022</vt:lpstr>
      <vt:lpstr>Z5 and E3 Vs 2022 and 5Y Plan</vt:lpstr>
      <vt:lpstr>Swapping to Z5 and E3</vt:lpstr>
      <vt:lpstr>Euro_Truck_SalesTransactions_w</vt:lpstr>
      <vt:lpstr>Euro_Truck_SalesTransactions</vt:lpstr>
      <vt:lpstr>Product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Aas, Andreas SIPC-PTID/DGE</dc:creator>
  <cp:keywords/>
  <dc:description/>
  <cp:lastModifiedBy>Kantharuban Neminathan</cp:lastModifiedBy>
  <cp:revision/>
  <cp:lastPrinted>2024-04-05T10:58:48Z</cp:lastPrinted>
  <dcterms:created xsi:type="dcterms:W3CDTF">2023-09-29T14:07:08Z</dcterms:created>
  <dcterms:modified xsi:type="dcterms:W3CDTF">2024-05-10T10:38:46Z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0x010100E0F44318CE80634EADC02C7E972D97D7</vt:lpwstr>
  </property>
  <property fmtid="{D5CDD505-2E9C-101B-9397-08002B2CF9AE}" pid="3" name="MSIP_Label_084814fa-f907-4bd7-b6bf-0a4e04300d59_Enabled">
    <vt:lpwstr>true</vt:lpwstr>
  </property>
  <property fmtid="{D5CDD505-2E9C-101B-9397-08002B2CF9AE}" pid="4" name="MSIP_Label_084814fa-f907-4bd7-b6bf-0a4e04300d59_SetDate">
    <vt:lpwstr>2023-10-17T06:20:42Z</vt:lpwstr>
  </property>
  <property fmtid="{D5CDD505-2E9C-101B-9397-08002B2CF9AE}" pid="5" name="MSIP_Label_084814fa-f907-4bd7-b6bf-0a4e04300d59_Method">
    <vt:lpwstr>Standard</vt:lpwstr>
  </property>
  <property fmtid="{D5CDD505-2E9C-101B-9397-08002B2CF9AE}" pid="6" name="MSIP_Label_084814fa-f907-4bd7-b6bf-0a4e04300d59_Name">
    <vt:lpwstr>AVADO Internal</vt:lpwstr>
  </property>
  <property fmtid="{D5CDD505-2E9C-101B-9397-08002B2CF9AE}" pid="7" name="MSIP_Label_084814fa-f907-4bd7-b6bf-0a4e04300d59_SiteId">
    <vt:lpwstr>0d1f8d9c-a66b-4161-b75b-11b19ddddc12</vt:lpwstr>
  </property>
  <property fmtid="{D5CDD505-2E9C-101B-9397-08002B2CF9AE}" pid="8" name="MSIP_Label_084814fa-f907-4bd7-b6bf-0a4e04300d59_ActionId">
    <vt:lpwstr>73e3e7a8-935f-4a73-9b41-942edf8a46b3</vt:lpwstr>
  </property>
  <property fmtid="{D5CDD505-2E9C-101B-9397-08002B2CF9AE}" pid="9" name="MSIP_Label_084814fa-f907-4bd7-b6bf-0a4e04300d59_ContentBits">
    <vt:lpwstr>0</vt:lpwstr>
  </property>
  <property fmtid="{D5CDD505-2E9C-101B-9397-08002B2CF9AE}" pid="10" name="MediaServiceImageTags">
    <vt:lpwstr/>
  </property>
</Properties>
</file>