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sergio/Desktop/University/5nto/LACE/LACE/Sergio i Dome/"/>
    </mc:Choice>
  </mc:AlternateContent>
  <xr:revisionPtr revIDLastSave="0" documentId="13_ncr:1_{24DDE0FA-71B7-934E-A535-1B953D3C756C}" xr6:coauthVersionLast="47" xr6:coauthVersionMax="47" xr10:uidLastSave="{00000000-0000-0000-0000-000000000000}"/>
  <bookViews>
    <workbookView xWindow="0" yWindow="840" windowWidth="34200" windowHeight="21400" xr2:uid="{C1122783-245A-4FED-BDEB-F09B1698DCDF}"/>
  </bookViews>
  <sheets>
    <sheet name="Pràctica A" sheetId="1" r:id="rId1"/>
    <sheet name="Càlcu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4" i="1" l="1"/>
  <c r="I52" i="1"/>
  <c r="J82" i="1"/>
  <c r="B16" i="1"/>
  <c r="B18" i="1"/>
  <c r="B17" i="1"/>
  <c r="E11" i="1"/>
  <c r="E15" i="1" l="1"/>
  <c r="F112" i="1" l="1"/>
  <c r="A112" i="1" s="1"/>
  <c r="F111" i="1"/>
  <c r="A111" i="1" s="1"/>
  <c r="F110" i="1"/>
  <c r="A110" i="1" s="1"/>
  <c r="F109" i="1"/>
  <c r="A109" i="1" s="1"/>
  <c r="F108" i="1"/>
  <c r="A108" i="1" s="1"/>
  <c r="F80" i="1"/>
  <c r="A80" i="1" s="1"/>
  <c r="E46" i="1"/>
  <c r="A46" i="1" s="1"/>
  <c r="F76" i="1"/>
  <c r="A76" i="1" s="1"/>
  <c r="F79" i="1"/>
  <c r="A79" i="1" s="1"/>
  <c r="F78" i="1"/>
  <c r="A78" i="1" s="1"/>
  <c r="F77" i="1"/>
  <c r="A77" i="1" s="1"/>
  <c r="E47" i="1"/>
  <c r="A47" i="1" s="1"/>
  <c r="E49" i="1"/>
  <c r="A49" i="1" s="1"/>
  <c r="E48" i="1"/>
  <c r="A48" i="1" s="1"/>
  <c r="E50" i="1"/>
  <c r="A50" i="1" s="1"/>
  <c r="E16" i="1"/>
  <c r="F119" i="1" l="1"/>
  <c r="I108" i="1" a="1"/>
  <c r="H150" i="1" s="1"/>
  <c r="I76" i="1" a="1"/>
  <c r="F86" i="1" s="1"/>
  <c r="F87" i="1"/>
  <c r="J83" i="1" s="1"/>
  <c r="F57" i="1"/>
  <c r="H46" i="1" a="1"/>
  <c r="H149" i="1" s="1"/>
  <c r="H153" i="1" s="1"/>
  <c r="I53" i="1" l="1"/>
  <c r="C165" i="1" s="1"/>
  <c r="K149" i="1"/>
  <c r="J115" i="1"/>
  <c r="C166" i="1" s="1"/>
  <c r="K150" i="1"/>
  <c r="N150" i="1" s="1"/>
  <c r="I108" i="1"/>
  <c r="C171" i="1" s="1"/>
  <c r="F118" i="1"/>
  <c r="J117" i="1"/>
  <c r="D116" i="1"/>
  <c r="C142" i="1" s="1"/>
  <c r="C116" i="1"/>
  <c r="H46" i="1"/>
  <c r="F56" i="1"/>
  <c r="I55" i="1"/>
  <c r="I76" i="1"/>
  <c r="J84" i="1" s="1"/>
  <c r="J85" i="1"/>
  <c r="D54" i="1" l="1"/>
  <c r="C140" i="1" s="1"/>
  <c r="C170" i="1"/>
  <c r="F171" i="1"/>
  <c r="B160" i="1"/>
  <c r="B161" i="1" s="1"/>
  <c r="F169" i="1" s="1"/>
  <c r="N149" i="1"/>
  <c r="D84" i="1"/>
  <c r="C141" i="1" s="1"/>
  <c r="E84" i="1"/>
  <c r="D141" i="1" s="1"/>
  <c r="I54" i="1"/>
  <c r="E54" i="1" s="1"/>
  <c r="D140" i="1" s="1"/>
  <c r="J116" i="1"/>
  <c r="E116" i="1" s="1"/>
  <c r="D14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<sst xmlns="http://schemas.openxmlformats.org/spreadsheetml/2006/main" count="169" uniqueCount="103">
  <si>
    <t>Informe pràctica A</t>
  </si>
  <si>
    <t>Data:</t>
  </si>
  <si>
    <t>Grup pràctiques:</t>
  </si>
  <si>
    <t>Parella:</t>
  </si>
  <si>
    <t>Alumnes:</t>
  </si>
  <si>
    <t>Descripció de la mostra</t>
  </si>
  <si>
    <t>Estandarització Estoc Cu 1000ppm</t>
  </si>
  <si>
    <t>Pes CuSO4 · 5 H2O</t>
  </si>
  <si>
    <t xml:space="preserve">ml estoc Cu </t>
  </si>
  <si>
    <t>ml EDTA</t>
  </si>
  <si>
    <t>ppm Cu</t>
  </si>
  <si>
    <t>conc. Estoc Cu</t>
  </si>
  <si>
    <t>ppm</t>
  </si>
  <si>
    <t>% rsd</t>
  </si>
  <si>
    <t>%</t>
  </si>
  <si>
    <t>Instrumentació</t>
  </si>
  <si>
    <t>Preparació Patrons i mesures Absorció Atòmica</t>
  </si>
  <si>
    <t>Calibratge Patrons Externs</t>
  </si>
  <si>
    <t>Patró (ppm Cu)</t>
  </si>
  <si>
    <t>ml estoc Cu</t>
  </si>
  <si>
    <t>ml enràs</t>
  </si>
  <si>
    <t>senyal AAS</t>
  </si>
  <si>
    <t>Factor dilució</t>
  </si>
  <si>
    <t>Senyal AAS</t>
  </si>
  <si>
    <t>conc.mostra</t>
  </si>
  <si>
    <t>Int.confiança</t>
  </si>
  <si>
    <t>Mostra</t>
  </si>
  <si>
    <t>Corba Calibrat:</t>
  </si>
  <si>
    <t>pendent</t>
  </si>
  <si>
    <t>ord.origen</t>
  </si>
  <si>
    <t>n</t>
  </si>
  <si>
    <t>Comentaris:</t>
  </si>
  <si>
    <t>Calibratge Patrons Externs amb interferent</t>
  </si>
  <si>
    <t>ml etanol</t>
  </si>
  <si>
    <t>Calibratge Addició estàndard</t>
  </si>
  <si>
    <t>ml mostra</t>
  </si>
  <si>
    <t xml:space="preserve">Comparació resultats vs. Calibratge. Discusió </t>
  </si>
  <si>
    <t>Calibratge extern</t>
  </si>
  <si>
    <t>Calibratge extern amb interferent</t>
  </si>
  <si>
    <t>Addició estàndard</t>
  </si>
  <si>
    <t>Comparació estadística pendents: extern vs. addició estàndard</t>
  </si>
  <si>
    <t>Discusió dels tres mètodes de calibratge</t>
  </si>
  <si>
    <t>contingut Cu aiguardent</t>
  </si>
  <si>
    <t>Sy/x</t>
  </si>
  <si>
    <t>T_18</t>
  </si>
  <si>
    <t>Sergio Castañeiras Morales i Domènec Huerta Estradé</t>
  </si>
  <si>
    <t>Pes molar CuSO4*5H2O</t>
  </si>
  <si>
    <t>Pes molar Cu</t>
  </si>
  <si>
    <t>g/mol</t>
  </si>
  <si>
    <t>EDTA 1 : 1 Cu</t>
  </si>
  <si>
    <t>Concentració EDTA</t>
  </si>
  <si>
    <t>M</t>
  </si>
  <si>
    <t>R^2</t>
  </si>
  <si>
    <t>S_{y/x}</t>
  </si>
  <si>
    <t>F</t>
  </si>
  <si>
    <t>dof</t>
  </si>
  <si>
    <t>Ssreg</t>
  </si>
  <si>
    <t>Ssresid</t>
  </si>
  <si>
    <t>S_{xx}</t>
  </si>
  <si>
    <t>S_0</t>
  </si>
  <si>
    <t>t_{tab}</t>
  </si>
  <si>
    <t>m</t>
  </si>
  <si>
    <t>u_m</t>
  </si>
  <si>
    <t>u_n</t>
  </si>
  <si>
    <t>conc. a partir del pesatge</t>
  </si>
  <si>
    <t xml:space="preserve">GRUP 2.1 (G3) tarda - 2on torn </t>
  </si>
  <si>
    <t>conc.mostra (ppm)</t>
  </si>
  <si>
    <t>Int.confiança (ppm)</t>
  </si>
  <si>
    <t>Senyal AAS = m * [Cu] + n</t>
  </si>
  <si>
    <t xml:space="preserve">pendent </t>
  </si>
  <si>
    <t>(0.121±0.001) ppm^{-1}</t>
  </si>
  <si>
    <t>(-0.002±0.002)</t>
  </si>
  <si>
    <t>Concentració estoc (ppm)</t>
  </si>
  <si>
    <t>Senyal AAS_{avg}</t>
  </si>
  <si>
    <t>(0.075 ± 0.002) ppm^{-1}</t>
  </si>
  <si>
    <t>(0.004 ± 0.003)</t>
  </si>
  <si>
    <t>(0.164 ± 0.005) ppm^{-1}</t>
  </si>
  <si>
    <t>(0.022 ± 0.004)</t>
  </si>
  <si>
    <t>int.confiança (ppm)</t>
  </si>
  <si>
    <t>0.2±0.1</t>
  </si>
  <si>
    <t>S_{xx}_1</t>
  </si>
  <si>
    <t>S_{xx}_2</t>
  </si>
  <si>
    <t>t_{exp}</t>
  </si>
  <si>
    <t>α</t>
  </si>
  <si>
    <t>Apliquem el test t per a pendents:</t>
  </si>
  <si>
    <t>(S_{y/x})02</t>
  </si>
  <si>
    <t>S_{b1-b2}</t>
  </si>
  <si>
    <t>iii) Càlcul de l'estadístic t</t>
  </si>
  <si>
    <t>Test F</t>
  </si>
  <si>
    <t>S_{y/x}_1</t>
  </si>
  <si>
    <t>n_1</t>
  </si>
  <si>
    <t>dof_1</t>
  </si>
  <si>
    <t>S_{y/x}_2</t>
  </si>
  <si>
    <t>n_2</t>
  </si>
  <si>
    <t>dof_2</t>
  </si>
  <si>
    <t>F_{crítica}</t>
  </si>
  <si>
    <t>Valor tabulat a un nivell de confiança del 95%</t>
  </si>
  <si>
    <t>F_{exp}</t>
  </si>
  <si>
    <t>m_1</t>
  </si>
  <si>
    <t>m_2</t>
  </si>
  <si>
    <t>Vesviació estàndard de la diferència entre els pendents</t>
  </si>
  <si>
    <t>Variància mitjana:</t>
  </si>
  <si>
    <t>Descripció de la mostra (repetit)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</si>
</sst>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11" x14ac:knownFonts="1">
    <font>
      <sz val="11"/>
      <color theme="1"/>
      <name val="Calibri"/>
      <family val="2"/>
      <scheme val="minor"/>
    </font>
    <font>
      <sz val="11"/>
      <color theme="1"/>
      <name val="Arial"/>
      <family val="2"/>
    </font>
    <font>
      <b/>
      <sz val="11"/>
      <color theme="1"/>
      <name val="Arial"/>
      <family val="2"/>
    </font>
    <font>
      <b/>
      <sz val="12"/>
      <color theme="1"/>
      <name val="Arial"/>
      <family val="2"/>
    </font>
    <font>
      <i/>
      <u/>
      <sz val="11"/>
      <color theme="1"/>
      <name val="Arial"/>
      <family val="2"/>
    </font>
    <font>
      <b/>
      <sz val="14"/>
      <color theme="1"/>
      <name val="Arial"/>
      <family val="2"/>
    </font>
    <font>
      <sz val="12"/>
      <color theme="1"/>
      <name val="Arial"/>
      <family val="2"/>
    </font>
    <font>
      <sz val="12"/>
      <color rgb="FF000000"/>
      <name val="Arial"/>
      <family val="2"/>
    </font>
    <font>
      <sz val="12"/>
      <color rgb="FF000000"/>
      <name val="Helvetica"/>
      <family val="2"/>
    </font>
    <font>
      <sz val="9"/>
      <color rgb="FF000000"/>
      <name val="Arial"/>
      <family val="2"/>
    </font>
    <font>
      <sz val="11"/>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3">
    <xf numFmtId="0" fontId="0" fillId="0" borderId="0" xfId="0"/>
    <xf numFmtId="0" fontId="1" fillId="0" borderId="1" xfId="0" applyFont="1" applyBorder="1" applyAlignment="1">
      <alignment vertical="center"/>
    </xf>
    <xf numFmtId="0" fontId="1"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1" fillId="0" borderId="1" xfId="0" applyFont="1" applyBorder="1" applyAlignment="1">
      <alignment horizontal="center" vertical="center"/>
    </xf>
    <xf numFmtId="0" fontId="1" fillId="0" borderId="2" xfId="0" applyFont="1" applyBorder="1" applyAlignment="1">
      <alignment vertical="center"/>
    </xf>
    <xf numFmtId="0" fontId="1" fillId="0" borderId="11"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14" fontId="1" fillId="0" borderId="0" xfId="0" applyNumberFormat="1" applyFont="1" applyAlignment="1">
      <alignment vertical="center"/>
    </xf>
    <xf numFmtId="164" fontId="1" fillId="0" borderId="1" xfId="0" applyNumberFormat="1" applyFont="1" applyBorder="1" applyAlignment="1">
      <alignment vertical="center"/>
    </xf>
    <xf numFmtId="2" fontId="1" fillId="0" borderId="1" xfId="0" applyNumberFormat="1" applyFont="1" applyBorder="1" applyAlignment="1">
      <alignment vertical="center"/>
    </xf>
    <xf numFmtId="165" fontId="1" fillId="0" borderId="1" xfId="0" applyNumberFormat="1" applyFont="1" applyBorder="1" applyAlignment="1">
      <alignment vertical="center"/>
    </xf>
    <xf numFmtId="166" fontId="1" fillId="0" borderId="1" xfId="0" applyNumberFormat="1" applyFont="1" applyBorder="1" applyAlignment="1">
      <alignment vertical="center"/>
    </xf>
    <xf numFmtId="0" fontId="1" fillId="0" borderId="0" xfId="0" applyFont="1" applyAlignment="1">
      <alignment horizontal="center" vertical="center"/>
    </xf>
    <xf numFmtId="0" fontId="7" fillId="0" borderId="0" xfId="0" applyFont="1"/>
    <xf numFmtId="0" fontId="8" fillId="0" borderId="0" xfId="0" applyFont="1"/>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wrapText="1"/>
    </xf>
    <xf numFmtId="0" fontId="10"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wrapText="1"/>
    </xf>
    <xf numFmtId="0" fontId="1" fillId="0" borderId="2" xfId="0" applyFont="1" applyBorder="1" applyAlignment="1">
      <alignment horizontal="center" vertical="center"/>
    </xf>
    <xf numFmtId="0" fontId="1" fillId="0" borderId="11" xfId="0" applyFont="1" applyBorder="1" applyAlignment="1">
      <alignment horizontal="center" vertical="center"/>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164" fontId="1" fillId="0" borderId="2" xfId="0" applyNumberFormat="1"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6"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2" fillId="0" borderId="12"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Patró extern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6.9075280740223927E-2"/>
          <c:y val="2.5124931385914571E-2"/>
          <c:w val="0.89825699912510937"/>
          <c:h val="0.7743594585483517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5.4851719183947475E-2"/>
                  <c:y val="0.267455145868652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A'!$A$46:$A$50</c:f>
              <c:numCache>
                <c:formatCode>0.000</c:formatCode>
                <c:ptCount val="5"/>
                <c:pt idx="0">
                  <c:v>9.8072660000000006E-2</c:v>
                </c:pt>
                <c:pt idx="1">
                  <c:v>0.4903633</c:v>
                </c:pt>
                <c:pt idx="2">
                  <c:v>0.9807266</c:v>
                </c:pt>
                <c:pt idx="3">
                  <c:v>1.9614532</c:v>
                </c:pt>
                <c:pt idx="4">
                  <c:v>2.9421798000000003</c:v>
                </c:pt>
              </c:numCache>
            </c:numRef>
          </c:xVal>
          <c:yVal>
            <c:numRef>
              <c:f>'Pràctica A'!$D$46:$D$50</c:f>
              <c:numCache>
                <c:formatCode>General</c:formatCode>
                <c:ptCount val="5"/>
                <c:pt idx="0">
                  <c:v>1.0200000000000001E-2</c:v>
                </c:pt>
                <c:pt idx="1">
                  <c:v>6.0699999999999997E-2</c:v>
                </c:pt>
                <c:pt idx="2">
                  <c:v>0.1143</c:v>
                </c:pt>
                <c:pt idx="3">
                  <c:v>0.23350000000000001</c:v>
                </c:pt>
                <c:pt idx="4">
                  <c:v>0.35570000000000002</c:v>
                </c:pt>
              </c:numCache>
            </c:numRef>
          </c:yVal>
          <c:smooth val="0"/>
          <c:extLst>
            <c:ext xmlns:c16="http://schemas.microsoft.com/office/drawing/2014/chart" uri="{C3380CC4-5D6E-409C-BE32-E72D297353CC}">
              <c16:uniqueId val="{00000000-A8C5-FF4A-B625-BA6C0DDE9884}"/>
            </c:ext>
          </c:extLst>
        </c:ser>
        <c:dLbls>
          <c:showLegendKey val="0"/>
          <c:showVal val="0"/>
          <c:showCatName val="0"/>
          <c:showSerName val="0"/>
          <c:showPercent val="0"/>
          <c:showBubbleSize val="0"/>
        </c:dLbls>
        <c:axId val="546656240"/>
        <c:axId val="546621456"/>
      </c:scatterChart>
      <c:valAx>
        <c:axId val="54665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 (ppm)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21456"/>
        <c:crosses val="autoZero"/>
        <c:crossBetween val="midCat"/>
      </c:valAx>
      <c:valAx>
        <c:axId val="546621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656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Patró extern amb interferència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8010160331016645E-2"/>
                  <c:y val="0.1102197795055568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A'!$A$76:$A$80</c:f>
              <c:numCache>
                <c:formatCode>General</c:formatCode>
                <c:ptCount val="5"/>
                <c:pt idx="0">
                  <c:v>9.8072660000000006E-2</c:v>
                </c:pt>
                <c:pt idx="1">
                  <c:v>0.4903633</c:v>
                </c:pt>
                <c:pt idx="2">
                  <c:v>0.9807266</c:v>
                </c:pt>
                <c:pt idx="3">
                  <c:v>1.9614532</c:v>
                </c:pt>
                <c:pt idx="4">
                  <c:v>2.9421798000000003</c:v>
                </c:pt>
              </c:numCache>
            </c:numRef>
          </c:xVal>
          <c:yVal>
            <c:numRef>
              <c:f>'Pràctica A'!$E$76:$E$80</c:f>
              <c:numCache>
                <c:formatCode>General</c:formatCode>
                <c:ptCount val="5"/>
                <c:pt idx="0">
                  <c:v>7.3000000000000001E-3</c:v>
                </c:pt>
                <c:pt idx="1">
                  <c:v>4.0099999999999997E-2</c:v>
                </c:pt>
                <c:pt idx="2">
                  <c:v>8.0299999999999996E-2</c:v>
                </c:pt>
                <c:pt idx="3">
                  <c:v>0.15640000000000001</c:v>
                </c:pt>
                <c:pt idx="4">
                  <c:v>0.23330000000000001</c:v>
                </c:pt>
              </c:numCache>
            </c:numRef>
          </c:yVal>
          <c:smooth val="0"/>
          <c:extLst>
            <c:ext xmlns:c16="http://schemas.microsoft.com/office/drawing/2014/chart" uri="{C3380CC4-5D6E-409C-BE32-E72D297353CC}">
              <c16:uniqueId val="{00000000-10FC-0E46-9E10-40BAB6D6F9C5}"/>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Adició estàndar</a:t>
            </a:r>
          </a:p>
        </c:rich>
      </c:tx>
      <c:layout>
        <c:manualLayout>
          <c:xMode val="edge"/>
          <c:yMode val="edge"/>
          <c:x val="0.37701127980184185"/>
          <c:y val="3.0361768843183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6.0742016451723002E-2"/>
                  <c:y val="0.105248685210527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3.9199999999999999E-2</c:v>
                </c:pt>
                <c:pt idx="1">
                  <c:v>6.9399999999999989E-2</c:v>
                </c:pt>
                <c:pt idx="2">
                  <c:v>0.1008</c:v>
                </c:pt>
                <c:pt idx="3">
                  <c:v>0.1615</c:v>
                </c:pt>
                <c:pt idx="4">
                  <c:v>0.22570000000000001</c:v>
                </c:pt>
              </c:numCache>
            </c:numRef>
          </c:yVal>
          <c:smooth val="0"/>
          <c:extLst>
            <c:ext xmlns:c16="http://schemas.microsoft.com/office/drawing/2014/chart" uri="{C3380CC4-5D6E-409C-BE32-E72D297353CC}">
              <c16:uniqueId val="{00000001-CE84-2E4C-8822-6327CC287D07}"/>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Comparació de les rectes</a:t>
            </a:r>
            <a:r>
              <a:rPr lang="en-US" baseline="0"/>
              <a:t> de calibratge</a:t>
            </a:r>
          </a:p>
        </c:rich>
      </c:tx>
      <c:layout>
        <c:manualLayout>
          <c:xMode val="edge"/>
          <c:yMode val="edge"/>
          <c:x val="0.31053809253380582"/>
          <c:y val="3.44018602994038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S"/>
        </a:p>
      </c:txPr>
    </c:title>
    <c:autoTitleDeleted val="0"/>
    <c:plotArea>
      <c:layout>
        <c:manualLayout>
          <c:layoutTarget val="inner"/>
          <c:xMode val="edge"/>
          <c:yMode val="edge"/>
          <c:x val="6.9966926178487154E-2"/>
          <c:y val="0.13916943933905007"/>
          <c:w val="0.89013323176661718"/>
          <c:h val="0.69422880309199753"/>
        </c:manualLayout>
      </c:layout>
      <c:scatterChart>
        <c:scatterStyle val="lineMarker"/>
        <c:varyColors val="0"/>
        <c:ser>
          <c:idx val="0"/>
          <c:order val="0"/>
          <c:tx>
            <c:v>Adició estàndar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4459507794645013"/>
                  <c:y val="-2.29627506485984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A'!$A$108:$A$112</c:f>
              <c:numCache>
                <c:formatCode>0.000</c:formatCode>
                <c:ptCount val="5"/>
                <c:pt idx="0">
                  <c:v>3.9229064000000001E-2</c:v>
                </c:pt>
                <c:pt idx="1">
                  <c:v>0.19614532000000001</c:v>
                </c:pt>
                <c:pt idx="2">
                  <c:v>0.39229064000000002</c:v>
                </c:pt>
                <c:pt idx="3">
                  <c:v>0.78458128000000005</c:v>
                </c:pt>
                <c:pt idx="4">
                  <c:v>1.1768719200000002</c:v>
                </c:pt>
              </c:numCache>
            </c:numRef>
          </c:xVal>
          <c:yVal>
            <c:numRef>
              <c:f>'Pràctica A'!$E$108:$E$112</c:f>
              <c:numCache>
                <c:formatCode>General</c:formatCode>
                <c:ptCount val="5"/>
                <c:pt idx="0">
                  <c:v>3.9199999999999999E-2</c:v>
                </c:pt>
                <c:pt idx="1">
                  <c:v>6.9399999999999989E-2</c:v>
                </c:pt>
                <c:pt idx="2">
                  <c:v>0.1008</c:v>
                </c:pt>
                <c:pt idx="3">
                  <c:v>0.1615</c:v>
                </c:pt>
                <c:pt idx="4">
                  <c:v>0.22570000000000001</c:v>
                </c:pt>
              </c:numCache>
            </c:numRef>
          </c:yVal>
          <c:smooth val="0"/>
          <c:extLst>
            <c:ext xmlns:c16="http://schemas.microsoft.com/office/drawing/2014/chart" uri="{C3380CC4-5D6E-409C-BE32-E72D297353CC}">
              <c16:uniqueId val="{00000001-51FC-BA4C-8B39-02B9C8C5A3D1}"/>
            </c:ext>
          </c:extLst>
        </c:ser>
        <c:ser>
          <c:idx val="1"/>
          <c:order val="1"/>
          <c:tx>
            <c:v>Patró extern amb interferència</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1"/>
            <c:trendlineLbl>
              <c:layout>
                <c:manualLayout>
                  <c:x val="6.3999702707222356E-2"/>
                  <c:y val="-6.78150356655300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A'!$E$76:$E$80</c:f>
              <c:numCache>
                <c:formatCode>General</c:formatCode>
                <c:ptCount val="5"/>
                <c:pt idx="0">
                  <c:v>7.3000000000000001E-3</c:v>
                </c:pt>
                <c:pt idx="1">
                  <c:v>4.0099999999999997E-2</c:v>
                </c:pt>
                <c:pt idx="2">
                  <c:v>8.0299999999999996E-2</c:v>
                </c:pt>
                <c:pt idx="3">
                  <c:v>0.15640000000000001</c:v>
                </c:pt>
                <c:pt idx="4">
                  <c:v>0.23330000000000001</c:v>
                </c:pt>
              </c:numCache>
            </c:numRef>
          </c:xVal>
          <c:yVal>
            <c:numRef>
              <c:f>'Pràctica A'!$A$76:$A$80</c:f>
              <c:numCache>
                <c:formatCode>General</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2-51FC-BA4C-8B39-02B9C8C5A3D1}"/>
            </c:ext>
          </c:extLst>
        </c:ser>
        <c:ser>
          <c:idx val="2"/>
          <c:order val="2"/>
          <c:tx>
            <c:v>Patró extern</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1"/>
            <c:dispEq val="1"/>
            <c:trendlineLbl>
              <c:layout>
                <c:manualLayout>
                  <c:x val="0.11984742841747338"/>
                  <c:y val="-2.765777638569596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trendlineLbl>
          </c:trendline>
          <c:xVal>
            <c:numRef>
              <c:f>'Pràctica A'!$D$46:$D$50</c:f>
              <c:numCache>
                <c:formatCode>General</c:formatCode>
                <c:ptCount val="5"/>
                <c:pt idx="0">
                  <c:v>1.0200000000000001E-2</c:v>
                </c:pt>
                <c:pt idx="1">
                  <c:v>6.0699999999999997E-2</c:v>
                </c:pt>
                <c:pt idx="2">
                  <c:v>0.1143</c:v>
                </c:pt>
                <c:pt idx="3">
                  <c:v>0.23350000000000001</c:v>
                </c:pt>
                <c:pt idx="4">
                  <c:v>0.35570000000000002</c:v>
                </c:pt>
              </c:numCache>
            </c:numRef>
          </c:xVal>
          <c:yVal>
            <c:numRef>
              <c:f>'Pràctica A'!$A$46:$A$50</c:f>
              <c:numCache>
                <c:formatCode>0.000</c:formatCode>
                <c:ptCount val="5"/>
                <c:pt idx="0">
                  <c:v>9.8072660000000006E-2</c:v>
                </c:pt>
                <c:pt idx="1">
                  <c:v>0.4903633</c:v>
                </c:pt>
                <c:pt idx="2">
                  <c:v>0.9807266</c:v>
                </c:pt>
                <c:pt idx="3">
                  <c:v>1.9614532</c:v>
                </c:pt>
                <c:pt idx="4">
                  <c:v>2.9421798000000003</c:v>
                </c:pt>
              </c:numCache>
            </c:numRef>
          </c:yVal>
          <c:smooth val="0"/>
          <c:extLst>
            <c:ext xmlns:c16="http://schemas.microsoft.com/office/drawing/2014/chart" uri="{C3380CC4-5D6E-409C-BE32-E72D297353CC}">
              <c16:uniqueId val="{00000003-51FC-BA4C-8B39-02B9C8C5A3D1}"/>
            </c:ext>
          </c:extLst>
        </c:ser>
        <c:dLbls>
          <c:showLegendKey val="0"/>
          <c:showVal val="0"/>
          <c:showCatName val="0"/>
          <c:showSerName val="0"/>
          <c:showPercent val="0"/>
          <c:showBubbleSize val="0"/>
        </c:dLbls>
        <c:axId val="547061488"/>
        <c:axId val="546949248"/>
      </c:scatterChart>
      <c:valAx>
        <c:axId val="547061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Concentració de coure</a:t>
                </a:r>
                <a:r>
                  <a:rPr lang="en-GB" baseline="0"/>
                  <a:t> (ppm)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6949248"/>
        <c:crosses val="autoZero"/>
        <c:crossBetween val="midCat"/>
      </c:valAx>
      <c:valAx>
        <c:axId val="5469492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Absorbancia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crossAx val="547061488"/>
        <c:crosses val="autoZero"/>
        <c:crossBetween val="midCat"/>
      </c:valAx>
      <c:spPr>
        <a:noFill/>
        <a:ln>
          <a:noFill/>
        </a:ln>
        <a:effectLst/>
      </c:spPr>
    </c:plotArea>
    <c:legend>
      <c:legendPos val="r"/>
      <c:legendEntry>
        <c:idx val="3"/>
        <c:delete val="1"/>
      </c:legendEntry>
      <c:legendEntry>
        <c:idx val="4"/>
        <c:delete val="1"/>
      </c:legendEntry>
      <c:legendEntry>
        <c:idx val="5"/>
        <c:delete val="1"/>
      </c:legendEntry>
      <c:layout>
        <c:manualLayout>
          <c:xMode val="edge"/>
          <c:yMode val="edge"/>
          <c:x val="0.75623798328622105"/>
          <c:y val="0.15426687795058525"/>
          <c:w val="0.16371948103829503"/>
          <c:h val="0.31001412437725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https://www.boe.es/eli/es/rd/1982/05/28/1416" TargetMode="Externa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57</xdr:row>
      <xdr:rowOff>60320</xdr:rowOff>
    </xdr:from>
    <xdr:to>
      <xdr:col>5</xdr:col>
      <xdr:colOff>1757680</xdr:colOff>
      <xdr:row>68</xdr:row>
      <xdr:rowOff>1405322</xdr:rowOff>
    </xdr:to>
    <xdr:graphicFrame macro="">
      <xdr:nvGraphicFramePr>
        <xdr:cNvPr id="2" name="Chart 1">
          <a:extLst>
            <a:ext uri="{FF2B5EF4-FFF2-40B4-BE49-F238E27FC236}">
              <a16:creationId xmlns:a16="http://schemas.microsoft.com/office/drawing/2014/main" id="{022E4628-9CB8-9277-CE4D-72E263C07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87</xdr:row>
      <xdr:rowOff>14192</xdr:rowOff>
    </xdr:from>
    <xdr:to>
      <xdr:col>5</xdr:col>
      <xdr:colOff>1811973</xdr:colOff>
      <xdr:row>98</xdr:row>
      <xdr:rowOff>938344</xdr:rowOff>
    </xdr:to>
    <xdr:graphicFrame macro="">
      <xdr:nvGraphicFramePr>
        <xdr:cNvPr id="3" name="Chart 2">
          <a:extLst>
            <a:ext uri="{FF2B5EF4-FFF2-40B4-BE49-F238E27FC236}">
              <a16:creationId xmlns:a16="http://schemas.microsoft.com/office/drawing/2014/main" id="{B5743384-C1F7-ED25-ECAF-255FF15049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64892</xdr:colOff>
      <xdr:row>119</xdr:row>
      <xdr:rowOff>27810</xdr:rowOff>
    </xdr:from>
    <xdr:to>
      <xdr:col>5</xdr:col>
      <xdr:colOff>1765391</xdr:colOff>
      <xdr:row>130</xdr:row>
      <xdr:rowOff>216170</xdr:rowOff>
    </xdr:to>
    <xdr:graphicFrame macro="">
      <xdr:nvGraphicFramePr>
        <xdr:cNvPr id="4" name="Chart 3">
          <a:extLst>
            <a:ext uri="{FF2B5EF4-FFF2-40B4-BE49-F238E27FC236}">
              <a16:creationId xmlns:a16="http://schemas.microsoft.com/office/drawing/2014/main" id="{3BA154FD-C02D-6C40-8DC9-44271C38A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293316</xdr:colOff>
      <xdr:row>144</xdr:row>
      <xdr:rowOff>213211</xdr:rowOff>
    </xdr:from>
    <xdr:to>
      <xdr:col>5</xdr:col>
      <xdr:colOff>36029</xdr:colOff>
      <xdr:row>154</xdr:row>
      <xdr:rowOff>162127</xdr:rowOff>
    </xdr:to>
    <xdr:graphicFrame macro="">
      <xdr:nvGraphicFramePr>
        <xdr:cNvPr id="5" name="Chart 4">
          <a:extLst>
            <a:ext uri="{FF2B5EF4-FFF2-40B4-BE49-F238E27FC236}">
              <a16:creationId xmlns:a16="http://schemas.microsoft.com/office/drawing/2014/main" id="{F287A713-650A-0842-9F8F-39A07B830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22</xdr:row>
      <xdr:rowOff>266433</xdr:rowOff>
    </xdr:from>
    <xdr:to>
      <xdr:col>3</xdr:col>
      <xdr:colOff>399650</xdr:colOff>
      <xdr:row>30</xdr:row>
      <xdr:rowOff>346363</xdr:rowOff>
    </xdr:to>
    <xdr:sp macro="" textlink="">
      <xdr:nvSpPr>
        <xdr:cNvPr id="6" name="TextBox 5">
          <a:extLst>
            <a:ext uri="{FF2B5EF4-FFF2-40B4-BE49-F238E27FC236}">
              <a16:creationId xmlns:a16="http://schemas.microsoft.com/office/drawing/2014/main" id="{7EF9316D-5FE2-4744-E423-D9F5B0EDED58}"/>
            </a:ext>
          </a:extLst>
        </xdr:cNvPr>
        <xdr:cNvSpPr txBox="1"/>
      </xdr:nvSpPr>
      <xdr:spPr>
        <a:xfrm>
          <a:off x="0" y="5941468"/>
          <a:ext cx="4280699" cy="41474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b="0"/>
            <a:t>Per a la detecció de la concentració de coure en una mostra d’orujo, utilitzem el model 55 AA de la marca Agilent, que permet quantificar la mostra mitjançant espectroscòpia d’absorció atòmica.</a:t>
          </a:r>
        </a:p>
        <a:p>
          <a:pPr algn="ctr"/>
          <a:br>
            <a:rPr lang="en-GB" b="0"/>
          </a:br>
          <a:endParaRPr lang="en-GB" b="0"/>
        </a:p>
        <a:p>
          <a:pPr algn="ctr"/>
          <a:r>
            <a:rPr lang="en-GB" b="0"/>
            <a:t>Com a font de llum, s’empra una làmpada de càtode buit multielemental que, en aquest cas, conté coure, és a dir, l’element objecte de l’anàlisi. Aquesta làmpada emet a longituds d’ona molt específiques; concretament, ens fixem en l’emissió a 324,7 nm. Aquesta longitud d’ona és absorbida pels àtoms de coure presents en la mostra, els quals s’exciten. Així, podem determinar la concentració de coure mitjançant la diferència d’intensitat entre una mostra sense coure (el blanc) i la mostra d’orujo.</a:t>
          </a:r>
        </a:p>
        <a:p>
          <a:pPr algn="ctr"/>
          <a:br>
            <a:rPr lang="en-GB" b="0"/>
          </a:br>
          <a:endParaRPr lang="en-GB" b="0"/>
        </a:p>
        <a:p>
          <a:pPr algn="ctr"/>
          <a:r>
            <a:rPr lang="en-GB" b="0"/>
            <a:t>Després de realitzar un calibratge amb solucions patró de concentració coneguda de coure, i mitjançant la llei de Lambert-Beer, podem quantificar la concentració de coure a partir d’una recta de regressió.</a:t>
          </a:r>
        </a:p>
        <a:p>
          <a:pPr algn="ctr"/>
          <a:br>
            <a:rPr lang="en-GB" b="0"/>
          </a:br>
          <a:endParaRPr lang="en-GB" b="0"/>
        </a:p>
        <a:p>
          <a:pPr algn="ctr"/>
          <a:r>
            <a:rPr lang="en-GB" b="0"/>
            <a:t>Nota: És essencial mantenir l’equip net i lliure de residus, ja que, en tractar-se d’una tècnica de quantificació atòmica, la presència d’interferències pot provocar desviacions significatives en els resultats.</a:t>
          </a:r>
        </a:p>
      </xdr:txBody>
    </xdr:sp>
    <xdr:clientData/>
  </xdr:twoCellAnchor>
  <xdr:twoCellAnchor>
    <xdr:from>
      <xdr:col>4</xdr:col>
      <xdr:colOff>1527550</xdr:colOff>
      <xdr:row>32</xdr:row>
      <xdr:rowOff>177621</xdr:rowOff>
    </xdr:from>
    <xdr:to>
      <xdr:col>7</xdr:col>
      <xdr:colOff>834823</xdr:colOff>
      <xdr:row>38</xdr:row>
      <xdr:rowOff>195384</xdr:rowOff>
    </xdr:to>
    <xdr:sp macro="" textlink="">
      <xdr:nvSpPr>
        <xdr:cNvPr id="7" name="TextBox 6">
          <a:hlinkClick xmlns:r="http://schemas.openxmlformats.org/officeDocument/2006/relationships" r:id="rId5" tooltip="https://www.boe.es/eli/es/rd/1982/05/28/1416"/>
          <a:extLst>
            <a:ext uri="{FF2B5EF4-FFF2-40B4-BE49-F238E27FC236}">
              <a16:creationId xmlns:a16="http://schemas.microsoft.com/office/drawing/2014/main" id="{0753EC95-3AA3-4CDD-9BE1-28ABAA8C9D29}"/>
            </a:ext>
          </a:extLst>
        </xdr:cNvPr>
        <xdr:cNvSpPr txBox="1"/>
      </xdr:nvSpPr>
      <xdr:spPr>
        <a:xfrm>
          <a:off x="7501630" y="12999541"/>
          <a:ext cx="3960553" cy="2903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Reial decret 14/16/1982, de 28 de maig, pel qual s'aprova la Reglamentació tecnicosanitària per a l'elaboració, la circulació i el comerç d'aiguardents compostos, licors, aperitius sense vi base i altres begudes derivades d'alcohols naturals. </a:t>
          </a:r>
        </a:p>
        <a:p>
          <a:pPr algn="ctr"/>
          <a:endParaRPr lang="en-GB" sz="1100"/>
        </a:p>
        <a:p>
          <a:pPr algn="ctr"/>
          <a:r>
            <a:rPr lang="en-GB" sz="1100"/>
            <a:t>(Font: Boletín Oficial del Estado; https://www.boe.es/eli/es/rd/1982/05/28/1416)</a:t>
          </a:r>
        </a:p>
        <a:p>
          <a:pPr algn="ctr"/>
          <a:endParaRPr lang="en-GB" sz="1100"/>
        </a:p>
        <a:p>
          <a:pPr algn="ctr"/>
          <a:r>
            <a:rPr lang="en-GB" sz="1100"/>
            <a:t>" </a:t>
          </a:r>
          <a:r>
            <a:rPr lang="en-GB" sz="1100" i="1"/>
            <a:t>3.1 (2) - Estar exentos de materias extrañas a la composición legal y/o tradicional del producto y no contener residuos de metales pesados en cantidades mayores de las que se citan: Aguardiente - Cobre (en p.p.m.): 10 </a:t>
          </a:r>
          <a:r>
            <a:rPr lang="en-GB" sz="1100"/>
            <a:t>"</a:t>
          </a:r>
        </a:p>
      </xdr:txBody>
    </xdr:sp>
    <xdr:clientData/>
  </xdr:twoCellAnchor>
  <xdr:twoCellAnchor>
    <xdr:from>
      <xdr:col>0</xdr:col>
      <xdr:colOff>0</xdr:colOff>
      <xdr:row>31</xdr:row>
      <xdr:rowOff>304799</xdr:rowOff>
    </xdr:from>
    <xdr:to>
      <xdr:col>3</xdr:col>
      <xdr:colOff>550334</xdr:colOff>
      <xdr:row>39</xdr:row>
      <xdr:rowOff>118533</xdr:rowOff>
    </xdr:to>
    <xdr:sp macro="" textlink="">
      <xdr:nvSpPr>
        <xdr:cNvPr id="8" name="TextBox 7">
          <a:extLst>
            <a:ext uri="{FF2B5EF4-FFF2-40B4-BE49-F238E27FC236}">
              <a16:creationId xmlns:a16="http://schemas.microsoft.com/office/drawing/2014/main" id="{F66882DF-A10E-6D8C-A4A9-5E5570AF2A66}"/>
            </a:ext>
          </a:extLst>
        </xdr:cNvPr>
        <xdr:cNvSpPr txBox="1"/>
      </xdr:nvSpPr>
      <xdr:spPr>
        <a:xfrm>
          <a:off x="0" y="10591799"/>
          <a:ext cx="4428067" cy="3496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La mostra analitzada és una “aguardiente de orujo” de la marca "Pazo de Usía", amb un contingut alcohòlic del 40% en volum. El producte no especifica la concentració de coure present i pertany al lot L-J 5102</a:t>
          </a:r>
        </a:p>
        <a:p>
          <a:pPr algn="ctr"/>
          <a:endParaRPr lang="en-GB" sz="1100"/>
        </a:p>
        <a:p>
          <a:pPr algn="ctr"/>
          <a:endParaRPr lang="en-GB" sz="1100"/>
        </a:p>
        <a:p>
          <a:pPr algn="ctr"/>
          <a:endParaRPr lang="en-GB" sz="1100"/>
        </a:p>
        <a:p>
          <a:pPr algn="ctr"/>
          <a:r>
            <a:rPr lang="en-GB" sz="1100"/>
            <a:t>La presència del coure en aquest tipus de begudes sol ser deguda al fet que sovint es fan servir tubs de coure en el procés de destil·lació, la qual cosa comporta una contaminació mínima. Segons el Reial decret 14/16/1982, la concentració màxima permesa de coure en aiguardents com l’orujo és de 10 ppm. Ara bé, els nivells de coure s’han reduït considerablement en els darrers anys gràcies a millores en els processos de fabricació. S'espera una concentració de coure significativament inferior a 10 ppm, doncs aquesta regulació porta vigent</a:t>
          </a:r>
          <a:r>
            <a:rPr lang="en-GB" sz="1100" baseline="0"/>
            <a:t> desde 1982 (fa 43 anys3333)</a:t>
          </a:r>
          <a:r>
            <a:rPr lang="en-GB" sz="1100"/>
            <a:t> </a:t>
          </a:r>
        </a:p>
        <a:p>
          <a:pPr algn="ctr"/>
          <a:endParaRPr lang="en-GB" sz="1100"/>
        </a:p>
        <a:p>
          <a:pPr algn="ctr"/>
          <a:endParaRPr lang="en-GB" sz="1100"/>
        </a:p>
      </xdr:txBody>
    </xdr:sp>
    <xdr:clientData/>
  </xdr:twoCellAnchor>
  <xdr:twoCellAnchor>
    <xdr:from>
      <xdr:col>6</xdr:col>
      <xdr:colOff>135465</xdr:colOff>
      <xdr:row>9</xdr:row>
      <xdr:rowOff>262467</xdr:rowOff>
    </xdr:from>
    <xdr:to>
      <xdr:col>10</xdr:col>
      <xdr:colOff>745066</xdr:colOff>
      <xdr:row>16</xdr:row>
      <xdr:rowOff>59267</xdr:rowOff>
    </xdr:to>
    <xdr:sp macro="" textlink="">
      <xdr:nvSpPr>
        <xdr:cNvPr id="9" name="TextBox 8">
          <a:extLst>
            <a:ext uri="{FF2B5EF4-FFF2-40B4-BE49-F238E27FC236}">
              <a16:creationId xmlns:a16="http://schemas.microsoft.com/office/drawing/2014/main" id="{B6A646F5-25EF-BE7A-B7E9-769A939BCB94}"/>
            </a:ext>
          </a:extLst>
        </xdr:cNvPr>
        <xdr:cNvSpPr txBox="1"/>
      </xdr:nvSpPr>
      <xdr:spPr>
        <a:xfrm>
          <a:off x="9567332" y="2192867"/>
          <a:ext cx="5088467" cy="1871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Aquesta estimació parteix de la hipòtesi que el sulfat de coure es troba completament en la seva forma pentahidratada. Tanmateix, es realitzarà una valoració per determinar amb exactitud la concentració de coure present en el patró.</a:t>
          </a:r>
        </a:p>
      </xdr:txBody>
    </xdr:sp>
    <xdr:clientData/>
  </xdr:twoCellAnchor>
  <xdr:twoCellAnchor>
    <xdr:from>
      <xdr:col>0</xdr:col>
      <xdr:colOff>1464733</xdr:colOff>
      <xdr:row>70</xdr:row>
      <xdr:rowOff>16932</xdr:rowOff>
    </xdr:from>
    <xdr:to>
      <xdr:col>5</xdr:col>
      <xdr:colOff>1847273</xdr:colOff>
      <xdr:row>72</xdr:row>
      <xdr:rowOff>69273</xdr:rowOff>
    </xdr:to>
    <xdr:sp macro="" textlink="">
      <xdr:nvSpPr>
        <xdr:cNvPr id="10" name="TextBox 9">
          <a:extLst>
            <a:ext uri="{FF2B5EF4-FFF2-40B4-BE49-F238E27FC236}">
              <a16:creationId xmlns:a16="http://schemas.microsoft.com/office/drawing/2014/main" id="{A8203F95-3BE4-A067-274C-DF04B84EFEA9}"/>
            </a:ext>
          </a:extLst>
        </xdr:cNvPr>
        <xdr:cNvSpPr txBox="1"/>
      </xdr:nvSpPr>
      <xdr:spPr>
        <a:xfrm>
          <a:off x="1464733" y="23765932"/>
          <a:ext cx="8256540" cy="234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Durant la presa de mesures, l’espectrofotòmetre d’absorció atòmica (AAS) realitza tres replicats per a cada solució analitzada. Tot i això, les mesures només difereixen en ±0,0006 unitats de senyal, i es pren el valor mitjà com a representatiu. Es podria argumentar que un nombre més elevat de replicats proporcionaria un valor mitjà més robust. Tanmateix, obtenim un coeficient de correlació de Pearson (r²) de 0,9997, un valor altament satisfactori que justifica no incrementar el nombre de mesures per mostra.</a:t>
          </a:r>
          <a:br>
            <a:rPr lang="en-GB"/>
          </a:br>
          <a:endParaRPr lang="en-GB"/>
        </a:p>
        <a:p>
          <a:pPr algn="ctr"/>
          <a:r>
            <a:rPr lang="en-GB"/>
            <a:t>El procediment, a grans trets, consisteix a elaborar una corba de calibratge a partir de patrons de concentració coneguda, mesurar la senyal corresponent a cada patró, calcular una recta de regressió per mínims quadrats i interpolar la senyal de la mostra per obtenir-ne la concentració.</a:t>
          </a:r>
          <a:br>
            <a:rPr lang="en-GB"/>
          </a:br>
          <a:endParaRPr lang="en-GB"/>
        </a:p>
        <a:p>
          <a:pPr algn="ctr"/>
          <a:r>
            <a:rPr lang="en-GB"/>
            <a:t>Mitjançant aquest mètode, s’obté una concentració </a:t>
          </a:r>
          <a:r>
            <a:rPr lang="en-GB" b="0"/>
            <a:t>de (0,2 ± 0,1) ppm </a:t>
          </a:r>
          <a:r>
            <a:rPr lang="en-GB"/>
            <a:t>per a la mostra analitzada. Cal destacar, però, que aquesta concentració es troba a la part més baixa de l’interval de calibratge, fet que contribueix a un interval de confiança relativament ampli. Hauríem obtingut resultats més precisos si el calibratge s’hagués fet amb patrons de concentracions més baixes, per exemple, sense superar 1 ppm.</a:t>
          </a:r>
        </a:p>
      </xdr:txBody>
    </xdr:sp>
    <xdr:clientData/>
  </xdr:twoCellAnchor>
  <xdr:twoCellAnchor>
    <xdr:from>
      <xdr:col>0</xdr:col>
      <xdr:colOff>1401606</xdr:colOff>
      <xdr:row>100</xdr:row>
      <xdr:rowOff>13508</xdr:rowOff>
    </xdr:from>
    <xdr:to>
      <xdr:col>6</xdr:col>
      <xdr:colOff>1</xdr:colOff>
      <xdr:row>102</xdr:row>
      <xdr:rowOff>6756</xdr:rowOff>
    </xdr:to>
    <xdr:sp macro="" textlink="">
      <xdr:nvSpPr>
        <xdr:cNvPr id="11" name="TextBox 10">
          <a:extLst>
            <a:ext uri="{FF2B5EF4-FFF2-40B4-BE49-F238E27FC236}">
              <a16:creationId xmlns:a16="http://schemas.microsoft.com/office/drawing/2014/main" id="{8A3035F6-39B1-75E1-87E7-9D6ABEBBE98C}"/>
            </a:ext>
          </a:extLst>
        </xdr:cNvPr>
        <xdr:cNvSpPr txBox="1"/>
      </xdr:nvSpPr>
      <xdr:spPr>
        <a:xfrm>
          <a:off x="1401606" y="34862834"/>
          <a:ext cx="8343835" cy="21252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Les dades d’absorbància obtingudes durant el calibratge amb patró extern en presència d’etanol com a interferent són superiors a les obtingudes en absència d’aquest compost. Això indica que la presència d’etanol a la mostra incrementa l’absorbància registrada per l’equip, tot i que la concentració de coure es manté constant.</a:t>
          </a:r>
          <a:br>
            <a:rPr lang="en-GB" b="0"/>
          </a:br>
          <a:endParaRPr lang="en-GB" b="0"/>
        </a:p>
        <a:p>
          <a:pPr algn="ctr"/>
          <a:r>
            <a:rPr lang="en-GB" b="0"/>
            <a:t>Aquest fenomen s’explica pel fet que l’etanol augmenta la volatilitat de la mostra i dels patrons. Com a conseqüència, el procés de nebulització durant la injecció és més eficient, i es genera una major quantitat d’aerosol que arriba al sistema de detecció, donant lloc a senyals més altes.</a:t>
          </a:r>
          <a:br>
            <a:rPr lang="en-GB" b="0"/>
          </a:br>
          <a:endParaRPr lang="en-GB" b="0"/>
        </a:p>
        <a:p>
          <a:pPr algn="ctr"/>
          <a:r>
            <a:rPr lang="en-GB" b="0"/>
            <a:t>La presència d’etanol, per tant, augmenta la sensibilitat del sistema, fet que es reflecteix en una pendent més pronunciada de la recta de calibratge. Tot i així, la diferència respecte al calibratge sense interferent no és gaire significativa, ja que la concentració obtinguda continua essent (0,2 ± 0,1) ppm, en concordança amb els resultats anteriors. Cal destacar també que el coeficient de correlació de Pearson és excel·lent, amb un r² = 0,9998.</a:t>
          </a:r>
        </a:p>
      </xdr:txBody>
    </xdr:sp>
    <xdr:clientData/>
  </xdr:twoCellAnchor>
  <xdr:twoCellAnchor>
    <xdr:from>
      <xdr:col>0</xdr:col>
      <xdr:colOff>1367118</xdr:colOff>
      <xdr:row>132</xdr:row>
      <xdr:rowOff>7471</xdr:rowOff>
    </xdr:from>
    <xdr:to>
      <xdr:col>5</xdr:col>
      <xdr:colOff>1852706</xdr:colOff>
      <xdr:row>134</xdr:row>
      <xdr:rowOff>7470</xdr:rowOff>
    </xdr:to>
    <xdr:sp macro="" textlink="">
      <xdr:nvSpPr>
        <xdr:cNvPr id="12" name="TextBox 11">
          <a:extLst>
            <a:ext uri="{FF2B5EF4-FFF2-40B4-BE49-F238E27FC236}">
              <a16:creationId xmlns:a16="http://schemas.microsoft.com/office/drawing/2014/main" id="{7AE2E5AF-FBBA-6F90-D150-55DF08A3492E}"/>
            </a:ext>
          </a:extLst>
        </xdr:cNvPr>
        <xdr:cNvSpPr txBox="1"/>
      </xdr:nvSpPr>
      <xdr:spPr>
        <a:xfrm>
          <a:off x="1367118" y="45167177"/>
          <a:ext cx="8038353" cy="1636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El mètode d’addició estàndard té en compte l’efecte matriu, fet que, a priori, el converteix en la tècnica que pot oferir els resultats més precisos. Tanmateix, en aquest cas, la diferència amb els mètodes de calibratge extern no és gaire significativa, ja que el resultat obtingut és el mateix.</a:t>
          </a:r>
          <a:br>
            <a:rPr lang="en-GB" b="0"/>
          </a:br>
          <a:endParaRPr lang="en-GB" b="0"/>
        </a:p>
        <a:p>
          <a:pPr algn="ctr"/>
          <a:r>
            <a:rPr lang="en-GB" b="0"/>
            <a:t>Aquest fet es pot explicar per una observació prèvia, l’interval de calibratge emprat no és representatiu de la concentració real de la mostra. Un calibratge més adequat, amb concentracions més baixes (per exemple, per sota d’1 ppm), hauria permès observar diferències més marcades entre els mètodes i obtenir resultats més precisos, amb intèrvals de confiança més petits.</a:t>
          </a:r>
          <a:br>
            <a:rPr lang="en-GB" b="0"/>
          </a:br>
          <a:endParaRPr lang="en-GB" b="0"/>
        </a:p>
        <a:p>
          <a:pPr algn="ctr"/>
          <a:r>
            <a:rPr lang="en-GB" b="0"/>
            <a:t>D’altra banda, cal remarcar que el mètode d’addició estàndard no és el més eficient en termes pràctics, ja que la preparació dels patrons implica més temps i recursos. Malgrat això, la recta de regressió obtinguda mostra un ajust lineal molt satisfactori (r² = 0,9993), i la concentració de coure obtinguda és coherent amb els resultats anteriors: (0,2 ± 0,1) ppm.</a:t>
          </a:r>
        </a:p>
      </xdr:txBody>
    </xdr:sp>
    <xdr:clientData/>
  </xdr:twoCellAnchor>
  <xdr:twoCellAnchor>
    <xdr:from>
      <xdr:col>0</xdr:col>
      <xdr:colOff>16531</xdr:colOff>
      <xdr:row>173</xdr:row>
      <xdr:rowOff>279008</xdr:rowOff>
    </xdr:from>
    <xdr:to>
      <xdr:col>5</xdr:col>
      <xdr:colOff>63051</xdr:colOff>
      <xdr:row>182</xdr:row>
      <xdr:rowOff>1067153</xdr:rowOff>
    </xdr:to>
    <xdr:sp macro="" textlink="">
      <xdr:nvSpPr>
        <xdr:cNvPr id="14" name="TextBox 13">
          <a:extLst>
            <a:ext uri="{FF2B5EF4-FFF2-40B4-BE49-F238E27FC236}">
              <a16:creationId xmlns:a16="http://schemas.microsoft.com/office/drawing/2014/main" id="{E0AA0331-4103-CE68-D754-7EEBC9D3D34F}"/>
            </a:ext>
          </a:extLst>
        </xdr:cNvPr>
        <xdr:cNvSpPr txBox="1"/>
      </xdr:nvSpPr>
      <xdr:spPr>
        <a:xfrm>
          <a:off x="16531" y="59766161"/>
          <a:ext cx="7922284" cy="38661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b="0"/>
            <a:t>En primer lloc, observem que tots els mètodes utilitzats han donat lloc al mateix resultat pel que fa a la concentració de coure. Els pendents obtinguts amb el calibratge extern, tant amb com sense interferent, són similars, tot i que la mostra amb etanol presenta una pendent lleugerament superior.</a:t>
          </a:r>
          <a:br>
            <a:rPr lang="en-GB" b="0"/>
          </a:br>
          <a:endParaRPr lang="en-GB" b="0"/>
        </a:p>
        <a:p>
          <a:pPr algn="ctr"/>
          <a:r>
            <a:rPr lang="en-GB" b="0"/>
            <a:t>La presència d’etanol no interfereix directament amb l’absorció de radiació del coure ni amb la seva detecció. No obstant això, afavoreix la volatilització de la mostra, fet que millora l’eficiència del procés de nebulització i augmenta la quantitat d’àtoms en estat fonamental en fase gasosa, que és l’estat en què poden ser detectats per l’espectrofotòmetre.</a:t>
          </a:r>
          <a:br>
            <a:rPr lang="en-GB" b="0"/>
          </a:br>
          <a:endParaRPr lang="en-GB" b="0"/>
        </a:p>
        <a:p>
          <a:pPr algn="ctr"/>
          <a:r>
            <a:rPr lang="en-GB" b="0"/>
            <a:t>Així doncs, el calibratge amb patrons externs en presència d’etanol mostra una sensibilitat més alta i, mantenint constants les condicions experimentals, es pot considerar que ofereix millors resultats que el calibratge sense interferent.</a:t>
          </a:r>
          <a:br>
            <a:rPr lang="en-GB" b="0"/>
          </a:br>
          <a:endParaRPr lang="en-GB" b="0"/>
        </a:p>
        <a:p>
          <a:pPr algn="ctr"/>
          <a:r>
            <a:rPr lang="en-GB" b="0"/>
            <a:t>Tot i això, el mètode més precís des del punt de vista teòric és el d’addició estàndard, ja que és l’únic que té en compte els efectes de la matriu. En aquest cas concret, no s’han observat diferències significatives en els resultats numèrics degut al fet que tots els calibratges s’han realitzat en un interval de concentració massa elevat, poc representatiu de la mostra.</a:t>
          </a:r>
          <a:br>
            <a:rPr lang="en-GB" b="0"/>
          </a:br>
          <a:endParaRPr lang="en-GB" b="0"/>
        </a:p>
        <a:p>
          <a:pPr algn="ctr"/>
          <a:r>
            <a:rPr lang="en-GB" b="0"/>
            <a:t>Cal destacar que la comparació directa entre les rectes de calibratge dels mètodes de patró extern i d’addició estàndard no és del tot adequada, ja que en el primer cas la concentració s’obté per interpolació, mentre que en el segon es determina a partir de l’ordenada a l’origen,</a:t>
          </a:r>
          <a:r>
            <a:rPr lang="en-GB" b="0" baseline="0"/>
            <a:t> és a dir no representen el mateix.</a:t>
          </a:r>
        </a:p>
        <a:p>
          <a:pPr algn="ctr"/>
          <a:endParaRPr lang="en-GB" b="0"/>
        </a:p>
        <a:p>
          <a:pPr algn="ctr"/>
          <a:r>
            <a:rPr lang="en-GB" b="0"/>
            <a:t>En qualsevol cas, és remarcable que els resultats obtinguts amb tots els mètodes han estat consistents i molt similars, la qual cosa reforça la validesa de les dades i la fiabilitat del procés analític.</a:t>
          </a:r>
        </a:p>
      </xdr:txBody>
    </xdr:sp>
    <xdr:clientData/>
  </xdr:twoCellAnchor>
  <xdr:twoCellAnchor>
    <xdr:from>
      <xdr:col>6</xdr:col>
      <xdr:colOff>426720</xdr:colOff>
      <xdr:row>153</xdr:row>
      <xdr:rowOff>101600</xdr:rowOff>
    </xdr:from>
    <xdr:to>
      <xdr:col>12</xdr:col>
      <xdr:colOff>711200</xdr:colOff>
      <xdr:row>154</xdr:row>
      <xdr:rowOff>254000</xdr:rowOff>
    </xdr:to>
    <xdr:sp macro="" textlink="">
      <xdr:nvSpPr>
        <xdr:cNvPr id="15" name="TextBox 14">
          <a:extLst>
            <a:ext uri="{FF2B5EF4-FFF2-40B4-BE49-F238E27FC236}">
              <a16:creationId xmlns:a16="http://schemas.microsoft.com/office/drawing/2014/main" id="{19AA254D-30A8-996D-13F7-C0E40D1F16BC}"/>
            </a:ext>
          </a:extLst>
        </xdr:cNvPr>
        <xdr:cNvSpPr txBox="1"/>
      </xdr:nvSpPr>
      <xdr:spPr>
        <a:xfrm>
          <a:off x="10739120" y="52872640"/>
          <a:ext cx="6502400" cy="44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Donat</a:t>
          </a:r>
          <a:r>
            <a:rPr lang="en-GB" sz="1100" baseline="0"/>
            <a:t> que</a:t>
          </a:r>
          <a:r>
            <a:rPr lang="en-GB" sz="1100"/>
            <a:t> F_{exp} &lt; F_{crítica}, podem assumir igualtat de variàncies podem</a:t>
          </a:r>
          <a:r>
            <a:rPr lang="en-GB" sz="1100" baseline="0"/>
            <a:t> aplicar el </a:t>
          </a:r>
          <a:r>
            <a:rPr lang="en-GB" sz="1100"/>
            <a:t>test t per comparar pendents.</a:t>
          </a:r>
        </a:p>
      </xdr:txBody>
    </xdr:sp>
    <xdr:clientData/>
  </xdr:twoCellAnchor>
  <xdr:twoCellAnchor>
    <xdr:from>
      <xdr:col>6</xdr:col>
      <xdr:colOff>955040</xdr:colOff>
      <xdr:row>144</xdr:row>
      <xdr:rowOff>243840</xdr:rowOff>
    </xdr:from>
    <xdr:to>
      <xdr:col>12</xdr:col>
      <xdr:colOff>660400</xdr:colOff>
      <xdr:row>146</xdr:row>
      <xdr:rowOff>50800</xdr:rowOff>
    </xdr:to>
    <xdr:sp macro="" textlink="">
      <xdr:nvSpPr>
        <xdr:cNvPr id="16" name="TextBox 15">
          <a:extLst>
            <a:ext uri="{FF2B5EF4-FFF2-40B4-BE49-F238E27FC236}">
              <a16:creationId xmlns:a16="http://schemas.microsoft.com/office/drawing/2014/main" id="{151FA7BE-BA89-6150-6A41-3E41C6DE0EC6}"/>
            </a:ext>
          </a:extLst>
        </xdr:cNvPr>
        <xdr:cNvSpPr txBox="1"/>
      </xdr:nvSpPr>
      <xdr:spPr>
        <a:xfrm>
          <a:off x="11267440" y="50363120"/>
          <a:ext cx="5923280" cy="396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 A continuació, farem la comparició estadísitca entre els pendents extern (1) i addició estàndard (2).</a:t>
          </a:r>
        </a:p>
      </xdr:txBody>
    </xdr:sp>
    <xdr:clientData/>
  </xdr:twoCellAnchor>
  <xdr:twoCellAnchor>
    <xdr:from>
      <xdr:col>7</xdr:col>
      <xdr:colOff>487680</xdr:colOff>
      <xdr:row>167</xdr:row>
      <xdr:rowOff>60960</xdr:rowOff>
    </xdr:from>
    <xdr:to>
      <xdr:col>10</xdr:col>
      <xdr:colOff>467360</xdr:colOff>
      <xdr:row>171</xdr:row>
      <xdr:rowOff>264160</xdr:rowOff>
    </xdr:to>
    <xdr:sp macro="" textlink="">
      <xdr:nvSpPr>
        <xdr:cNvPr id="17" name="TextBox 16">
          <a:extLst>
            <a:ext uri="{FF2B5EF4-FFF2-40B4-BE49-F238E27FC236}">
              <a16:creationId xmlns:a16="http://schemas.microsoft.com/office/drawing/2014/main" id="{84F5B9C4-F581-91FD-3607-05F693E8B2F4}"/>
            </a:ext>
          </a:extLst>
        </xdr:cNvPr>
        <xdr:cNvSpPr txBox="1"/>
      </xdr:nvSpPr>
      <xdr:spPr>
        <a:xfrm>
          <a:off x="11115040" y="56367680"/>
          <a:ext cx="3576320" cy="138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Notem que t_{exp}&gt;t_{tab} i per tant aquestes pendents no són comparables.</a:t>
          </a:r>
        </a:p>
      </xdr:txBody>
    </xdr:sp>
    <xdr:clientData/>
  </xdr:twoCellAnchor>
  <xdr:twoCellAnchor>
    <xdr:from>
      <xdr:col>0</xdr:col>
      <xdr:colOff>0</xdr:colOff>
      <xdr:row>4</xdr:row>
      <xdr:rowOff>194027</xdr:rowOff>
    </xdr:from>
    <xdr:to>
      <xdr:col>3</xdr:col>
      <xdr:colOff>550334</xdr:colOff>
      <xdr:row>7</xdr:row>
      <xdr:rowOff>2213681</xdr:rowOff>
    </xdr:to>
    <xdr:sp macro="" textlink="">
      <xdr:nvSpPr>
        <xdr:cNvPr id="19" name="TextBox 18">
          <a:extLst>
            <a:ext uri="{FF2B5EF4-FFF2-40B4-BE49-F238E27FC236}">
              <a16:creationId xmlns:a16="http://schemas.microsoft.com/office/drawing/2014/main" id="{78A5F6F0-8F9A-4C44-950B-94C7AB708158}"/>
            </a:ext>
          </a:extLst>
        </xdr:cNvPr>
        <xdr:cNvSpPr txBox="1"/>
      </xdr:nvSpPr>
      <xdr:spPr>
        <a:xfrm>
          <a:off x="0" y="1040694"/>
          <a:ext cx="4739570" cy="26017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La mostra analitzada és una “aguardiente de orujo” de la marca "Pazo de Usía", amb un contingut alcohòlic del 40% en volum. El producte no especifica la concentració de coure present i pertany al lot L-J 5102</a:t>
          </a:r>
        </a:p>
        <a:p>
          <a:pPr algn="ctr"/>
          <a:endParaRPr lang="en-GB" sz="1100"/>
        </a:p>
        <a:p>
          <a:pPr algn="ctr"/>
          <a:endParaRPr lang="en-GB" sz="1100"/>
        </a:p>
        <a:p>
          <a:pPr algn="ctr"/>
          <a:endParaRPr lang="en-GB" sz="1100"/>
        </a:p>
        <a:p>
          <a:pPr algn="ctr"/>
          <a:r>
            <a:rPr lang="en-GB" sz="1100"/>
            <a:t>La presència del coure en aquest tipus de begudes sol ser deguda al fet que sovint es fan servir tubs de coure en el procés de destil·lació, la qual cosa comporta una contaminació mínima. Segons el Reial decret 14/16/1982, la concentració màxima permesa de coure en aiguardents com l’orujo és de 10 ppm. Ara bé, els nivells de coure s’han reduït considerablement en els darrers anys gràcies a millores en els processos de fabricació. S'espera una concentració de coure significativament inferior a 10 ppm, doncs aquesta regulació porta vigent</a:t>
          </a:r>
          <a:r>
            <a:rPr lang="en-GB" sz="1100" baseline="0"/>
            <a:t> desde 1982 (fa 43 anys3333)</a:t>
          </a:r>
          <a:r>
            <a:rPr lang="en-GB" sz="1100"/>
            <a:t> </a:t>
          </a:r>
        </a:p>
        <a:p>
          <a:pPr algn="ctr"/>
          <a:endParaRPr lang="en-GB" sz="1100"/>
        </a:p>
        <a:p>
          <a:pPr algn="ctr"/>
          <a:endParaRPr lang="en-GB" sz="1100"/>
        </a:p>
      </xdr:txBody>
    </xdr:sp>
    <xdr:clientData/>
  </xdr:twoCellAnchor>
  <xdr:twoCellAnchor>
    <xdr:from>
      <xdr:col>4</xdr:col>
      <xdr:colOff>60960</xdr:colOff>
      <xdr:row>4</xdr:row>
      <xdr:rowOff>50800</xdr:rowOff>
    </xdr:from>
    <xdr:to>
      <xdr:col>6</xdr:col>
      <xdr:colOff>241993</xdr:colOff>
      <xdr:row>7</xdr:row>
      <xdr:rowOff>2374883</xdr:rowOff>
    </xdr:to>
    <xdr:sp macro="" textlink="">
      <xdr:nvSpPr>
        <xdr:cNvPr id="13" name="TextBox 12">
          <a:hlinkClick xmlns:r="http://schemas.openxmlformats.org/officeDocument/2006/relationships" r:id="rId5" tooltip="https://www.boe.es/eli/es/rd/1982/05/28/1416"/>
          <a:extLst>
            <a:ext uri="{FF2B5EF4-FFF2-40B4-BE49-F238E27FC236}">
              <a16:creationId xmlns:a16="http://schemas.microsoft.com/office/drawing/2014/main" id="{ACF0F97C-AC97-894B-84D8-10B623270043}"/>
            </a:ext>
          </a:extLst>
        </xdr:cNvPr>
        <xdr:cNvSpPr txBox="1"/>
      </xdr:nvSpPr>
      <xdr:spPr>
        <a:xfrm>
          <a:off x="6035040" y="894080"/>
          <a:ext cx="3960553" cy="2903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Reial decret 14/16/1982, de 28 de maig, pel qual s'aprova la Reglamentació tecnicosanitària per a l'elaboració, la circulació i el comerç d'aiguardents compostos, licors, aperitius sense vi base i altres begudes derivades d'alcohols naturals. </a:t>
          </a:r>
        </a:p>
        <a:p>
          <a:pPr algn="ctr"/>
          <a:endParaRPr lang="en-GB" sz="1100"/>
        </a:p>
        <a:p>
          <a:pPr algn="ctr"/>
          <a:r>
            <a:rPr lang="en-GB" sz="1100"/>
            <a:t>(Font: Boletín Oficial del Estado; https://www.boe.es/eli/es/rd/1982/05/28/1416)</a:t>
          </a:r>
        </a:p>
        <a:p>
          <a:pPr algn="ctr"/>
          <a:endParaRPr lang="en-GB" sz="1100"/>
        </a:p>
        <a:p>
          <a:pPr algn="ctr"/>
          <a:r>
            <a:rPr lang="en-GB" sz="1100"/>
            <a:t>" </a:t>
          </a:r>
          <a:r>
            <a:rPr lang="en-GB" sz="1100" i="1"/>
            <a:t>3.1 (2) - Estar exentos de materias extrañas a la composición legal y/o tradicional del producto y no contener residuos de metales pesados en cantidades mayores de las que se citan: Aguardiente - Cobre (en p.p.m.): 10 </a:t>
          </a:r>
          <a:r>
            <a:rPr lang="en-GB" sz="1100"/>
            <a:t>"</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B08C8-5267-41A1-8A30-44F36ECBD8D8}">
  <dimension ref="A1:N184"/>
  <sheetViews>
    <sheetView showGridLines="0" tabSelected="1" topLeftCell="A164" zoomScale="125" zoomScaleNormal="136" workbookViewId="0">
      <selection activeCell="H8" sqref="H8"/>
    </sheetView>
  </sheetViews>
  <sheetFormatPr baseColWidth="10" defaultColWidth="11.5" defaultRowHeight="23.25" customHeight="1" x14ac:dyDescent="0.2"/>
  <cols>
    <col min="1" max="1" width="25.33203125" style="2" customWidth="1"/>
    <col min="2" max="2" width="17" style="2" customWidth="1"/>
    <col min="3" max="3" width="12.6640625" style="2" customWidth="1"/>
    <col min="4" max="4" width="23.33203125" style="2" customWidth="1"/>
    <col min="5" max="5" width="25" style="2" customWidth="1"/>
    <col min="6" max="6" width="24.5" style="2" customWidth="1"/>
    <col min="7" max="7" width="11.5" style="2"/>
    <col min="8" max="8" width="17.6640625" style="2" customWidth="1"/>
    <col min="9" max="9" width="18" style="2" customWidth="1"/>
    <col min="10" max="16384" width="11.5" style="2"/>
  </cols>
  <sheetData>
    <row r="1" spans="1:11" ht="21" customHeight="1" x14ac:dyDescent="0.2">
      <c r="A1" s="3" t="s">
        <v>0</v>
      </c>
      <c r="E1" s="4" t="s">
        <v>1</v>
      </c>
      <c r="F1" s="16">
        <v>45782</v>
      </c>
    </row>
    <row r="2" spans="1:11" s="5" customFormat="1" ht="15" customHeight="1" x14ac:dyDescent="0.2">
      <c r="A2" s="4" t="s">
        <v>2</v>
      </c>
      <c r="B2" s="22" t="s">
        <v>65</v>
      </c>
      <c r="E2" s="4" t="s">
        <v>3</v>
      </c>
      <c r="F2" s="23" t="s">
        <v>44</v>
      </c>
    </row>
    <row r="3" spans="1:11" s="5" customFormat="1" ht="15" customHeight="1" x14ac:dyDescent="0.2">
      <c r="A3" s="4" t="s">
        <v>4</v>
      </c>
      <c r="B3" s="5" t="s">
        <v>45</v>
      </c>
    </row>
    <row r="4" spans="1:11" s="5" customFormat="1" ht="15" customHeight="1" x14ac:dyDescent="0.2">
      <c r="A4" s="4"/>
    </row>
    <row r="5" spans="1:11" s="5" customFormat="1" ht="15" customHeight="1" x14ac:dyDescent="0.2">
      <c r="A5" s="4" t="s">
        <v>5</v>
      </c>
    </row>
    <row r="6" spans="1:11" ht="15" customHeight="1" x14ac:dyDescent="0.2">
      <c r="A6" s="6"/>
    </row>
    <row r="7" spans="1:11" ht="15" customHeight="1" x14ac:dyDescent="0.2">
      <c r="A7" s="6"/>
    </row>
    <row r="8" spans="1:11" ht="195" customHeight="1" x14ac:dyDescent="0.2">
      <c r="A8" s="6"/>
    </row>
    <row r="9" spans="1:11" ht="23.25" customHeight="1" x14ac:dyDescent="0.2">
      <c r="A9" s="4" t="s">
        <v>6</v>
      </c>
    </row>
    <row r="10" spans="1:11" ht="23.25" customHeight="1" x14ac:dyDescent="0.2">
      <c r="G10"/>
    </row>
    <row r="11" spans="1:11" ht="23.25" customHeight="1" x14ac:dyDescent="0.2">
      <c r="A11" s="1" t="s">
        <v>7</v>
      </c>
      <c r="B11" s="1">
        <v>0.98360000000000003</v>
      </c>
      <c r="D11" s="25" t="s">
        <v>64</v>
      </c>
      <c r="E11" s="19">
        <f>10^3*B11*E13/(E12*B12)</f>
        <v>1.0013231968280032</v>
      </c>
      <c r="F11" s="24" t="s">
        <v>12</v>
      </c>
      <c r="G11"/>
      <c r="J11"/>
      <c r="K11"/>
    </row>
    <row r="12" spans="1:11" ht="23.25" customHeight="1" x14ac:dyDescent="0.2">
      <c r="A12" s="1" t="s">
        <v>8</v>
      </c>
      <c r="B12" s="1">
        <v>250</v>
      </c>
      <c r="D12" s="25" t="s">
        <v>46</v>
      </c>
      <c r="E12" s="1">
        <v>249.685</v>
      </c>
      <c r="F12" s="24" t="s">
        <v>48</v>
      </c>
      <c r="G12"/>
      <c r="I12"/>
      <c r="J12"/>
      <c r="K12"/>
    </row>
    <row r="13" spans="1:11" ht="23.25" customHeight="1" x14ac:dyDescent="0.2">
      <c r="D13" s="25" t="s">
        <v>47</v>
      </c>
      <c r="E13" s="1">
        <v>63.545999999999999</v>
      </c>
      <c r="F13" s="24" t="s">
        <v>48</v>
      </c>
      <c r="G13"/>
      <c r="I13"/>
      <c r="J13"/>
      <c r="K13"/>
    </row>
    <row r="14" spans="1:11" ht="23.25" customHeight="1" x14ac:dyDescent="0.2">
      <c r="D14" s="6"/>
      <c r="F14" s="6"/>
      <c r="I14"/>
      <c r="J14"/>
      <c r="K14"/>
    </row>
    <row r="15" spans="1:11" ht="23.25" customHeight="1" x14ac:dyDescent="0.2">
      <c r="A15" s="24" t="s">
        <v>9</v>
      </c>
      <c r="B15" s="24" t="s">
        <v>10</v>
      </c>
      <c r="D15" s="24" t="s">
        <v>11</v>
      </c>
      <c r="E15" s="19">
        <f>AVERAGE(B16:B18)</f>
        <v>980.72659999999996</v>
      </c>
      <c r="F15" s="24" t="s">
        <v>12</v>
      </c>
      <c r="I15"/>
      <c r="J15"/>
      <c r="K15"/>
    </row>
    <row r="16" spans="1:11" ht="23.25" customHeight="1" x14ac:dyDescent="0.2">
      <c r="A16" s="1">
        <v>15.4</v>
      </c>
      <c r="B16" s="1">
        <f>10^3*(A16*$B$20*$E$13)/(25)</f>
        <v>978.60839999999996</v>
      </c>
      <c r="D16" s="24" t="s">
        <v>13</v>
      </c>
      <c r="E16" s="19">
        <f>STDEV(B16:B20)/E15*100</f>
        <v>49.999658420592098</v>
      </c>
      <c r="F16" s="24" t="s">
        <v>14</v>
      </c>
      <c r="H16"/>
      <c r="I16"/>
      <c r="J16"/>
      <c r="K16"/>
    </row>
    <row r="17" spans="1:7" ht="23.25" customHeight="1" x14ac:dyDescent="0.2">
      <c r="A17" s="1">
        <v>15.4</v>
      </c>
      <c r="B17" s="1">
        <f>10^3*(A17*$B$20*$E$13)/(25)</f>
        <v>978.60839999999996</v>
      </c>
    </row>
    <row r="18" spans="1:7" ht="23.25" customHeight="1" x14ac:dyDescent="0.2">
      <c r="A18" s="1">
        <v>15.5</v>
      </c>
      <c r="B18" s="1">
        <f>10^3*(A18*$B$20*$E$13)/(25)</f>
        <v>984.96300000000008</v>
      </c>
    </row>
    <row r="19" spans="1:7" ht="23.25" customHeight="1" x14ac:dyDescent="0.2">
      <c r="A19" s="6" t="s">
        <v>49</v>
      </c>
    </row>
    <row r="20" spans="1:7" ht="23.25" customHeight="1" x14ac:dyDescent="0.2">
      <c r="A20" s="24" t="s">
        <v>50</v>
      </c>
      <c r="B20" s="1">
        <v>2.5000000000000001E-2</v>
      </c>
      <c r="C20" s="24" t="s">
        <v>51</v>
      </c>
    </row>
    <row r="23" spans="1:7" ht="23.25" customHeight="1" x14ac:dyDescent="0.2">
      <c r="A23" s="4" t="s">
        <v>15</v>
      </c>
    </row>
    <row r="24" spans="1:7" ht="23.25" customHeight="1" x14ac:dyDescent="0.2">
      <c r="A24" s="28"/>
      <c r="B24" s="21"/>
      <c r="C24" s="21"/>
      <c r="D24" s="21"/>
      <c r="E24" s="21"/>
      <c r="F24" s="21"/>
      <c r="G24" s="21"/>
    </row>
    <row r="25" spans="1:7" ht="23.25" customHeight="1" x14ac:dyDescent="0.2">
      <c r="A25" s="21"/>
      <c r="B25" s="21"/>
      <c r="C25" s="21"/>
      <c r="D25" s="21"/>
      <c r="E25" s="21"/>
      <c r="F25" s="21"/>
      <c r="G25" s="21"/>
    </row>
    <row r="26" spans="1:7" ht="23.25" customHeight="1" x14ac:dyDescent="0.2">
      <c r="A26" s="21"/>
      <c r="B26" s="21"/>
      <c r="C26" s="21"/>
      <c r="D26" s="21"/>
      <c r="E26" s="21"/>
      <c r="F26" s="21"/>
      <c r="G26" s="21"/>
    </row>
    <row r="27" spans="1:7" ht="23.25" customHeight="1" x14ac:dyDescent="0.2">
      <c r="A27" s="21"/>
      <c r="B27" s="21"/>
      <c r="C27" s="21"/>
      <c r="D27" s="21"/>
      <c r="E27" s="21"/>
      <c r="F27" s="21"/>
      <c r="G27" s="21"/>
    </row>
    <row r="28" spans="1:7" ht="23.25" customHeight="1" x14ac:dyDescent="0.2">
      <c r="A28" s="21"/>
      <c r="B28" s="21"/>
      <c r="C28" s="21"/>
      <c r="D28" s="21"/>
      <c r="E28" s="21"/>
      <c r="F28" s="21"/>
      <c r="G28" s="21"/>
    </row>
    <row r="29" spans="1:7" ht="75" customHeight="1" x14ac:dyDescent="0.2">
      <c r="A29" s="21"/>
      <c r="B29" s="21"/>
      <c r="C29" s="21"/>
      <c r="D29" s="21"/>
      <c r="E29" s="21"/>
      <c r="F29" s="21"/>
      <c r="G29" s="21"/>
    </row>
    <row r="30" spans="1:7" ht="107" customHeight="1" x14ac:dyDescent="0.2">
      <c r="A30" s="21"/>
      <c r="B30" s="21"/>
      <c r="C30" s="21"/>
      <c r="D30" s="21"/>
      <c r="E30" s="21"/>
      <c r="F30" s="21"/>
      <c r="G30" s="21"/>
    </row>
    <row r="31" spans="1:7" ht="32" customHeight="1" x14ac:dyDescent="0.2">
      <c r="A31" s="21"/>
      <c r="B31" s="21"/>
      <c r="C31" s="21"/>
      <c r="D31" s="21"/>
      <c r="E31" s="21"/>
      <c r="F31" s="21"/>
      <c r="G31" s="21"/>
    </row>
    <row r="32" spans="1:7" ht="24" customHeight="1" x14ac:dyDescent="0.2">
      <c r="A32" s="4" t="s">
        <v>102</v>
      </c>
    </row>
    <row r="33" spans="1:10" ht="23.25" customHeight="1" x14ac:dyDescent="0.2">
      <c r="A33" s="30"/>
      <c r="B33" s="31"/>
      <c r="C33" s="31"/>
      <c r="D33" s="31"/>
      <c r="F33" s="32"/>
      <c r="G33" s="32"/>
      <c r="H33" s="32"/>
    </row>
    <row r="34" spans="1:10" ht="23.25" customHeight="1" x14ac:dyDescent="0.2">
      <c r="A34" s="31"/>
      <c r="B34" s="31"/>
      <c r="C34" s="31"/>
      <c r="D34" s="31"/>
      <c r="F34" s="33"/>
      <c r="G34" s="33"/>
      <c r="H34" s="33"/>
      <c r="I34" s="33"/>
    </row>
    <row r="35" spans="1:10" ht="23.25" customHeight="1" x14ac:dyDescent="0.2">
      <c r="A35" s="31"/>
      <c r="B35" s="31"/>
      <c r="C35" s="31"/>
      <c r="D35" s="31"/>
      <c r="F35" s="33"/>
      <c r="G35" s="33"/>
      <c r="H35" s="33"/>
      <c r="I35" s="33"/>
    </row>
    <row r="36" spans="1:10" ht="23.25" customHeight="1" x14ac:dyDescent="0.2">
      <c r="A36" s="31"/>
      <c r="B36" s="31"/>
      <c r="C36" s="31"/>
      <c r="D36" s="31"/>
      <c r="F36" s="33"/>
      <c r="G36" s="33"/>
      <c r="H36" s="33"/>
      <c r="I36" s="33"/>
    </row>
    <row r="37" spans="1:10" ht="23.25" customHeight="1" x14ac:dyDescent="0.2">
      <c r="A37" s="31"/>
      <c r="B37" s="31"/>
      <c r="C37" s="31"/>
      <c r="D37" s="31"/>
      <c r="F37" s="33"/>
      <c r="G37" s="33"/>
      <c r="H37" s="33"/>
      <c r="I37" s="33"/>
    </row>
    <row r="38" spans="1:10" ht="111" customHeight="1" x14ac:dyDescent="0.2">
      <c r="A38" s="31"/>
      <c r="B38" s="31"/>
      <c r="C38" s="31"/>
      <c r="D38" s="31"/>
      <c r="F38" s="33"/>
      <c r="G38" s="33"/>
      <c r="H38" s="33"/>
      <c r="I38" s="33"/>
    </row>
    <row r="39" spans="1:10" ht="38" customHeight="1" x14ac:dyDescent="0.2">
      <c r="A39" s="31"/>
      <c r="B39" s="31"/>
      <c r="C39" s="31"/>
      <c r="D39" s="31"/>
      <c r="F39" s="33"/>
      <c r="G39" s="33"/>
      <c r="H39" s="33"/>
      <c r="I39" s="33"/>
    </row>
    <row r="40" spans="1:10" ht="14" customHeight="1" x14ac:dyDescent="0.2">
      <c r="A40" s="31"/>
      <c r="B40" s="31"/>
      <c r="C40" s="31"/>
      <c r="D40" s="31"/>
    </row>
    <row r="41" spans="1:10" ht="23.25" customHeight="1" x14ac:dyDescent="0.2">
      <c r="A41" s="4" t="s">
        <v>16</v>
      </c>
    </row>
    <row r="43" spans="1:10" ht="23.25" customHeight="1" x14ac:dyDescent="0.2">
      <c r="A43" s="7" t="s">
        <v>17</v>
      </c>
    </row>
    <row r="45" spans="1:10" ht="23.25" customHeight="1" x14ac:dyDescent="0.2">
      <c r="A45" s="24" t="s">
        <v>18</v>
      </c>
      <c r="B45" s="26" t="s">
        <v>19</v>
      </c>
      <c r="C45" s="26" t="s">
        <v>20</v>
      </c>
      <c r="D45" s="27" t="s">
        <v>21</v>
      </c>
      <c r="E45" s="24" t="s">
        <v>72</v>
      </c>
      <c r="H45" s="36" t="s">
        <v>68</v>
      </c>
      <c r="I45" s="36"/>
    </row>
    <row r="46" spans="1:10" ht="23.25" customHeight="1" x14ac:dyDescent="0.2">
      <c r="A46" s="17">
        <f>E46*B46/C46</f>
        <v>9.8072660000000006E-2</v>
      </c>
      <c r="B46" s="8">
        <v>1</v>
      </c>
      <c r="C46" s="8">
        <v>10</v>
      </c>
      <c r="D46" s="8">
        <v>1.0200000000000001E-2</v>
      </c>
      <c r="E46" s="18">
        <f>$E$15*0.001</f>
        <v>0.9807266</v>
      </c>
      <c r="G46" s="24" t="s">
        <v>61</v>
      </c>
      <c r="H46" s="17" cm="1">
        <f t="array" ref="H46:I50">LINEST(D46:D50,A46:A50,1,1)</f>
        <v>0.12085157106632907</v>
      </c>
      <c r="I46" s="17">
        <v>-1.5695025234318538E-3</v>
      </c>
      <c r="J46" s="24" t="s">
        <v>30</v>
      </c>
    </row>
    <row r="47" spans="1:10" ht="23.25" customHeight="1" x14ac:dyDescent="0.2">
      <c r="A47" s="17">
        <f t="shared" ref="A47:A50" si="0">E47*B47/C47</f>
        <v>0.4903633</v>
      </c>
      <c r="B47" s="8">
        <v>5</v>
      </c>
      <c r="C47" s="8">
        <v>10</v>
      </c>
      <c r="D47" s="8">
        <v>6.0699999999999997E-2</v>
      </c>
      <c r="E47" s="18">
        <f>$E$15*0.001</f>
        <v>0.9807266</v>
      </c>
      <c r="G47" s="24" t="s">
        <v>62</v>
      </c>
      <c r="H47" s="17">
        <v>1.1958761338284566E-3</v>
      </c>
      <c r="I47" s="17">
        <v>1.980655362177005E-3</v>
      </c>
      <c r="J47" s="24" t="s">
        <v>63</v>
      </c>
    </row>
    <row r="48" spans="1:10" ht="23.25" customHeight="1" x14ac:dyDescent="0.2">
      <c r="A48" s="17">
        <f t="shared" si="0"/>
        <v>0.9807266</v>
      </c>
      <c r="B48" s="8">
        <v>1</v>
      </c>
      <c r="C48" s="8">
        <v>10</v>
      </c>
      <c r="D48" s="8">
        <v>0.1143</v>
      </c>
      <c r="E48" s="18">
        <f>$E$15*0.01</f>
        <v>9.8072660000000003</v>
      </c>
      <c r="G48" s="24" t="s">
        <v>52</v>
      </c>
      <c r="H48" s="1">
        <v>0.99970632870898457</v>
      </c>
      <c r="I48" s="1">
        <v>2.7625005913018393E-3</v>
      </c>
      <c r="J48" s="24" t="s">
        <v>53</v>
      </c>
    </row>
    <row r="49" spans="1:10" ht="23.25" customHeight="1" x14ac:dyDescent="0.2">
      <c r="A49" s="17">
        <f t="shared" si="0"/>
        <v>1.9614532</v>
      </c>
      <c r="B49" s="8">
        <v>2</v>
      </c>
      <c r="C49" s="8">
        <v>10</v>
      </c>
      <c r="D49" s="8">
        <v>0.23350000000000001</v>
      </c>
      <c r="E49" s="18">
        <f t="shared" ref="E49:E50" si="1">$E$15*0.01</f>
        <v>9.8072660000000003</v>
      </c>
      <c r="G49" s="24" t="s">
        <v>54</v>
      </c>
      <c r="H49" s="1">
        <v>10212.503155336983</v>
      </c>
      <c r="I49" s="1">
        <v>3</v>
      </c>
      <c r="J49" s="24" t="s">
        <v>55</v>
      </c>
    </row>
    <row r="50" spans="1:10" ht="23.25" customHeight="1" x14ac:dyDescent="0.2">
      <c r="A50" s="17">
        <f t="shared" si="0"/>
        <v>2.9421798000000003</v>
      </c>
      <c r="B50" s="8">
        <v>3</v>
      </c>
      <c r="C50" s="8">
        <v>10</v>
      </c>
      <c r="D50" s="8">
        <v>0.35570000000000002</v>
      </c>
      <c r="E50" s="18">
        <f t="shared" si="1"/>
        <v>9.8072660000000003</v>
      </c>
      <c r="G50" s="24" t="s">
        <v>56</v>
      </c>
      <c r="H50" s="1">
        <v>7.7935793771449172E-2</v>
      </c>
      <c r="I50" s="1">
        <v>2.2894228550829031E-5</v>
      </c>
      <c r="J50" s="24" t="s">
        <v>57</v>
      </c>
    </row>
    <row r="51" spans="1:10" ht="23.25" customHeight="1" x14ac:dyDescent="0.2">
      <c r="B51" s="21"/>
      <c r="C51" s="21"/>
      <c r="D51" s="21"/>
    </row>
    <row r="52" spans="1:10" ht="23.25" customHeight="1" x14ac:dyDescent="0.2">
      <c r="H52" s="24" t="s">
        <v>73</v>
      </c>
      <c r="I52" s="1">
        <f>AVERAGE(D46:D50)</f>
        <v>0.15487999999999999</v>
      </c>
      <c r="J52" s="6"/>
    </row>
    <row r="53" spans="1:10" ht="23.25" customHeight="1" x14ac:dyDescent="0.2">
      <c r="B53" s="24" t="s">
        <v>22</v>
      </c>
      <c r="C53" s="24" t="s">
        <v>23</v>
      </c>
      <c r="D53" s="24" t="s">
        <v>66</v>
      </c>
      <c r="E53" s="24" t="s">
        <v>67</v>
      </c>
      <c r="H53" s="24" t="s">
        <v>58</v>
      </c>
      <c r="I53" s="1">
        <f>VARPA(A46:A50)*F57</f>
        <v>5.3362032355810687</v>
      </c>
    </row>
    <row r="54" spans="1:10" ht="23.25" customHeight="1" x14ac:dyDescent="0.2">
      <c r="A54" s="25" t="s">
        <v>26</v>
      </c>
      <c r="B54" s="1">
        <v>1</v>
      </c>
      <c r="C54" s="8">
        <v>1.66E-2</v>
      </c>
      <c r="D54" s="19">
        <f>(C54-I46)/H46</f>
        <v>0.15034560463810245</v>
      </c>
      <c r="E54" s="19">
        <f>I54*I55</f>
        <v>8.7457551360291916E-2</v>
      </c>
      <c r="H54" s="24" t="s">
        <v>59</v>
      </c>
      <c r="I54" s="1">
        <f>F56/H46*SQRT(1+1/F57+(C54-I52)^2/(H46^2*I53))</f>
        <v>2.7481233922184035E-2</v>
      </c>
    </row>
    <row r="55" spans="1:10" ht="23.25" customHeight="1" x14ac:dyDescent="0.2">
      <c r="H55" s="24" t="s">
        <v>60</v>
      </c>
      <c r="I55" s="1">
        <f>_xlfn.T.INV.2T(0.05,I49)</f>
        <v>3.1824463052837091</v>
      </c>
    </row>
    <row r="56" spans="1:10" ht="23.25" customHeight="1" x14ac:dyDescent="0.2">
      <c r="A56" s="37" t="s">
        <v>27</v>
      </c>
      <c r="B56" s="24" t="s">
        <v>69</v>
      </c>
      <c r="C56" s="39" t="s">
        <v>70</v>
      </c>
      <c r="D56" s="35"/>
      <c r="E56" s="24" t="s">
        <v>43</v>
      </c>
      <c r="F56" s="1">
        <f>I48</f>
        <v>2.7625005913018393E-3</v>
      </c>
    </row>
    <row r="57" spans="1:10" ht="23.25" customHeight="1" x14ac:dyDescent="0.2">
      <c r="A57" s="38"/>
      <c r="B57" s="24" t="s">
        <v>29</v>
      </c>
      <c r="C57" s="34" t="s">
        <v>71</v>
      </c>
      <c r="D57" s="35"/>
      <c r="E57" s="24" t="s">
        <v>30</v>
      </c>
      <c r="F57" s="1">
        <f>COUNTA(A46:A51)</f>
        <v>5</v>
      </c>
    </row>
    <row r="58" spans="1:10" ht="23.25" customHeight="1" x14ac:dyDescent="0.2">
      <c r="A58" s="12"/>
      <c r="F58" s="13"/>
    </row>
    <row r="59" spans="1:10" ht="23.25" customHeight="1" x14ac:dyDescent="0.2">
      <c r="A59" s="12"/>
      <c r="F59" s="13"/>
    </row>
    <row r="60" spans="1:10" ht="23.25" customHeight="1" x14ac:dyDescent="0.2">
      <c r="A60" s="12"/>
      <c r="F60" s="13"/>
    </row>
    <row r="61" spans="1:10" ht="23.25" customHeight="1" x14ac:dyDescent="0.2">
      <c r="A61" s="12"/>
      <c r="F61" s="13"/>
    </row>
    <row r="62" spans="1:10" ht="23.25" customHeight="1" x14ac:dyDescent="0.2">
      <c r="A62" s="12"/>
      <c r="F62" s="13"/>
    </row>
    <row r="63" spans="1:10" ht="23.25" customHeight="1" x14ac:dyDescent="0.2">
      <c r="A63" s="12"/>
      <c r="F63" s="13"/>
    </row>
    <row r="64" spans="1:10" ht="23.25" customHeight="1" x14ac:dyDescent="0.2">
      <c r="A64" s="12"/>
      <c r="F64" s="13"/>
    </row>
    <row r="65" spans="1:11" ht="23.25" customHeight="1" x14ac:dyDescent="0.2">
      <c r="A65" s="12"/>
      <c r="F65" s="13"/>
    </row>
    <row r="66" spans="1:11" ht="23.25" customHeight="1" x14ac:dyDescent="0.2">
      <c r="A66" s="12"/>
      <c r="F66" s="13"/>
    </row>
    <row r="67" spans="1:11" ht="23.25" customHeight="1" x14ac:dyDescent="0.2">
      <c r="A67" s="12"/>
      <c r="F67" s="13"/>
    </row>
    <row r="68" spans="1:11" ht="23.25" customHeight="1" x14ac:dyDescent="0.2">
      <c r="A68" s="12"/>
      <c r="F68" s="13"/>
    </row>
    <row r="69" spans="1:11" ht="113" customHeight="1" x14ac:dyDescent="0.2">
      <c r="A69" s="11"/>
      <c r="B69" s="14"/>
      <c r="C69" s="14"/>
      <c r="D69" s="14"/>
      <c r="E69" s="14"/>
      <c r="F69" s="15"/>
    </row>
    <row r="71" spans="1:11" ht="23.25" customHeight="1" x14ac:dyDescent="0.2">
      <c r="A71" s="40" t="s">
        <v>31</v>
      </c>
      <c r="B71" s="42"/>
      <c r="C71" s="43"/>
      <c r="D71" s="43"/>
      <c r="E71" s="43"/>
      <c r="F71" s="44"/>
    </row>
    <row r="72" spans="1:11" ht="158" customHeight="1" x14ac:dyDescent="0.2">
      <c r="A72" s="47"/>
      <c r="B72" s="45"/>
      <c r="C72" s="45"/>
      <c r="D72" s="45"/>
      <c r="E72" s="45"/>
      <c r="F72" s="46"/>
    </row>
    <row r="73" spans="1:11" ht="23.25" customHeight="1" x14ac:dyDescent="0.2">
      <c r="A73" s="7" t="s">
        <v>32</v>
      </c>
    </row>
    <row r="75" spans="1:11" ht="23.25" customHeight="1" x14ac:dyDescent="0.2">
      <c r="A75" s="24" t="s">
        <v>18</v>
      </c>
      <c r="B75" s="26" t="s">
        <v>19</v>
      </c>
      <c r="C75" s="26" t="s">
        <v>33</v>
      </c>
      <c r="D75" s="26" t="s">
        <v>20</v>
      </c>
      <c r="E75" s="26" t="s">
        <v>21</v>
      </c>
      <c r="F75" s="24" t="s">
        <v>72</v>
      </c>
      <c r="I75" s="40" t="s">
        <v>68</v>
      </c>
      <c r="J75" s="41"/>
    </row>
    <row r="76" spans="1:11" ht="23.25" customHeight="1" x14ac:dyDescent="0.2">
      <c r="A76" s="1">
        <f>F76*B76/D76</f>
        <v>9.8072660000000006E-2</v>
      </c>
      <c r="B76" s="8">
        <v>1</v>
      </c>
      <c r="C76" s="8">
        <v>4</v>
      </c>
      <c r="D76" s="8">
        <v>10</v>
      </c>
      <c r="E76" s="8">
        <v>7.3000000000000001E-3</v>
      </c>
      <c r="F76" s="18">
        <f>$E$15*0.001</f>
        <v>0.9807266</v>
      </c>
      <c r="H76" s="24" t="s">
        <v>61</v>
      </c>
      <c r="I76" s="1" cm="1">
        <f t="array" ref="I76:J80">LINEST(E76:E80,A76:A80,1,1)</f>
        <v>7.9177791651931465E-2</v>
      </c>
      <c r="J76" s="1">
        <v>9.7966834895460431E-4</v>
      </c>
      <c r="K76" s="24" t="s">
        <v>30</v>
      </c>
    </row>
    <row r="77" spans="1:11" ht="23.25" customHeight="1" x14ac:dyDescent="0.2">
      <c r="A77" s="1">
        <f t="shared" ref="A77:A80" si="2">F77*B77/D77</f>
        <v>0.4903633</v>
      </c>
      <c r="B77" s="8">
        <v>5</v>
      </c>
      <c r="C77" s="8">
        <v>4</v>
      </c>
      <c r="D77" s="8">
        <v>10</v>
      </c>
      <c r="E77" s="8">
        <v>4.0099999999999997E-2</v>
      </c>
      <c r="F77" s="18">
        <f>$E$15*0.001</f>
        <v>0.9807266</v>
      </c>
      <c r="H77" s="24" t="s">
        <v>62</v>
      </c>
      <c r="I77" s="1">
        <v>5.7945673949030818E-4</v>
      </c>
      <c r="J77" s="1">
        <v>9.5971820638885352E-4</v>
      </c>
      <c r="K77" s="24" t="s">
        <v>63</v>
      </c>
    </row>
    <row r="78" spans="1:11" ht="23.25" customHeight="1" x14ac:dyDescent="0.2">
      <c r="A78" s="1">
        <f t="shared" si="2"/>
        <v>0.9807266</v>
      </c>
      <c r="B78" s="8">
        <v>1</v>
      </c>
      <c r="C78" s="8">
        <v>4</v>
      </c>
      <c r="D78" s="8">
        <v>10</v>
      </c>
      <c r="E78" s="8">
        <v>8.0299999999999996E-2</v>
      </c>
      <c r="F78" s="18">
        <f>$E$15*0.01</f>
        <v>9.8072660000000003</v>
      </c>
      <c r="H78" s="24" t="s">
        <v>52</v>
      </c>
      <c r="I78" s="1">
        <v>0.99983934777450756</v>
      </c>
      <c r="J78" s="1">
        <v>1.3385580163316753E-3</v>
      </c>
      <c r="K78" s="24" t="s">
        <v>53</v>
      </c>
    </row>
    <row r="79" spans="1:11" ht="23.25" customHeight="1" x14ac:dyDescent="0.2">
      <c r="A79" s="1">
        <f t="shared" si="2"/>
        <v>1.9614532</v>
      </c>
      <c r="B79" s="8">
        <v>2</v>
      </c>
      <c r="C79" s="8">
        <v>4</v>
      </c>
      <c r="D79" s="8">
        <v>10</v>
      </c>
      <c r="E79" s="8">
        <v>0.15640000000000001</v>
      </c>
      <c r="F79" s="18">
        <f t="shared" ref="F79:F80" si="3">$E$15*0.01</f>
        <v>9.8072660000000003</v>
      </c>
      <c r="H79" s="24" t="s">
        <v>54</v>
      </c>
      <c r="I79" s="1">
        <v>18670.877631038969</v>
      </c>
      <c r="J79" s="1">
        <v>3</v>
      </c>
      <c r="K79" s="24" t="s">
        <v>55</v>
      </c>
    </row>
    <row r="80" spans="1:11" ht="23.25" customHeight="1" x14ac:dyDescent="0.2">
      <c r="A80" s="1">
        <f t="shared" si="2"/>
        <v>2.9421798000000003</v>
      </c>
      <c r="B80" s="8">
        <v>3</v>
      </c>
      <c r="C80" s="8">
        <v>4</v>
      </c>
      <c r="D80" s="8">
        <v>10</v>
      </c>
      <c r="E80" s="8">
        <v>0.23330000000000001</v>
      </c>
      <c r="F80" s="18">
        <f t="shared" si="3"/>
        <v>9.8072660000000003</v>
      </c>
      <c r="H80" s="24" t="s">
        <v>56</v>
      </c>
      <c r="I80" s="1">
        <v>3.3453312787310743E-2</v>
      </c>
      <c r="J80" s="1">
        <v>5.3752126892573688E-6</v>
      </c>
      <c r="K80" s="24" t="s">
        <v>57</v>
      </c>
    </row>
    <row r="81" spans="1:10" ht="23.25" customHeight="1" x14ac:dyDescent="0.2">
      <c r="B81" s="21"/>
      <c r="C81" s="21"/>
      <c r="D81" s="21"/>
      <c r="E81" s="21"/>
    </row>
    <row r="82" spans="1:10" ht="23.25" customHeight="1" x14ac:dyDescent="0.2">
      <c r="I82" s="24" t="s">
        <v>73</v>
      </c>
      <c r="J82" s="1">
        <f>AVERAGE(E76:E80)</f>
        <v>0.10348000000000002</v>
      </c>
    </row>
    <row r="83" spans="1:10" ht="23.25" customHeight="1" x14ac:dyDescent="0.2">
      <c r="B83" s="24" t="s">
        <v>22</v>
      </c>
      <c r="C83" s="24" t="s">
        <v>23</v>
      </c>
      <c r="D83" s="24" t="s">
        <v>66</v>
      </c>
      <c r="E83" s="24" t="s">
        <v>67</v>
      </c>
      <c r="I83" s="24" t="s">
        <v>58</v>
      </c>
      <c r="J83" s="1">
        <f>VARPA(A76:A80)*F87</f>
        <v>5.3362032355810687</v>
      </c>
    </row>
    <row r="84" spans="1:10" ht="23.25" customHeight="1" x14ac:dyDescent="0.2">
      <c r="A84" s="25" t="s">
        <v>26</v>
      </c>
      <c r="B84" s="1">
        <v>1</v>
      </c>
      <c r="C84" s="8">
        <v>1.95E-2</v>
      </c>
      <c r="D84" s="19">
        <f>(C84-J76)/I76</f>
        <v>0.23390816117304036</v>
      </c>
      <c r="E84" s="19">
        <f>J84*J85</f>
        <v>6.3904400230291536E-2</v>
      </c>
      <c r="I84" s="24" t="s">
        <v>59</v>
      </c>
      <c r="J84" s="1">
        <f>F86/I76*SQRT(1+1/F87+(C84-J82)^2/(I76^2*J83))</f>
        <v>2.0080276020429062E-2</v>
      </c>
    </row>
    <row r="85" spans="1:10" ht="23.25" customHeight="1" x14ac:dyDescent="0.2">
      <c r="I85" s="24" t="s">
        <v>60</v>
      </c>
      <c r="J85" s="1">
        <f>_xlfn.T.INV.2T(0.05,J79)</f>
        <v>3.1824463052837091</v>
      </c>
    </row>
    <row r="86" spans="1:10" ht="23.25" customHeight="1" x14ac:dyDescent="0.2">
      <c r="A86" s="37" t="s">
        <v>27</v>
      </c>
      <c r="B86" s="24" t="s">
        <v>28</v>
      </c>
      <c r="C86" s="34" t="s">
        <v>74</v>
      </c>
      <c r="D86" s="35"/>
      <c r="E86" s="24" t="s">
        <v>43</v>
      </c>
      <c r="F86" s="1">
        <f>J78</f>
        <v>1.3385580163316753E-3</v>
      </c>
    </row>
    <row r="87" spans="1:10" ht="23.25" customHeight="1" x14ac:dyDescent="0.2">
      <c r="A87" s="38"/>
      <c r="B87" s="24" t="s">
        <v>29</v>
      </c>
      <c r="C87" s="34" t="s">
        <v>75</v>
      </c>
      <c r="D87" s="35"/>
      <c r="E87" s="24" t="s">
        <v>30</v>
      </c>
      <c r="F87" s="1">
        <f>COUNTA(A76:A81)</f>
        <v>5</v>
      </c>
    </row>
    <row r="88" spans="1:10" ht="23.25" customHeight="1" x14ac:dyDescent="0.2">
      <c r="A88" s="12"/>
      <c r="F88" s="13"/>
    </row>
    <row r="89" spans="1:10" ht="23.25" customHeight="1" x14ac:dyDescent="0.2">
      <c r="A89" s="12"/>
      <c r="F89" s="13"/>
    </row>
    <row r="90" spans="1:10" ht="23.25" customHeight="1" x14ac:dyDescent="0.2">
      <c r="A90" s="12"/>
      <c r="F90" s="13"/>
    </row>
    <row r="91" spans="1:10" ht="23.25" customHeight="1" x14ac:dyDescent="0.2">
      <c r="A91" s="12"/>
      <c r="F91" s="13"/>
    </row>
    <row r="92" spans="1:10" ht="23.25" customHeight="1" x14ac:dyDescent="0.2">
      <c r="A92" s="12"/>
      <c r="F92" s="13"/>
    </row>
    <row r="93" spans="1:10" ht="23.25" customHeight="1" x14ac:dyDescent="0.2">
      <c r="A93" s="12"/>
      <c r="F93" s="13"/>
    </row>
    <row r="94" spans="1:10" ht="23.25" customHeight="1" x14ac:dyDescent="0.2">
      <c r="A94" s="12"/>
      <c r="F94" s="13"/>
    </row>
    <row r="95" spans="1:10" ht="23.25" customHeight="1" x14ac:dyDescent="0.2">
      <c r="A95" s="12"/>
      <c r="F95" s="13"/>
    </row>
    <row r="96" spans="1:10" ht="23.25" customHeight="1" x14ac:dyDescent="0.2">
      <c r="A96" s="12"/>
      <c r="F96" s="13"/>
    </row>
    <row r="97" spans="1:13" ht="23.25" customHeight="1" x14ac:dyDescent="0.2">
      <c r="A97" s="12"/>
      <c r="F97" s="13"/>
    </row>
    <row r="98" spans="1:13" ht="23.25" customHeight="1" x14ac:dyDescent="0.2">
      <c r="A98" s="12"/>
      <c r="F98" s="13"/>
    </row>
    <row r="99" spans="1:13" ht="76" customHeight="1" x14ac:dyDescent="0.2">
      <c r="A99" s="11"/>
      <c r="B99" s="14"/>
      <c r="C99" s="14"/>
      <c r="D99" s="14"/>
      <c r="E99" s="14"/>
      <c r="F99" s="15"/>
    </row>
    <row r="101" spans="1:13" ht="23.25" customHeight="1" x14ac:dyDescent="0.2">
      <c r="A101" s="40" t="s">
        <v>31</v>
      </c>
      <c r="B101" s="51"/>
      <c r="C101" s="52"/>
      <c r="D101" s="52"/>
      <c r="E101" s="52"/>
      <c r="F101" s="52"/>
    </row>
    <row r="102" spans="1:13" ht="145" customHeight="1" x14ac:dyDescent="0.2">
      <c r="A102" s="47"/>
      <c r="B102" s="52"/>
      <c r="C102" s="52"/>
      <c r="D102" s="52"/>
      <c r="E102" s="52"/>
      <c r="F102" s="52"/>
    </row>
    <row r="103" spans="1:13" ht="23.25" customHeight="1" x14ac:dyDescent="0.2">
      <c r="B103" s="31"/>
      <c r="C103" s="31"/>
      <c r="D103" s="31"/>
      <c r="E103" s="31"/>
      <c r="F103" s="31"/>
    </row>
    <row r="104" spans="1:13" ht="23.25" customHeight="1" x14ac:dyDescent="0.2">
      <c r="B104" s="31"/>
      <c r="C104" s="31"/>
      <c r="D104" s="31"/>
      <c r="E104" s="31"/>
      <c r="F104" s="31"/>
    </row>
    <row r="105" spans="1:13" ht="23.25" customHeight="1" x14ac:dyDescent="0.2">
      <c r="A105" s="7" t="s">
        <v>34</v>
      </c>
    </row>
    <row r="107" spans="1:13" ht="23.25" customHeight="1" x14ac:dyDescent="0.2">
      <c r="A107" s="24" t="s">
        <v>18</v>
      </c>
      <c r="B107" s="26" t="s">
        <v>19</v>
      </c>
      <c r="C107" s="26" t="s">
        <v>35</v>
      </c>
      <c r="D107" s="26" t="s">
        <v>20</v>
      </c>
      <c r="E107" s="26" t="s">
        <v>21</v>
      </c>
      <c r="F107" s="24" t="s">
        <v>72</v>
      </c>
      <c r="I107" s="37" t="s">
        <v>68</v>
      </c>
      <c r="J107" s="37"/>
    </row>
    <row r="108" spans="1:13" ht="23.25" customHeight="1" x14ac:dyDescent="0.2">
      <c r="A108" s="17">
        <f>F108*B108/C108</f>
        <v>3.9229064000000001E-2</v>
      </c>
      <c r="B108" s="8">
        <v>1</v>
      </c>
      <c r="C108" s="8">
        <v>25</v>
      </c>
      <c r="D108" s="8">
        <v>10</v>
      </c>
      <c r="E108" s="8">
        <v>3.9199999999999999E-2</v>
      </c>
      <c r="F108" s="18">
        <f>$E$15*0.001</f>
        <v>0.9807266</v>
      </c>
      <c r="H108" s="24" t="s">
        <v>61</v>
      </c>
      <c r="I108" s="1" cm="1">
        <f t="array" ref="I108:J112">LINEST(E108:E112,A108:A112,1,1)</f>
        <v>0.16173653521613307</v>
      </c>
      <c r="J108" s="1">
        <v>3.5568997837058428E-2</v>
      </c>
      <c r="K108" s="24" t="s">
        <v>30</v>
      </c>
      <c r="M108" s="21"/>
    </row>
    <row r="109" spans="1:13" ht="23.25" customHeight="1" x14ac:dyDescent="0.2">
      <c r="A109" s="17">
        <f>F109*B109/C109</f>
        <v>0.19614532000000001</v>
      </c>
      <c r="B109" s="8">
        <v>5</v>
      </c>
      <c r="C109" s="8">
        <v>25</v>
      </c>
      <c r="D109" s="8">
        <v>10</v>
      </c>
      <c r="E109" s="8">
        <v>6.9399999999999989E-2</v>
      </c>
      <c r="F109" s="18">
        <f>$E$15*0.001</f>
        <v>0.9807266</v>
      </c>
      <c r="H109" s="24" t="s">
        <v>62</v>
      </c>
      <c r="I109" s="1">
        <v>2.496189119342824E-3</v>
      </c>
      <c r="J109" s="1">
        <v>1.6537131980070004E-3</v>
      </c>
      <c r="K109" s="24" t="s">
        <v>63</v>
      </c>
      <c r="M109" s="21"/>
    </row>
    <row r="110" spans="1:13" ht="23.25" customHeight="1" x14ac:dyDescent="0.2">
      <c r="A110" s="17">
        <f>F110*B110/C110</f>
        <v>0.39229064000000002</v>
      </c>
      <c r="B110" s="8">
        <v>1</v>
      </c>
      <c r="C110" s="8">
        <v>25</v>
      </c>
      <c r="D110" s="8">
        <v>10</v>
      </c>
      <c r="E110" s="8">
        <v>0.1008</v>
      </c>
      <c r="F110" s="18">
        <f>$E$15*0.01</f>
        <v>9.8072660000000003</v>
      </c>
      <c r="H110" s="24" t="s">
        <v>52</v>
      </c>
      <c r="I110" s="1">
        <v>0.99928591530977529</v>
      </c>
      <c r="J110" s="1">
        <v>2.3065010574665193E-3</v>
      </c>
      <c r="K110" s="24" t="s">
        <v>53</v>
      </c>
      <c r="M110" s="21"/>
    </row>
    <row r="111" spans="1:13" ht="23.25" customHeight="1" x14ac:dyDescent="0.2">
      <c r="A111" s="17">
        <f t="shared" ref="A111:A112" si="4">F111*B111/C111</f>
        <v>0.78458128000000005</v>
      </c>
      <c r="B111" s="8">
        <v>2</v>
      </c>
      <c r="C111" s="8">
        <v>25</v>
      </c>
      <c r="D111" s="8">
        <v>10</v>
      </c>
      <c r="E111" s="8">
        <v>0.1615</v>
      </c>
      <c r="F111" s="18">
        <f t="shared" ref="F111:F112" si="5">$E$15*0.01</f>
        <v>9.8072660000000003</v>
      </c>
      <c r="H111" s="24" t="s">
        <v>54</v>
      </c>
      <c r="I111" s="1">
        <v>4198.1823542326692</v>
      </c>
      <c r="J111" s="1">
        <v>3</v>
      </c>
      <c r="K111" s="24" t="s">
        <v>55</v>
      </c>
      <c r="M111" s="21"/>
    </row>
    <row r="112" spans="1:13" ht="23.25" customHeight="1" x14ac:dyDescent="0.2">
      <c r="A112" s="17">
        <f t="shared" si="4"/>
        <v>1.1768719200000002</v>
      </c>
      <c r="B112" s="8">
        <v>3</v>
      </c>
      <c r="C112" s="8">
        <v>25</v>
      </c>
      <c r="D112" s="8">
        <v>10</v>
      </c>
      <c r="E112" s="8">
        <v>0.22570000000000001</v>
      </c>
      <c r="F112" s="18">
        <f t="shared" si="5"/>
        <v>9.8072660000000003</v>
      </c>
      <c r="H112" s="24" t="s">
        <v>56</v>
      </c>
      <c r="I112" s="1">
        <v>2.233410815861572E-2</v>
      </c>
      <c r="J112" s="1">
        <v>1.5959841384282515E-5</v>
      </c>
      <c r="K112" s="24" t="s">
        <v>57</v>
      </c>
      <c r="M112" s="21"/>
    </row>
    <row r="113" spans="1:10" ht="23.25" customHeight="1" x14ac:dyDescent="0.2">
      <c r="B113" s="21"/>
      <c r="C113" s="21"/>
      <c r="D113" s="21"/>
      <c r="E113" s="21"/>
    </row>
    <row r="114" spans="1:10" ht="23.25" customHeight="1" x14ac:dyDescent="0.2">
      <c r="I114" s="24" t="s">
        <v>73</v>
      </c>
      <c r="J114" s="1">
        <f>AVERAGE(E108:E112)</f>
        <v>0.11932000000000001</v>
      </c>
    </row>
    <row r="115" spans="1:10" ht="23.25" customHeight="1" x14ac:dyDescent="0.2">
      <c r="B115" s="24" t="s">
        <v>22</v>
      </c>
      <c r="C115" s="24" t="s">
        <v>23</v>
      </c>
      <c r="D115" s="24" t="s">
        <v>24</v>
      </c>
      <c r="E115" s="24" t="s">
        <v>25</v>
      </c>
      <c r="I115" s="24" t="s">
        <v>58</v>
      </c>
      <c r="J115" s="1">
        <f>VARPA(A108:A112)*F119</f>
        <v>0.85379251769297104</v>
      </c>
    </row>
    <row r="116" spans="1:10" ht="23.25" customHeight="1" x14ac:dyDescent="0.2">
      <c r="A116" s="25" t="s">
        <v>26</v>
      </c>
      <c r="B116" s="1">
        <v>1</v>
      </c>
      <c r="C116" s="20">
        <f>J108</f>
        <v>3.5568997837058428E-2</v>
      </c>
      <c r="D116" s="19">
        <f>J108/I108</f>
        <v>0.21991937560382741</v>
      </c>
      <c r="E116" s="19">
        <f>J116*J117</f>
        <v>5.584419366619444E-2</v>
      </c>
      <c r="I116" s="24" t="s">
        <v>59</v>
      </c>
      <c r="J116" s="1">
        <f>F118/I108*SQRT(1+1/F119+(C116-J114)^2/(I108^2*J115))</f>
        <v>1.7547568225574833E-2</v>
      </c>
    </row>
    <row r="117" spans="1:10" ht="23.25" customHeight="1" x14ac:dyDescent="0.2">
      <c r="I117" s="24" t="s">
        <v>60</v>
      </c>
      <c r="J117" s="1">
        <f>_xlfn.T.INV.2T(0.05,J111)</f>
        <v>3.1824463052837091</v>
      </c>
    </row>
    <row r="118" spans="1:10" ht="23.25" customHeight="1" x14ac:dyDescent="0.2">
      <c r="A118" s="37" t="s">
        <v>27</v>
      </c>
      <c r="B118" s="24" t="s">
        <v>28</v>
      </c>
      <c r="C118" s="34" t="s">
        <v>76</v>
      </c>
      <c r="D118" s="35"/>
      <c r="E118" s="24" t="s">
        <v>43</v>
      </c>
      <c r="F118" s="1">
        <f>J110</f>
        <v>2.3065010574665193E-3</v>
      </c>
    </row>
    <row r="119" spans="1:10" ht="23.25" customHeight="1" x14ac:dyDescent="0.2">
      <c r="A119" s="38"/>
      <c r="B119" s="24" t="s">
        <v>29</v>
      </c>
      <c r="C119" s="34" t="s">
        <v>77</v>
      </c>
      <c r="D119" s="35"/>
      <c r="E119" s="24" t="s">
        <v>30</v>
      </c>
      <c r="F119" s="1">
        <f>COUNTA(A108:A112)</f>
        <v>5</v>
      </c>
    </row>
    <row r="120" spans="1:10" ht="23.25" customHeight="1" x14ac:dyDescent="0.2">
      <c r="A120" s="12"/>
      <c r="F120" s="13"/>
    </row>
    <row r="121" spans="1:10" ht="23.25" customHeight="1" x14ac:dyDescent="0.2">
      <c r="A121" s="12"/>
      <c r="F121" s="13"/>
    </row>
    <row r="122" spans="1:10" ht="23.25" customHeight="1" x14ac:dyDescent="0.2">
      <c r="A122" s="12"/>
      <c r="F122" s="13"/>
    </row>
    <row r="123" spans="1:10" ht="23.25" customHeight="1" x14ac:dyDescent="0.2">
      <c r="A123" s="12"/>
      <c r="F123" s="13"/>
    </row>
    <row r="124" spans="1:10" ht="23.25" customHeight="1" x14ac:dyDescent="0.2">
      <c r="A124" s="12"/>
      <c r="F124" s="13"/>
    </row>
    <row r="125" spans="1:10" ht="23.25" customHeight="1" x14ac:dyDescent="0.2">
      <c r="A125" s="12"/>
      <c r="F125" s="13"/>
    </row>
    <row r="126" spans="1:10" ht="23.25" customHeight="1" x14ac:dyDescent="0.2">
      <c r="A126" s="12"/>
      <c r="F126" s="13"/>
    </row>
    <row r="127" spans="1:10" ht="23.25" customHeight="1" x14ac:dyDescent="0.2">
      <c r="A127" s="12"/>
      <c r="F127" s="13"/>
    </row>
    <row r="128" spans="1:10" ht="23.25" customHeight="1" x14ac:dyDescent="0.2">
      <c r="A128" s="12"/>
      <c r="F128" s="13"/>
    </row>
    <row r="129" spans="1:6" ht="23.25" customHeight="1" x14ac:dyDescent="0.2">
      <c r="A129" s="12"/>
      <c r="F129" s="13"/>
    </row>
    <row r="130" spans="1:6" ht="23.25" customHeight="1" x14ac:dyDescent="0.2">
      <c r="A130" s="12"/>
      <c r="F130" s="13"/>
    </row>
    <row r="131" spans="1:6" ht="23.25" customHeight="1" x14ac:dyDescent="0.2">
      <c r="A131" s="11"/>
      <c r="B131" s="14"/>
      <c r="C131" s="14"/>
      <c r="D131" s="14"/>
      <c r="E131" s="14"/>
      <c r="F131" s="15"/>
    </row>
    <row r="133" spans="1:6" ht="23.25" customHeight="1" x14ac:dyDescent="0.2">
      <c r="A133" s="48" t="s">
        <v>31</v>
      </c>
      <c r="B133" s="43"/>
      <c r="C133" s="43"/>
      <c r="D133" s="43"/>
      <c r="E133" s="43"/>
      <c r="F133" s="44"/>
    </row>
    <row r="134" spans="1:6" ht="156" customHeight="1" x14ac:dyDescent="0.2">
      <c r="A134" s="49"/>
      <c r="B134" s="45"/>
      <c r="C134" s="45"/>
      <c r="D134" s="45"/>
      <c r="E134" s="45"/>
      <c r="F134" s="46"/>
    </row>
    <row r="137" spans="1:6" ht="23.25" customHeight="1" x14ac:dyDescent="0.2">
      <c r="A137" s="4" t="s">
        <v>36</v>
      </c>
    </row>
    <row r="139" spans="1:6" ht="23.25" customHeight="1" x14ac:dyDescent="0.2">
      <c r="A139" s="9"/>
      <c r="B139" s="10"/>
      <c r="C139" s="8" t="s">
        <v>10</v>
      </c>
      <c r="D139" s="8" t="s">
        <v>78</v>
      </c>
    </row>
    <row r="140" spans="1:6" ht="23.25" customHeight="1" x14ac:dyDescent="0.2">
      <c r="A140" s="9" t="s">
        <v>37</v>
      </c>
      <c r="B140" s="10"/>
      <c r="C140" s="19">
        <f>D54</f>
        <v>0.15034560463810245</v>
      </c>
      <c r="D140" s="19">
        <f>E54</f>
        <v>8.7457551360291916E-2</v>
      </c>
    </row>
    <row r="141" spans="1:6" ht="23.25" customHeight="1" x14ac:dyDescent="0.2">
      <c r="A141" s="9" t="s">
        <v>38</v>
      </c>
      <c r="B141" s="10"/>
      <c r="C141" s="19">
        <f>D84</f>
        <v>0.23390816117304036</v>
      </c>
      <c r="D141" s="19">
        <f>E84</f>
        <v>6.3904400230291536E-2</v>
      </c>
    </row>
    <row r="142" spans="1:6" ht="23.25" customHeight="1" x14ac:dyDescent="0.2">
      <c r="A142" s="9" t="s">
        <v>39</v>
      </c>
      <c r="B142" s="10"/>
      <c r="C142" s="19">
        <f>D116</f>
        <v>0.21991937560382741</v>
      </c>
      <c r="D142" s="19">
        <f>E116</f>
        <v>5.584419366619444E-2</v>
      </c>
    </row>
    <row r="144" spans="1:6" ht="23.25" customHeight="1" x14ac:dyDescent="0.2">
      <c r="A144" s="7" t="s">
        <v>40</v>
      </c>
    </row>
    <row r="148" spans="1:14" ht="23.25" customHeight="1" x14ac:dyDescent="0.2">
      <c r="G148" s="2" t="s">
        <v>88</v>
      </c>
    </row>
    <row r="149" spans="1:14" ht="23.25" customHeight="1" x14ac:dyDescent="0.2">
      <c r="G149" s="2" t="s">
        <v>89</v>
      </c>
      <c r="H149" s="2">
        <f>I48</f>
        <v>2.7625005913018393E-3</v>
      </c>
      <c r="J149" s="2" t="s">
        <v>90</v>
      </c>
      <c r="K149" s="2">
        <f>F57</f>
        <v>5</v>
      </c>
      <c r="M149" s="2" t="s">
        <v>91</v>
      </c>
      <c r="N149" s="2">
        <f>K149-2</f>
        <v>3</v>
      </c>
    </row>
    <row r="150" spans="1:14" ht="23.25" customHeight="1" x14ac:dyDescent="0.2">
      <c r="G150" s="2" t="s">
        <v>92</v>
      </c>
      <c r="H150" s="2">
        <f>J110</f>
        <v>2.3065010574665193E-3</v>
      </c>
      <c r="J150" s="2" t="s">
        <v>93</v>
      </c>
      <c r="K150" s="2">
        <f>F119</f>
        <v>5</v>
      </c>
      <c r="M150" s="2" t="s">
        <v>94</v>
      </c>
      <c r="N150" s="2">
        <f>K150-2</f>
        <v>3</v>
      </c>
    </row>
    <row r="152" spans="1:14" ht="23.25" customHeight="1" x14ac:dyDescent="0.2">
      <c r="G152" s="2" t="s">
        <v>95</v>
      </c>
      <c r="H152" s="2">
        <v>9.2799999999999994</v>
      </c>
      <c r="I152" s="2" t="s">
        <v>96</v>
      </c>
    </row>
    <row r="153" spans="1:14" ht="23.25" customHeight="1" x14ac:dyDescent="0.2">
      <c r="G153" s="2" t="s">
        <v>97</v>
      </c>
      <c r="H153" s="2">
        <f>H149^2/H150^2</f>
        <v>1.4344897295392678</v>
      </c>
    </row>
    <row r="157" spans="1:14" ht="23.25" customHeight="1" x14ac:dyDescent="0.2">
      <c r="A157" s="2" t="s">
        <v>84</v>
      </c>
    </row>
    <row r="158" spans="1:14" ht="23.25" customHeight="1" x14ac:dyDescent="0.2">
      <c r="A158" s="2" t="s">
        <v>101</v>
      </c>
    </row>
    <row r="160" spans="1:14" ht="23.25" customHeight="1" x14ac:dyDescent="0.2">
      <c r="A160" s="1" t="s">
        <v>85</v>
      </c>
      <c r="B160" s="1">
        <f>((K149-2)*H149^2+(K150-2)*H150^2)/(K149+K150-4)</f>
        <v>6.4756783225185921E-6</v>
      </c>
    </row>
    <row r="161" spans="1:13" ht="23.25" customHeight="1" x14ac:dyDescent="0.2">
      <c r="A161" s="1" t="s">
        <v>86</v>
      </c>
      <c r="B161" s="1">
        <f>SQRT(B160)*SQRT(1/C165+1/C166)</f>
        <v>2.9661660239051154E-3</v>
      </c>
    </row>
    <row r="163" spans="1:13" ht="23.25" customHeight="1" x14ac:dyDescent="0.2">
      <c r="A163" s="2" t="s">
        <v>100</v>
      </c>
    </row>
    <row r="165" spans="1:13" ht="23.25" customHeight="1" x14ac:dyDescent="0.2">
      <c r="B165" s="1" t="s">
        <v>80</v>
      </c>
      <c r="C165" s="1">
        <f>I53</f>
        <v>5.3362032355810687</v>
      </c>
    </row>
    <row r="166" spans="1:13" ht="23.25" customHeight="1" x14ac:dyDescent="0.2">
      <c r="B166" s="1" t="s">
        <v>81</v>
      </c>
      <c r="C166" s="1">
        <f>J115</f>
        <v>0.85379251769297104</v>
      </c>
    </row>
    <row r="167" spans="1:13" ht="23.25" customHeight="1" x14ac:dyDescent="0.2">
      <c r="A167" s="2" t="s">
        <v>87</v>
      </c>
    </row>
    <row r="169" spans="1:13" ht="23.25" customHeight="1" x14ac:dyDescent="0.2">
      <c r="E169" s="24" t="s">
        <v>82</v>
      </c>
      <c r="F169" s="1">
        <f>ABS(C170-C171)/B161</f>
        <v>13.783774684323559</v>
      </c>
    </row>
    <row r="170" spans="1:13" ht="23.25" customHeight="1" x14ac:dyDescent="0.2">
      <c r="B170" s="1" t="s">
        <v>98</v>
      </c>
      <c r="C170" s="17">
        <f>H46</f>
        <v>0.12085157106632907</v>
      </c>
      <c r="E170" s="1" t="s">
        <v>83</v>
      </c>
      <c r="F170" s="1">
        <v>0.95</v>
      </c>
    </row>
    <row r="171" spans="1:13" ht="23.25" customHeight="1" x14ac:dyDescent="0.2">
      <c r="B171" s="1" t="s">
        <v>99</v>
      </c>
      <c r="C171" s="1">
        <f>I108</f>
        <v>0.16173653521613307</v>
      </c>
      <c r="E171" s="1" t="s">
        <v>55</v>
      </c>
      <c r="F171" s="1">
        <f>K149+K150-4</f>
        <v>6</v>
      </c>
    </row>
    <row r="172" spans="1:13" ht="23.25" customHeight="1" x14ac:dyDescent="0.2">
      <c r="A172" s="29"/>
      <c r="B172" s="29"/>
      <c r="C172" s="29"/>
      <c r="D172" s="29"/>
      <c r="E172" s="24" t="s">
        <v>60</v>
      </c>
      <c r="F172" s="1">
        <v>2.4470000000000001</v>
      </c>
      <c r="G172" s="29"/>
      <c r="H172" s="29"/>
      <c r="I172" s="29"/>
      <c r="J172" s="29"/>
      <c r="K172" s="29"/>
      <c r="L172" s="29"/>
      <c r="M172" s="29"/>
    </row>
    <row r="173" spans="1:13" ht="23.25" customHeight="1" x14ac:dyDescent="0.2">
      <c r="A173" s="29"/>
      <c r="B173" s="29"/>
      <c r="C173" s="29"/>
      <c r="D173" s="29"/>
      <c r="G173" s="29"/>
      <c r="H173" s="29"/>
      <c r="I173" s="29"/>
      <c r="J173" s="29"/>
      <c r="K173" s="29"/>
      <c r="L173" s="29"/>
      <c r="M173" s="29"/>
    </row>
    <row r="174" spans="1:13" ht="23.25" customHeight="1" x14ac:dyDescent="0.2">
      <c r="A174" s="7" t="s">
        <v>41</v>
      </c>
    </row>
    <row r="175" spans="1:13" ht="23.25" customHeight="1" x14ac:dyDescent="0.2">
      <c r="A175" s="30"/>
      <c r="B175" s="31"/>
      <c r="C175" s="31"/>
      <c r="D175" s="31"/>
      <c r="E175" s="31"/>
    </row>
    <row r="176" spans="1:13" ht="23.25" customHeight="1" x14ac:dyDescent="0.2">
      <c r="A176" s="31"/>
      <c r="B176" s="31"/>
      <c r="C176" s="31"/>
      <c r="D176" s="31"/>
      <c r="E176" s="31"/>
    </row>
    <row r="177" spans="1:5" ht="23.25" customHeight="1" x14ac:dyDescent="0.2">
      <c r="A177" s="31"/>
      <c r="B177" s="31"/>
      <c r="C177" s="31"/>
      <c r="D177" s="31"/>
      <c r="E177" s="31"/>
    </row>
    <row r="178" spans="1:5" ht="23.25" customHeight="1" x14ac:dyDescent="0.2">
      <c r="A178" s="31"/>
      <c r="B178" s="31"/>
      <c r="C178" s="31"/>
      <c r="D178" s="31"/>
      <c r="E178" s="31"/>
    </row>
    <row r="179" spans="1:5" ht="23.25" customHeight="1" x14ac:dyDescent="0.2">
      <c r="A179" s="31"/>
      <c r="B179" s="31"/>
      <c r="C179" s="31"/>
      <c r="D179" s="31"/>
      <c r="E179" s="31"/>
    </row>
    <row r="180" spans="1:5" ht="23.25" customHeight="1" x14ac:dyDescent="0.2">
      <c r="A180" s="31"/>
      <c r="B180" s="31"/>
      <c r="C180" s="31"/>
      <c r="D180" s="31"/>
      <c r="E180" s="31"/>
    </row>
    <row r="181" spans="1:5" ht="23.25" customHeight="1" x14ac:dyDescent="0.2">
      <c r="A181" s="31"/>
      <c r="B181" s="31"/>
      <c r="C181" s="31"/>
      <c r="D181" s="31"/>
      <c r="E181" s="31"/>
    </row>
    <row r="182" spans="1:5" ht="59" customHeight="1" x14ac:dyDescent="0.2">
      <c r="A182" s="31"/>
      <c r="B182" s="31"/>
      <c r="C182" s="31"/>
      <c r="D182" s="31"/>
      <c r="E182" s="31"/>
    </row>
    <row r="183" spans="1:5" ht="85" customHeight="1" x14ac:dyDescent="0.2"/>
    <row r="184" spans="1:5" ht="23.25" customHeight="1" x14ac:dyDescent="0.2">
      <c r="A184" s="1" t="s">
        <v>42</v>
      </c>
      <c r="B184" s="50" t="s">
        <v>79</v>
      </c>
      <c r="C184" s="50"/>
      <c r="D184" s="50"/>
      <c r="E184" s="10" t="s">
        <v>12</v>
      </c>
    </row>
  </sheetData>
  <mergeCells count="24">
    <mergeCell ref="B133:F134"/>
    <mergeCell ref="A133:A134"/>
    <mergeCell ref="A175:E182"/>
    <mergeCell ref="B184:D184"/>
    <mergeCell ref="B101:F102"/>
    <mergeCell ref="A101:A102"/>
    <mergeCell ref="B103:F104"/>
    <mergeCell ref="C87:D87"/>
    <mergeCell ref="A86:A87"/>
    <mergeCell ref="A56:A57"/>
    <mergeCell ref="I107:J107"/>
    <mergeCell ref="C119:D119"/>
    <mergeCell ref="C118:D118"/>
    <mergeCell ref="A118:A119"/>
    <mergeCell ref="C56:D56"/>
    <mergeCell ref="C57:D57"/>
    <mergeCell ref="I75:J75"/>
    <mergeCell ref="B71:F72"/>
    <mergeCell ref="A71:A72"/>
    <mergeCell ref="A33:D40"/>
    <mergeCell ref="F33:H33"/>
    <mergeCell ref="F34:I39"/>
    <mergeCell ref="C86:D86"/>
    <mergeCell ref="H45:I4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5755-B3F4-A041-8801-ACD56112111B}">
  <dimension ref="A1"/>
  <sheetViews>
    <sheetView workbookViewId="0"/>
  </sheetViews>
  <sheetFormatPr baseColWidth="10" defaultColWidth="11.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Pràctica A</vt:lpstr>
      <vt:lpstr>Càlculs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IGNASI</dc:creator>
  <cp:keywords/>
  <dc:description/>
  <cp:lastModifiedBy>Sergio Castañeiras Morales</cp:lastModifiedBy>
  <cp:revision/>
  <dcterms:created xsi:type="dcterms:W3CDTF">2021-03-22T14:48:22Z</dcterms:created>
  <dcterms:modified xsi:type="dcterms:W3CDTF">2025-05-08T10:13:01Z</dcterms:modified>
  <cp:category/>
  <cp:contentStatus/>
</cp:coreProperties>
</file>