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defaultThemeVersion="166925"/>
  <mc:AlternateContent xmlns:mc="http://schemas.openxmlformats.org/markup-compatibility/2006">
    <mc:Choice Requires="x15">
      <x15ac:absPath xmlns:x15ac="http://schemas.microsoft.com/office/spreadsheetml/2010/11/ac" url="https://uab-my.sharepoint.com/personal/1598367_uab_cat/Documents/5è CURS/LACE/Lab LACE - Gerard i Òscar/"/>
    </mc:Choice>
  </mc:AlternateContent>
  <xr:revisionPtr revIDLastSave="1090" documentId="13_ncr:1_{7938FC50-9CB9-4944-82C2-C13B3C21FA76}" xr6:coauthVersionLast="47" xr6:coauthVersionMax="47" xr10:uidLastSave="{00E149AE-4F80-4FB0-AFB7-2490CC0F99E9}"/>
  <bookViews>
    <workbookView xWindow="-108" yWindow="-108" windowWidth="23256" windowHeight="12576" xr2:uid="{C1122783-245A-4FED-BDEB-F09B1698DCDF}"/>
  </bookViews>
  <sheets>
    <sheet name="Pràctica A" sheetId="1" r:id="rId1"/>
    <sheet name="Càlcu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 i="1" l="1"/>
  <c r="H53" i="1"/>
  <c r="I83" i="1"/>
  <c r="F158" i="1"/>
  <c r="I153" i="1"/>
  <c r="I116" i="1"/>
  <c r="A76" i="1"/>
  <c r="A80" i="1"/>
  <c r="A79" i="1"/>
  <c r="A78" i="1"/>
  <c r="H76" i="1" s="1" a="1"/>
  <c r="A77" i="1"/>
  <c r="I82" i="1"/>
  <c r="E11" i="1"/>
  <c r="I115" i="1"/>
  <c r="C54" i="1"/>
  <c r="D50" i="1"/>
  <c r="D49" i="1"/>
  <c r="D48" i="1"/>
  <c r="D47" i="1"/>
  <c r="D46" i="1"/>
  <c r="H52" i="1" l="1"/>
  <c r="H76" i="1"/>
  <c r="D84" i="1" s="1"/>
  <c r="C141" i="1" s="1"/>
  <c r="I85" i="1"/>
  <c r="F86" i="1"/>
  <c r="F87" i="1" l="1"/>
  <c r="I84" i="1" s="1"/>
  <c r="E84" i="1" s="1"/>
  <c r="D141" i="1" s="1"/>
  <c r="B17" i="1" l="1"/>
  <c r="B18" i="1"/>
  <c r="B16" i="1"/>
  <c r="E15" i="1" l="1"/>
  <c r="I42" i="1" s="1"/>
  <c r="I43" i="1" s="1"/>
  <c r="E16" i="1" l="1"/>
  <c r="A112" i="1"/>
  <c r="A49" i="1"/>
  <c r="A50" i="1"/>
  <c r="A110" i="1"/>
  <c r="A46" i="1"/>
  <c r="A111" i="1"/>
  <c r="A108" i="1"/>
  <c r="A47" i="1"/>
  <c r="A48" i="1"/>
  <c r="A109" i="1"/>
  <c r="F57" i="1" l="1"/>
  <c r="G46" i="1" a="1"/>
  <c r="I149" i="1" s="1"/>
  <c r="H108" i="1" a="1"/>
  <c r="I150" i="1" s="1"/>
  <c r="F119" i="1"/>
  <c r="N108" i="1" a="1"/>
  <c r="C161" i="1" l="1"/>
  <c r="L150" i="1"/>
  <c r="O150" i="1" s="1"/>
  <c r="C160" i="1"/>
  <c r="F159" i="1" s="1"/>
  <c r="F162" i="1" s="1"/>
  <c r="L149" i="1"/>
  <c r="N108" i="1"/>
  <c r="D116" i="1" s="1"/>
  <c r="C142" i="1" s="1"/>
  <c r="H108" i="1"/>
  <c r="C164" i="1" s="1"/>
  <c r="I118" i="1"/>
  <c r="F118" i="1"/>
  <c r="H55" i="1"/>
  <c r="G46" i="1"/>
  <c r="F56" i="1"/>
  <c r="O149" i="1" l="1"/>
  <c r="F164" i="1"/>
  <c r="D54" i="1"/>
  <c r="C140" i="1" s="1"/>
  <c r="C163" i="1"/>
  <c r="E54" i="1"/>
  <c r="D140" i="1" s="1"/>
  <c r="I117" i="1"/>
  <c r="E116" i="1" s="1"/>
  <c r="D14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<sst xmlns="http://schemas.openxmlformats.org/spreadsheetml/2006/main" count="206" uniqueCount="139">
  <si>
    <t>Informe pràctica A</t>
  </si>
  <si>
    <t>Data:</t>
  </si>
  <si>
    <t>Grup pràctiques:</t>
  </si>
  <si>
    <t>1.2 (G2) Matí - 1r torn</t>
  </si>
  <si>
    <t>Parella:</t>
  </si>
  <si>
    <t>M_01</t>
  </si>
  <si>
    <t>Alumnes:</t>
  </si>
  <si>
    <t>Gerard Moreno Mas i Òscar Losada Garcia</t>
  </si>
  <si>
    <t>Descripció de la mostra</t>
  </si>
  <si>
    <t>(descripció més endavant, que es torna a demanar)</t>
  </si>
  <si>
    <t>Estandarització Estoc Cu 1000ppm</t>
  </si>
  <si>
    <t>Pes CuSO4 · 5 H2O (g)</t>
  </si>
  <si>
    <t>Concentració:</t>
  </si>
  <si>
    <t>ppm</t>
  </si>
  <si>
    <t xml:space="preserve">mL estoc Cu </t>
  </si>
  <si>
    <t>Això seria assumint que està pentahidratat al 100%, com sabem que no és així, valorarem per conèixer exactament la quantitat de coure en el patró. Per això és important durant el procés de pesar el sulfat de coure, tancar bé novament el recipient on es guarda el reactiu, perquè deixar-lo exposat pot suposar problemes d'hidratació.</t>
  </si>
  <si>
    <t>mL EDTA</t>
  </si>
  <si>
    <t>ppm Cu</t>
  </si>
  <si>
    <t>conc. Estoc Cu</t>
  </si>
  <si>
    <t>% rsd</t>
  </si>
  <si>
    <t>%</t>
  </si>
  <si>
    <t>EDTA</t>
  </si>
  <si>
    <t>M</t>
  </si>
  <si>
    <t>PA (Cu)</t>
  </si>
  <si>
    <t>g/mol</t>
  </si>
  <si>
    <t>Relació estequiomètrica Cu i EDTA és 1:1.</t>
  </si>
  <si>
    <t>EDTA 0.025 M</t>
  </si>
  <si>
    <t>(ja preparat)</t>
  </si>
  <si>
    <t>Instrumentació</t>
  </si>
  <si>
    <r>
      <t xml:space="preserve">Fem servir espectofotòmetre d'absorció atòmica per a la detecció de coure. L'equip és </t>
    </r>
    <r>
      <rPr>
        <b/>
        <sz val="11"/>
        <color theme="1"/>
        <rFont val="Arial"/>
        <family val="2"/>
      </rPr>
      <t>55 AA Atomic Absorption Spectrometer</t>
    </r>
    <r>
      <rPr>
        <sz val="11"/>
        <color theme="1"/>
        <rFont val="Arial"/>
        <family val="2"/>
      </rPr>
      <t xml:space="preserve"> de la marca </t>
    </r>
    <r>
      <rPr>
        <b/>
        <sz val="11"/>
        <color theme="1"/>
        <rFont val="Arial"/>
        <family val="2"/>
      </rPr>
      <t>Agilent</t>
    </r>
    <r>
      <rPr>
        <sz val="11"/>
        <color theme="1"/>
        <rFont val="Arial"/>
        <family val="2"/>
      </rPr>
      <t>. Permet l'atomització de la mostra per flama. La font de llum, tub de catòde de diversos metalls que conté el mateix metall que volem analitzar -coure-, es fa passar per la flama i amb un detector es mesura l'absorbació en la longitud d'ona seleccionada (una de les línies espectrals d'absorbància atòmica del coure). L'absorbància es mesura amb les intensitats d'entrada (emissió abans de passar per la flama) i de sortida (després de passar per la flama). Com estem únicament il·luminant amb precisament les línies espectrals de l'element que volem mesurar, podem relacionar absorbància amb quantitat d'anàlit, i inclús aplicar calibratges aprofitant la linealitat que s'observa en aquesta absorbància amb la concentració (d'acord amb la llei de Beer-Lambert), que és el que farem en aquesta pràctica. És important cuidar la instrumentació, per això cal evitar que l'espectrofotòmetre agafi residus sòlids o pols. El tub que s'utilitza per a absorbir el líquid dels patrons i mostres que s'estudiaran és molt prim, i es pot anar atascant amb aquests petits residus. Si veiem que la senyal és molt baixa, convé canviar el tub de plàstic per a facilitar el flux de la solució que s'està analitzant i quan no s'estigui analitzant res, convé deixar el tub connectat a un vas de precipitats on hi ha aigua (per evitar agafar pols).</t>
    </r>
  </si>
  <si>
    <r>
      <t xml:space="preserve">La mostra és orujo comercial del que hem quantificar-ne la seva </t>
    </r>
    <r>
      <rPr>
        <b/>
        <sz val="11"/>
        <color theme="1"/>
        <rFont val="Arial"/>
        <family val="2"/>
      </rPr>
      <t>concentració de coure</t>
    </r>
    <r>
      <rPr>
        <sz val="11"/>
        <color theme="1"/>
        <rFont val="Arial"/>
        <family val="2"/>
      </rPr>
      <t xml:space="preserve">. Es tracta de "aguardiente de orujo" de la marca </t>
    </r>
    <r>
      <rPr>
        <u/>
        <sz val="11"/>
        <color theme="1"/>
        <rFont val="Arial"/>
        <family val="2"/>
      </rPr>
      <t>Pazo de Usía</t>
    </r>
    <r>
      <rPr>
        <sz val="11"/>
        <color theme="1"/>
        <rFont val="Arial"/>
        <family val="2"/>
      </rPr>
      <t xml:space="preserve">, que conté 40% d'alcohol en volum i que no especifica la quantitat de coure que conté. El número de lot és L-I 5003. El coure és el metall dels tubs en les destil·lacions de begudes alcohòliques que inevitablement contamina mínimament. D'acord amb el Reial decret llei 1416/1982, les begudes d'aiguardent com l'orujo, </t>
    </r>
    <r>
      <rPr>
        <b/>
        <sz val="11"/>
        <color theme="1"/>
        <rFont val="Arial"/>
        <family val="2"/>
      </rPr>
      <t>no poden contenir més de 10 ppm de coure</t>
    </r>
    <r>
      <rPr>
        <sz val="11"/>
        <color theme="1"/>
        <rFont val="Arial"/>
        <family val="2"/>
      </rPr>
      <t>. De totes maneres, durant els darrers anys s'ha aconseguit rebaixar-ne molt aquesta concentració. Farem servir patrons de coure a partir de sulfat de coure pentahidratat (de què hem calculat la seva concentració a partir de tres valoracions amb EDTA). Farem la quantificació amb diversos tipus de calibratge, comparant sensibilitats, incertituds i eficiència. Com a informació addicional de la mostra, olorava molt fort i era fàcil detectar indirectament quan estava a prop.</t>
    </r>
  </si>
  <si>
    <r>
      <t xml:space="preserve">D'acord amb el </t>
    </r>
    <r>
      <rPr>
        <b/>
        <sz val="9"/>
        <color rgb="FF000000"/>
        <rFont val="Arial"/>
        <family val="2"/>
      </rPr>
      <t>Reial decret llei 1416/1982,</t>
    </r>
    <r>
      <rPr>
        <sz val="9"/>
        <color rgb="FF000000"/>
        <rFont val="Arial"/>
        <family val="2"/>
      </rPr>
      <t xml:space="preserve"> de 28 de maig, pel qual s'aprova la regulació per a la fabricació d'aiguardents i altres derivats d'alcohol natural.</t>
    </r>
  </si>
  <si>
    <r>
      <t xml:space="preserve">3.1 (2) Estar exentos de materias extrañas a la composición legal y/o tradicional del producto y no contener residuos de metales pesados en cantidades mayores de las que se citan.
</t>
    </r>
    <r>
      <rPr>
        <b/>
        <sz val="9"/>
        <color rgb="FF000000"/>
        <rFont val="Arial"/>
        <family val="2"/>
      </rPr>
      <t>Aguardiente - Cobre (en p.p.m.): 10</t>
    </r>
    <r>
      <rPr>
        <sz val="9"/>
        <color rgb="FF000000"/>
        <rFont val="Arial"/>
        <family val="2"/>
      </rPr>
      <t xml:space="preserve">
2.1.2. A efectos de esta Reglamentación, se consideran como aguardientes compuestos, los aguardientes de frutas, hierbas, cereales, leguminosas, tubérculos, de orujo, etc.</t>
    </r>
  </si>
  <si>
    <t>Preparació Patrons i mesures Absorció Atòmica</t>
  </si>
  <si>
    <t>Tenim patró Cu(II) a 1000 ppm, fem dilucions en sèrie fins a tenir-ne a 10 ppm.</t>
  </si>
  <si>
    <t>Important!</t>
  </si>
  <si>
    <t>1. 10 mL en 100 mL --&gt; 100 ppm</t>
  </si>
  <si>
    <t>Això es fa per evitar agafar poques quantitats i, per tant,</t>
  </si>
  <si>
    <t>Calibratge Patrons Externs</t>
  </si>
  <si>
    <t>2. 10 mL en 100 mL --&gt; 10 ppm</t>
  </si>
  <si>
    <t>reduïm la incertesa que tindran els nostres càlculs i dilucions.</t>
  </si>
  <si>
    <t>Patró (ppm Cu)</t>
  </si>
  <si>
    <t>mL estoc Cu</t>
  </si>
  <si>
    <t>mL enràs</t>
  </si>
  <si>
    <t>senyal AAS</t>
  </si>
  <si>
    <t>y= a + bx</t>
  </si>
  <si>
    <t>b</t>
  </si>
  <si>
    <t>a</t>
  </si>
  <si>
    <t>u_b</t>
  </si>
  <si>
    <t>u_a</t>
  </si>
  <si>
    <t>R^2</t>
  </si>
  <si>
    <t>S_{y/x}</t>
  </si>
  <si>
    <t>F</t>
  </si>
  <si>
    <t>dof</t>
  </si>
  <si>
    <t>Ssreg</t>
  </si>
  <si>
    <t>Ssresid</t>
  </si>
  <si>
    <t>*Entenem que el programa ja resta l'absorbància del blanc.</t>
  </si>
  <si>
    <t>y_{avg}</t>
  </si>
  <si>
    <t>Factor dilució</t>
  </si>
  <si>
    <t>Senyal AAS</t>
  </si>
  <si>
    <t>conc.mostra (ppm)</t>
  </si>
  <si>
    <t>Int.confiança</t>
  </si>
  <si>
    <t>S_{xx}</t>
  </si>
  <si>
    <t>Mostra</t>
  </si>
  <si>
    <t>S_0</t>
  </si>
  <si>
    <t>t_{tab}</t>
  </si>
  <si>
    <t>Corba Calibrat:</t>
  </si>
  <si>
    <t>pendent</t>
  </si>
  <si>
    <r>
      <t>(0.118 ± 0.002) ppm</t>
    </r>
    <r>
      <rPr>
        <vertAlign val="superscript"/>
        <sz val="11"/>
        <color theme="1"/>
        <rFont val="Arial"/>
        <family val="2"/>
      </rPr>
      <t>-1</t>
    </r>
  </si>
  <si>
    <t>Sy/x</t>
  </si>
  <si>
    <r>
      <t xml:space="preserve">S'ha seguit el </t>
    </r>
    <r>
      <rPr>
        <b/>
        <sz val="11"/>
        <color theme="1"/>
        <rFont val="Arial"/>
        <family val="2"/>
      </rPr>
      <t>PNT</t>
    </r>
    <r>
      <rPr>
        <sz val="11"/>
        <color theme="1"/>
        <rFont val="Arial"/>
        <family val="2"/>
      </rPr>
      <t xml:space="preserve"> per a realitzar la mesura.</t>
    </r>
  </si>
  <si>
    <t>ord.origen</t>
  </si>
  <si>
    <t>(-0.004 ± 0.004)</t>
  </si>
  <si>
    <t>n</t>
  </si>
  <si>
    <t xml:space="preserve">Per a encendre l'aparell cal: activar el flux d'acetilè, obrir l'aire i encendre tant l'aparell com el propi ordinador que </t>
  </si>
  <si>
    <t>utilitzrem per a controlar-lo. Cal comprovar que la làmpada estigui formada pels materials que nosaltres volem</t>
  </si>
  <si>
    <t>analitzar, si no la mesura no serà exitosa. Per tant, pel nostre cas, com volem realitzar una mesura de coure (Cu)</t>
  </si>
  <si>
    <t>necessitarem que la làmpada sigui (parcialment) de coure.</t>
  </si>
  <si>
    <t>També necessitem tenir una bona flama que atomitzi la nostra mostra. Per això utilitzarem el acetilè i oxigen com a</t>
  </si>
  <si>
    <t>combustible que xuclaran també les nostres mostres. La mostra es xucla a partir d'un tub fi de plàstic.</t>
  </si>
  <si>
    <t xml:space="preserve">Tant per l'addició estàndard com pel calibrat per patrons externs (sense interferent) s'utilitzarà aigua MilliQ com a </t>
  </si>
  <si>
    <t>blanc, però per a la mesura de patrons externs amb interferent utilitzarem la barreja de aigua MiliQ : etanol (60:40) com a</t>
  </si>
  <si>
    <t>blanc.</t>
  </si>
  <si>
    <t xml:space="preserve">Ha estat molt interessant veure la flama, el funcionament del nebulitzador i poder veure com és una làmpada de </t>
  </si>
  <si>
    <t xml:space="preserve">càtode buit de primera mà. Ha sigut també molt interessant veure en directe com, en funció de la concentració de </t>
  </si>
  <si>
    <t>Cu de la solució que s'estava estudiant, la flama canviava l'intensitat del color característic del metall.</t>
  </si>
  <si>
    <t>Comentaris:</t>
  </si>
  <si>
    <t>A l'hora de realitzar les mesures l'espectrofotòmetre realitza 3 replicats per cada solució estudiada. Tot i que no tarda massa, hem d'anar ràpids en fer la lectura, perquè si connectem la solució al AAS aquesta es va consumint! I si no iniciem la mesura i ho deixem posat, potser ens acabem la solució preparada. Això no ha sigut un problema, però si que ha sigut un factor que hem tingut en compte a l'hora de operar amb el AAS. Es recomana, per tant, operar-lo amb dues persones tant per agilitzar el procés com per assegurar que s'estan agafant les solucions correctes. El programa per defecte ja guia a l'usuari per fer primer l'estudi del blanc, dels patrons en ordre i, finalment, de la mostra.</t>
  </si>
  <si>
    <t>Calibratge Patrons Externs amb interferent</t>
  </si>
  <si>
    <t>mL etanol</t>
  </si>
  <si>
    <r>
      <t>(0.120 ± 0.004) ppm</t>
    </r>
    <r>
      <rPr>
        <vertAlign val="superscript"/>
        <sz val="11"/>
        <color theme="1"/>
        <rFont val="Arial"/>
        <family val="2"/>
      </rPr>
      <t>-1</t>
    </r>
  </si>
  <si>
    <t>(-0.008 ± 0.006)</t>
  </si>
  <si>
    <t>La informació del calibratge amb patró extern i interferent s'ha extret de les dades d'uns companys. Donada la falta de temps, només el primer equip que havia fet la seva mesura del calibratge de patrons externs (sense interferents) ha tingut temps a preparar la mostra amb interferents.</t>
  </si>
  <si>
    <t>El patró del qual provenen aquests patrons és pesant 0.9818 g de sulfat de coure pentahidratat i les valoracions amb EDTA tenen volums de 15.5, 15.4 i 15.4 mL. Per tant, la concentració de coure és de 980.7 ppm. Poden utilitzar-se les primeres files d'aquest mateix Excel per calcular-se.</t>
  </si>
  <si>
    <t>Calibratge Addició estàndard</t>
  </si>
  <si>
    <t>mL mostra</t>
  </si>
  <si>
    <t>*Per a l'últim patró, agafem del patró de 100 ppm. La resta sí són amb el patró de 10 ppm.</t>
  </si>
  <si>
    <r>
      <t>(0.081 ± 0.001) ppm</t>
    </r>
    <r>
      <rPr>
        <vertAlign val="superscript"/>
        <sz val="11"/>
        <color theme="1"/>
        <rFont val="Arial"/>
        <family val="2"/>
      </rPr>
      <t>-1</t>
    </r>
  </si>
  <si>
    <t>(0.033 ± 0.002)</t>
  </si>
  <si>
    <r>
      <t>La recta de regressió és lineal (R</t>
    </r>
    <r>
      <rPr>
        <vertAlign val="superscript"/>
        <sz val="11"/>
        <color theme="1"/>
        <rFont val="Arial"/>
        <family val="2"/>
      </rPr>
      <t>2</t>
    </r>
    <r>
      <rPr>
        <sz val="11"/>
        <color theme="1"/>
        <rFont val="Arial"/>
        <family val="2"/>
      </rPr>
      <t>=1.000). Obtenim un interval de confiança petit, que ja esperàvem perquè l'addició té en compte l'efecte matriu i, per tant, és la tècnica que dona millors resultats, tot i no ser la més eficient (requereix de preparació de molts patrons i temps d'ús de la màquina).</t>
    </r>
  </si>
  <si>
    <t xml:space="preserve">Comparació resultats vs. Calibratge. Discusió </t>
  </si>
  <si>
    <t>int.confiança</t>
  </si>
  <si>
    <t>Calibratge extern</t>
  </si>
  <si>
    <t>Calibratge extern amb interferent</t>
  </si>
  <si>
    <t>Addició estàndard</t>
  </si>
  <si>
    <t>Comparació estadística pendents: extern vs. addició estàndard</t>
  </si>
  <si>
    <r>
      <t xml:space="preserve">A simple vista observem que el patró extern dona més sensibilitat (semblant en els dos tipus, amb o sense intereferent). Si més no, hem vist que l'addició estàndard dona una inceritud més baixa i que ens quadra, doncs té en compte l'efecte matriu. A continuació, farem la comparició estadísitca entre els pendents </t>
    </r>
    <r>
      <rPr>
        <b/>
        <sz val="11"/>
        <color theme="1"/>
        <rFont val="Arial"/>
        <family val="2"/>
      </rPr>
      <t>extern (1)</t>
    </r>
    <r>
      <rPr>
        <sz val="11"/>
        <color theme="1"/>
        <rFont val="Arial"/>
        <family val="2"/>
      </rPr>
      <t xml:space="preserve"> i </t>
    </r>
    <r>
      <rPr>
        <b/>
        <sz val="11"/>
        <color theme="1"/>
        <rFont val="Arial"/>
        <family val="2"/>
      </rPr>
      <t>addició estàndard (2)</t>
    </r>
    <r>
      <rPr>
        <sz val="11"/>
        <color theme="1"/>
        <rFont val="Arial"/>
        <family val="2"/>
      </rPr>
      <t>.</t>
    </r>
  </si>
  <si>
    <t>Test F</t>
  </si>
  <si>
    <t>S_{y/x}_1</t>
  </si>
  <si>
    <t>n_1</t>
  </si>
  <si>
    <t>dof_1</t>
  </si>
  <si>
    <t>S_{y/x}_2</t>
  </si>
  <si>
    <t>n_2</t>
  </si>
  <si>
    <t>dof_2</t>
  </si>
  <si>
    <t>F_{crítica}</t>
  </si>
  <si>
    <t>Valor tabulat a un nivell de confiança del 95%</t>
  </si>
  <si>
    <t>F_{exp}</t>
  </si>
  <si>
    <r>
      <t xml:space="preserve">Com </t>
    </r>
    <r>
      <rPr>
        <b/>
        <sz val="11"/>
        <color theme="1"/>
        <rFont val="Arial"/>
        <family val="2"/>
      </rPr>
      <t>F_{exp} &lt; F_{crítica}</t>
    </r>
    <r>
      <rPr>
        <sz val="11"/>
        <color theme="1"/>
        <rFont val="Arial"/>
        <family val="2"/>
      </rPr>
      <t xml:space="preserve">, podem acceptar la hipòtesi d'igualtat de variàncies que ens permetrà fer servir amb rigorositat el test </t>
    </r>
    <r>
      <rPr>
        <i/>
        <sz val="11"/>
        <color theme="1"/>
        <rFont val="Arial"/>
        <family val="2"/>
      </rPr>
      <t>t</t>
    </r>
    <r>
      <rPr>
        <sz val="11"/>
        <color theme="1"/>
        <rFont val="Arial"/>
        <family val="2"/>
      </rPr>
      <t xml:space="preserve"> per comparar pendents.</t>
    </r>
  </si>
  <si>
    <r>
      <t xml:space="preserve">Apliquem el test </t>
    </r>
    <r>
      <rPr>
        <i/>
        <sz val="11"/>
        <color theme="1"/>
        <rFont val="Arial"/>
        <family val="2"/>
      </rPr>
      <t>t</t>
    </r>
    <r>
      <rPr>
        <sz val="11"/>
        <color theme="1"/>
        <rFont val="Arial"/>
        <family val="2"/>
      </rPr>
      <t xml:space="preserve"> per a pendents:</t>
    </r>
  </si>
  <si>
    <t>i) Càlcul de la variància mitjana</t>
  </si>
  <si>
    <r>
      <t>(S_{y/x})</t>
    </r>
    <r>
      <rPr>
        <vertAlign val="subscript"/>
        <sz val="11"/>
        <color theme="1"/>
        <rFont val="Arial"/>
        <family val="2"/>
      </rPr>
      <t>0</t>
    </r>
    <r>
      <rPr>
        <vertAlign val="superscript"/>
        <sz val="11"/>
        <color theme="1"/>
        <rFont val="Arial"/>
        <family val="2"/>
      </rPr>
      <t>2</t>
    </r>
  </si>
  <si>
    <t>ii) Càlcul de la desviació estàndard de la diferència entre els pendents</t>
  </si>
  <si>
    <r>
      <t>S_{b</t>
    </r>
    <r>
      <rPr>
        <vertAlign val="subscript"/>
        <sz val="11"/>
        <color theme="1"/>
        <rFont val="Arial"/>
        <family val="2"/>
      </rPr>
      <t>1</t>
    </r>
    <r>
      <rPr>
        <sz val="11"/>
        <color theme="1"/>
        <rFont val="Arial"/>
        <family val="2"/>
      </rPr>
      <t>-b</t>
    </r>
    <r>
      <rPr>
        <vertAlign val="subscript"/>
        <sz val="11"/>
        <color theme="1"/>
        <rFont val="Arial"/>
        <family val="2"/>
      </rPr>
      <t>2</t>
    </r>
    <r>
      <rPr>
        <sz val="11"/>
        <color theme="1"/>
        <rFont val="Arial"/>
        <family val="2"/>
      </rPr>
      <t>}</t>
    </r>
  </si>
  <si>
    <t>S_{xx}_1</t>
  </si>
  <si>
    <t>S_{xx}_2</t>
  </si>
  <si>
    <r>
      <t xml:space="preserve">iii) Càlcul de l'estadístic </t>
    </r>
    <r>
      <rPr>
        <i/>
        <sz val="11"/>
        <color theme="1"/>
        <rFont val="Arial"/>
        <family val="2"/>
      </rPr>
      <t>t</t>
    </r>
  </si>
  <si>
    <t>t_{exp}</t>
  </si>
  <si>
    <r>
      <t xml:space="preserve">Obtenim que </t>
    </r>
    <r>
      <rPr>
        <b/>
        <sz val="11"/>
        <color theme="1"/>
        <rFont val="Arial"/>
        <family val="2"/>
      </rPr>
      <t>t_{exp} &gt; t_{tab}</t>
    </r>
    <r>
      <rPr>
        <sz val="11"/>
        <color theme="1"/>
        <rFont val="Arial"/>
        <family val="2"/>
      </rPr>
      <t xml:space="preserve">. Per tant, les </t>
    </r>
    <r>
      <rPr>
        <b/>
        <u/>
        <sz val="11"/>
        <color theme="1"/>
        <rFont val="Arial"/>
        <family val="2"/>
      </rPr>
      <t>pendents NO són comparables</t>
    </r>
    <r>
      <rPr>
        <sz val="11"/>
        <color theme="1"/>
        <rFont val="Arial"/>
        <family val="2"/>
      </rPr>
      <t>.</t>
    </r>
  </si>
  <si>
    <t>b_1</t>
  </si>
  <si>
    <t>α</t>
  </si>
  <si>
    <t>b_2</t>
  </si>
  <si>
    <t>Sí que trobem diferències signficatives entre els dos mètodes: patró extern (1) i addició estàndard (2). Al següent apartat es farà la pertinent discussió.</t>
  </si>
  <si>
    <t>Discusió dels tres mètodes de calibratge</t>
  </si>
  <si>
    <t>En primer lloc, hem obtingut pendents similars en el cas del patró extern amb i sense interferent. Com la mostra té un 40% d'etanol que els patrons de l'extern sense interferent no tenia, teníem motius per pensar que la mesura amb l'etanol podia estar afectant d'alguna manera la mesura quantitativa (canvi en la viscositat, etc). Si més no, hem vist que no hi ha gaire diferència en el pendent, a banda d'obtenir un interval de confiança més gran en el cas del patró extern amb intereferent. El motiu d'estudi del patró extern amb interferents era per aconseguir els avantatges de cada tècnica i evitant els inconvenients de cadascuna. És a dir, preparant patrons amb interferents (matriu) volíem aconseguir la comoditat i eficàcia de treballar amb patrons externs juntament amb tenir en compte l'efecte matriu que caracteritza el procediment de l'addició estàndard (fem menys mesures en global perquè només cal fer una única recta de calibratge, però els patrons no tenen en compte la matriu de la mostra). Malauradament, el interferent proposat no sembla que hagi aconseguit modificar la corba de calibratge obtinguda. Això es podria argumentar com un possible error en l'elecció de l'interferent a utilitzar o bé un possible error de preparació dels patrons amb interferents. La solució a provar seria provar una nova variació de l'interferent o repetir l'experiment amb l'interferent utilitzat (un cert volum de etanol en la solució) per validar si hi ha hagut un error experimental. En el nostre cas, per limitacions de temps, entre totes les 4 parelles que realitzàvem la pràctica alhora només una va tenir temps a preparar els patrons amb interferents així que, amb la informació disponible, no som capaços d'assegurar quina ha estat la font de l'error. Si s'aconseguís trobar i replicar l'efecte matriu en forma de interferent pels patrons externs, aquest seria el mètode ideal a seguir; però si no és el cas, com es té només una única mostra a analitzar, l'addició estàndard és també un bon mètode a utilitzar en el estudi realitzat. Tot i així, és positiu el fet que amb tots els mètodes s'han obtinguts resultats compatibles i molt similars i s'ha pogut comprovar que el mètode d'addició estàndard és el que ha permès tenir un menor interval de confiança i, per tant, un resultat més precís.</t>
  </si>
  <si>
    <t>contingut Cu aiguardent</t>
  </si>
  <si>
    <t>(0.4 ± 0.1) ppm Cu</t>
  </si>
  <si>
    <t>amb mètode addició estàndard, que té en compte l'efecte matriu</t>
  </si>
  <si>
    <r>
      <t xml:space="preserve">El </t>
    </r>
    <r>
      <rPr>
        <u/>
        <sz val="11"/>
        <color theme="1"/>
        <rFont val="Arial"/>
        <family val="2"/>
      </rPr>
      <t>valor és inferior als 10 ppm del límit legal</t>
    </r>
    <r>
      <rPr>
        <sz val="11"/>
        <color theme="1"/>
        <rFont val="Arial"/>
        <family val="2"/>
      </rPr>
      <t xml:space="preserve"> d'acord amb el Reial decret llei 1416/1982.</t>
    </r>
  </si>
  <si>
    <t>Per tant, tot en ordre! No hi cap perill de contaminació per coure bevent aquest orujo.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</si>
</sst>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
    <numFmt numFmtId="165" formatCode="0.0000"/>
    <numFmt numFmtId="166" formatCode="0.000"/>
    <numFmt numFmtId="167" formatCode="0.0"/>
    <numFmt numFmtId="168" formatCode="0.000000"/>
  </numFmts>
  <fonts count="17">
    <font>
      <sz val="11"/>
      <color theme="1"/>
      <name val="Calibri"/>
      <family val="2"/>
      <scheme val="minor"/>
    </font>
    <font>
      <sz val="11"/>
      <color theme="1"/>
      <name val="Arial"/>
      <family val="2"/>
    </font>
    <font>
      <b/>
      <sz val="11"/>
      <color theme="1"/>
      <name val="Arial"/>
      <family val="2"/>
    </font>
    <font>
      <b/>
      <sz val="12"/>
      <color theme="1"/>
      <name val="Arial"/>
      <family val="2"/>
    </font>
    <font>
      <i/>
      <u/>
      <sz val="11"/>
      <color theme="1"/>
      <name val="Arial"/>
      <family val="2"/>
    </font>
    <font>
      <b/>
      <sz val="14"/>
      <color theme="1"/>
      <name val="Arial"/>
      <family val="2"/>
    </font>
    <font>
      <sz val="12"/>
      <color theme="1"/>
      <name val="Arial"/>
      <family val="2"/>
    </font>
    <font>
      <b/>
      <u/>
      <sz val="11"/>
      <color theme="1"/>
      <name val="Arial"/>
      <family val="2"/>
    </font>
    <font>
      <sz val="9"/>
      <color theme="1"/>
      <name val="Arial"/>
      <family val="2"/>
    </font>
    <font>
      <sz val="9"/>
      <color rgb="FF000000"/>
      <name val="Arial"/>
      <family val="2"/>
    </font>
    <font>
      <b/>
      <sz val="9"/>
      <color rgb="FF000000"/>
      <name val="Arial"/>
      <family val="2"/>
    </font>
    <font>
      <vertAlign val="superscript"/>
      <sz val="11"/>
      <color theme="1"/>
      <name val="Arial"/>
      <family val="2"/>
    </font>
    <font>
      <i/>
      <sz val="11"/>
      <color theme="1"/>
      <name val="Arial"/>
      <family val="2"/>
    </font>
    <font>
      <vertAlign val="subscript"/>
      <sz val="11"/>
      <color theme="1"/>
      <name val="Arial"/>
      <family val="2"/>
    </font>
    <font>
      <sz val="12"/>
      <color rgb="FF040C28"/>
      <name val="Arial"/>
      <family val="2"/>
    </font>
    <font>
      <sz val="11"/>
      <color rgb="FFFF0000"/>
      <name val="Arial"/>
      <family val="2"/>
    </font>
    <font>
      <u/>
      <sz val="11"/>
      <color theme="1"/>
      <name val="Arial"/>
      <family val="2"/>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rgb="FFF8CBAD"/>
        <bgColor indexed="64"/>
      </patternFill>
    </fill>
    <fill>
      <patternFill patternType="solid">
        <fgColor rgb="FFFCE4D6"/>
        <bgColor indexed="64"/>
      </patternFill>
    </fill>
    <fill>
      <patternFill patternType="solid">
        <fgColor theme="7" tint="0.59999389629810485"/>
        <bgColor indexed="64"/>
      </patternFill>
    </fill>
    <fill>
      <patternFill patternType="solid">
        <fgColor theme="9"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2">
    <xf numFmtId="0" fontId="0" fillId="0" borderId="0" xfId="0"/>
    <xf numFmtId="0" fontId="1" fillId="0" borderId="1" xfId="0" applyFont="1" applyBorder="1" applyAlignment="1">
      <alignment vertical="center"/>
    </xf>
    <xf numFmtId="0" fontId="1"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1" fillId="0" borderId="1" xfId="0" applyFont="1" applyBorder="1" applyAlignment="1">
      <alignment horizontal="center" vertical="center"/>
    </xf>
    <xf numFmtId="0" fontId="1" fillId="0" borderId="2" xfId="0" applyFont="1" applyBorder="1" applyAlignment="1">
      <alignment vertical="center"/>
    </xf>
    <xf numFmtId="0" fontId="2" fillId="0" borderId="3"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3" xfId="0" applyFont="1" applyBorder="1" applyAlignment="1">
      <alignment vertical="center"/>
    </xf>
    <xf numFmtId="0" fontId="2" fillId="0" borderId="11" xfId="0" applyFont="1" applyBorder="1" applyAlignment="1">
      <alignment vertical="center"/>
    </xf>
    <xf numFmtId="0" fontId="1" fillId="0" borderId="12" xfId="0" applyFont="1" applyBorder="1" applyAlignment="1">
      <alignment vertical="center"/>
    </xf>
    <xf numFmtId="164" fontId="1" fillId="0" borderId="1" xfId="0" applyNumberFormat="1" applyFont="1" applyBorder="1" applyAlignment="1">
      <alignment vertical="center"/>
    </xf>
    <xf numFmtId="167" fontId="1" fillId="0" borderId="1" xfId="0" applyNumberFormat="1" applyFont="1" applyBorder="1" applyAlignment="1">
      <alignment vertical="center"/>
    </xf>
    <xf numFmtId="0" fontId="2" fillId="0" borderId="1" xfId="0" applyFont="1" applyBorder="1" applyAlignment="1">
      <alignment vertical="center"/>
    </xf>
    <xf numFmtId="167" fontId="2" fillId="0" borderId="1" xfId="0" applyNumberFormat="1" applyFont="1" applyBorder="1" applyAlignment="1">
      <alignment vertical="center"/>
    </xf>
    <xf numFmtId="167" fontId="2" fillId="2" borderId="1" xfId="0" applyNumberFormat="1" applyFont="1" applyFill="1" applyBorder="1" applyAlignment="1">
      <alignment vertical="center"/>
    </xf>
    <xf numFmtId="0" fontId="2" fillId="2" borderId="1" xfId="0" applyFont="1" applyFill="1" applyBorder="1" applyAlignment="1">
      <alignment vertical="center"/>
    </xf>
    <xf numFmtId="0" fontId="1" fillId="0" borderId="0" xfId="0" applyFont="1" applyAlignment="1">
      <alignment horizontal="center" vertical="center" wrapText="1"/>
    </xf>
    <xf numFmtId="0" fontId="8" fillId="0" borderId="0" xfId="0" applyFont="1" applyAlignment="1">
      <alignment wrapText="1"/>
    </xf>
    <xf numFmtId="164" fontId="1" fillId="0" borderId="0" xfId="0" applyNumberFormat="1" applyFont="1" applyAlignment="1">
      <alignment vertical="center"/>
    </xf>
    <xf numFmtId="166" fontId="1" fillId="0" borderId="0" xfId="0" applyNumberFormat="1" applyFont="1" applyAlignment="1">
      <alignment vertical="center"/>
    </xf>
    <xf numFmtId="167" fontId="1" fillId="0" borderId="0" xfId="0" applyNumberFormat="1" applyFont="1" applyAlignment="1">
      <alignment vertical="center"/>
    </xf>
    <xf numFmtId="167"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2" fillId="0" borderId="0" xfId="0" applyNumberFormat="1" applyFont="1" applyAlignment="1">
      <alignment vertical="center"/>
    </xf>
    <xf numFmtId="168" fontId="1" fillId="0" borderId="0" xfId="0" applyNumberFormat="1" applyFont="1" applyAlignment="1">
      <alignment vertical="center"/>
    </xf>
    <xf numFmtId="0" fontId="1" fillId="0" borderId="0" xfId="0" applyFont="1" applyAlignment="1">
      <alignment horizontal="right" vertical="center"/>
    </xf>
    <xf numFmtId="0" fontId="2" fillId="0" borderId="0" xfId="0" applyFont="1" applyAlignment="1">
      <alignment horizontal="right" vertical="center"/>
    </xf>
    <xf numFmtId="165" fontId="1" fillId="0" borderId="1" xfId="0" applyNumberFormat="1" applyFont="1" applyBorder="1" applyAlignment="1">
      <alignment horizontal="center" vertical="center"/>
    </xf>
    <xf numFmtId="0" fontId="8"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165" fontId="1" fillId="0" borderId="0" xfId="0" applyNumberFormat="1" applyFont="1" applyAlignment="1">
      <alignment vertical="center" wrapText="1"/>
    </xf>
    <xf numFmtId="0" fontId="14" fillId="0" borderId="0" xfId="0" applyFont="1" applyAlignment="1">
      <alignment vertical="center"/>
    </xf>
    <xf numFmtId="0" fontId="2" fillId="0" borderId="1" xfId="0" applyFont="1" applyBorder="1" applyAlignment="1">
      <alignment horizontal="center" vertical="center"/>
    </xf>
    <xf numFmtId="0" fontId="2" fillId="0" borderId="2" xfId="0" applyFont="1" applyBorder="1" applyAlignment="1">
      <alignment vertical="center"/>
    </xf>
    <xf numFmtId="0" fontId="15" fillId="0" borderId="0" xfId="0" applyFont="1" applyAlignment="1">
      <alignment vertical="center"/>
    </xf>
    <xf numFmtId="0" fontId="2" fillId="6" borderId="0" xfId="0" applyFont="1" applyFill="1" applyAlignment="1">
      <alignment vertical="center"/>
    </xf>
    <xf numFmtId="2" fontId="2" fillId="6" borderId="0" xfId="0" applyNumberFormat="1" applyFont="1" applyFill="1" applyAlignment="1">
      <alignment vertical="center"/>
    </xf>
    <xf numFmtId="0" fontId="2" fillId="6" borderId="0" xfId="0" applyFont="1" applyFill="1" applyAlignment="1">
      <alignment vertical="top" wrapText="1"/>
    </xf>
    <xf numFmtId="2" fontId="2" fillId="6" borderId="0" xfId="0" applyNumberFormat="1" applyFont="1" applyFill="1" applyAlignment="1">
      <alignment vertical="top" wrapText="1"/>
    </xf>
    <xf numFmtId="0" fontId="1" fillId="3" borderId="0" xfId="0" applyFont="1" applyFill="1" applyAlignment="1">
      <alignment vertical="center"/>
    </xf>
    <xf numFmtId="0" fontId="6" fillId="0" borderId="0" xfId="0" applyFont="1"/>
    <xf numFmtId="14" fontId="6" fillId="0" borderId="0" xfId="0" applyNumberFormat="1" applyFont="1" applyAlignment="1">
      <alignment horizontal="left"/>
    </xf>
    <xf numFmtId="167" fontId="2" fillId="0" borderId="1" xfId="0" applyNumberFormat="1" applyFont="1" applyBorder="1" applyAlignment="1">
      <alignment horizontal="center" vertical="center"/>
    </xf>
    <xf numFmtId="0" fontId="1" fillId="2" borderId="2" xfId="0" applyFont="1" applyFill="1" applyBorder="1" applyAlignment="1">
      <alignment vertical="center"/>
    </xf>
    <xf numFmtId="0" fontId="2" fillId="2" borderId="11" xfId="0" applyFont="1" applyFill="1" applyBorder="1" applyAlignment="1">
      <alignment vertical="center"/>
    </xf>
    <xf numFmtId="0" fontId="1" fillId="7" borderId="0" xfId="0" applyFont="1" applyFill="1" applyAlignment="1">
      <alignment vertical="center"/>
    </xf>
    <xf numFmtId="0" fontId="1" fillId="0" borderId="0" xfId="0" applyFont="1" applyAlignment="1">
      <alignment horizontal="center" vertical="center" wrapText="1"/>
    </xf>
    <xf numFmtId="0" fontId="9" fillId="4" borderId="0" xfId="0" applyFont="1" applyFill="1" applyAlignment="1">
      <alignment horizontal="center" vertical="center" wrapText="1"/>
    </xf>
    <xf numFmtId="0" fontId="9" fillId="5"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2" fillId="3" borderId="0" xfId="0" applyFont="1" applyFill="1" applyAlignment="1">
      <alignment horizontal="center"/>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2" fillId="2" borderId="2"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1" xfId="0" applyFont="1" applyFill="1" applyBorder="1" applyAlignment="1">
      <alignment horizontal="center" vertical="center"/>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Calibratge amb patró extern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7020126558685402E-2"/>
          <c:y val="0.14161893852615504"/>
          <c:w val="0.86670715200180881"/>
          <c:h val="0.68883807908891115"/>
        </c:manualLayout>
      </c:layout>
      <c:scatterChart>
        <c:scatterStyle val="lineMarker"/>
        <c:varyColors val="0"/>
        <c:ser>
          <c:idx val="0"/>
          <c:order val="0"/>
          <c:spPr>
            <a:ln w="25400" cap="rnd">
              <a:noFill/>
              <a:round/>
            </a:ln>
            <a:effectLst/>
          </c:spPr>
          <c:marker>
            <c:symbol val="circle"/>
            <c:size val="5"/>
            <c:spPr>
              <a:solidFill>
                <a:srgbClr val="7030A0"/>
              </a:solidFill>
              <a:ln w="9525">
                <a:solidFill>
                  <a:srgbClr val="7030A0"/>
                </a:solidFill>
              </a:ln>
              <a:effectLst/>
            </c:spPr>
          </c:marker>
          <c:trendline>
            <c:spPr>
              <a:ln w="19050" cap="rnd">
                <a:solidFill>
                  <a:srgbClr val="7030A0"/>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7.9823053368329067E-2"/>
                  <c:y val="-8.837962962962962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'Pràctica A'!$A$46:$A$50</c:f>
              <c:numCache>
                <c:formatCode>0.00</c:formatCode>
                <c:ptCount val="5"/>
                <c:pt idx="0">
                  <c:v>0.10845183999999999</c:v>
                </c:pt>
                <c:pt idx="1">
                  <c:v>0.54225920000000005</c:v>
                </c:pt>
                <c:pt idx="2">
                  <c:v>1.0845183999999999</c:v>
                </c:pt>
                <c:pt idx="3">
                  <c:v>2.1690368000000002</c:v>
                </c:pt>
                <c:pt idx="4">
                  <c:v>3.2535552000000001</c:v>
                </c:pt>
              </c:numCache>
            </c:numRef>
          </c:xVal>
          <c:yVal>
            <c:numRef>
              <c:f>'Pràctica A'!$D$46:$D$50</c:f>
              <c:numCache>
                <c:formatCode>General</c:formatCode>
                <c:ptCount val="5"/>
                <c:pt idx="0">
                  <c:v>9.4000000000000004E-3</c:v>
                </c:pt>
                <c:pt idx="1">
                  <c:v>5.4399999999999997E-2</c:v>
                </c:pt>
                <c:pt idx="2">
                  <c:v>0.13289999999999999</c:v>
                </c:pt>
                <c:pt idx="3">
                  <c:v>0.24940000000000001</c:v>
                </c:pt>
                <c:pt idx="4">
                  <c:v>0.38009999999999999</c:v>
                </c:pt>
              </c:numCache>
            </c:numRef>
          </c:yVal>
          <c:smooth val="0"/>
          <c:extLst>
            <c:ext xmlns:c16="http://schemas.microsoft.com/office/drawing/2014/chart" uri="{C3380CC4-5D6E-409C-BE32-E72D297353CC}">
              <c16:uniqueId val="{00000000-F8C8-4326-8B10-DF5C55C3D4B4}"/>
            </c:ext>
          </c:extLst>
        </c:ser>
        <c:dLbls>
          <c:showLegendKey val="0"/>
          <c:showVal val="0"/>
          <c:showCatName val="0"/>
          <c:showSerName val="0"/>
          <c:showPercent val="0"/>
          <c:showBubbleSize val="0"/>
        </c:dLbls>
        <c:axId val="197386047"/>
        <c:axId val="197385567"/>
      </c:scatterChart>
      <c:valAx>
        <c:axId val="19738604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[Cu] (ppm)</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5567"/>
        <c:crosses val="autoZero"/>
        <c:crossBetween val="midCat"/>
      </c:valAx>
      <c:valAx>
        <c:axId val="19738556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Absorbance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Calibratge amb addició</a:t>
            </a:r>
            <a:r>
              <a:rPr lang="en-US" b="1" baseline="0"/>
              <a:t> estàndard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rgbClr val="7030A0"/>
              </a:solidFill>
              <a:ln w="9525">
                <a:solidFill>
                  <a:schemeClr val="accent1"/>
                </a:solidFill>
              </a:ln>
              <a:effectLst/>
            </c:spPr>
          </c:marker>
          <c:trendline>
            <c:spPr>
              <a:ln w="19050" cap="rnd">
                <a:solidFill>
                  <a:srgbClr val="7030A0"/>
                </a:solidFill>
                <a:prstDash val="sysDot"/>
              </a:ln>
              <a:effectLst/>
            </c:spPr>
            <c:trendlineType val="linear"/>
            <c:dispRSqr val="1"/>
            <c:dispEq val="0"/>
            <c:trendlineLbl>
              <c:layout>
                <c:manualLayout>
                  <c:x val="-1.5360341027602751E-2"/>
                  <c:y val="-4.7973883009380804E-2"/>
                </c:manualLayout>
              </c:layout>
              <c:numFmt formatCode="#,##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'Pràctica A'!$A$108:$A$112</c:f>
              <c:numCache>
                <c:formatCode>0.00</c:formatCode>
                <c:ptCount val="5"/>
                <c:pt idx="0">
                  <c:v>0</c:v>
                </c:pt>
                <c:pt idx="1">
                  <c:v>0.54225920000000005</c:v>
                </c:pt>
                <c:pt idx="2">
                  <c:v>1.0845184000000001</c:v>
                </c:pt>
                <c:pt idx="3">
                  <c:v>2.1690368000000002</c:v>
                </c:pt>
                <c:pt idx="4">
                  <c:v>3.2535551999999996</c:v>
                </c:pt>
              </c:numCache>
            </c:numRef>
          </c:xVal>
          <c:yVal>
            <c:numRef>
              <c:f>'Pràctica A'!$E$108:$E$112</c:f>
              <c:numCache>
                <c:formatCode>General</c:formatCode>
                <c:ptCount val="5"/>
                <c:pt idx="0">
                  <c:v>3.15E-2</c:v>
                </c:pt>
                <c:pt idx="1">
                  <c:v>7.7399999999999997E-2</c:v>
                </c:pt>
                <c:pt idx="2">
                  <c:v>0.12509999999999999</c:v>
                </c:pt>
                <c:pt idx="3">
                  <c:v>0.2099</c:v>
                </c:pt>
                <c:pt idx="4">
                  <c:v>0.2974</c:v>
                </c:pt>
              </c:numCache>
            </c:numRef>
          </c:yVal>
          <c:smooth val="0"/>
          <c:extLst>
            <c:ext xmlns:c16="http://schemas.microsoft.com/office/drawing/2014/chart" uri="{C3380CC4-5D6E-409C-BE32-E72D297353CC}">
              <c16:uniqueId val="{00000001-4E95-4584-A03F-5AC7B5AF7073}"/>
            </c:ext>
          </c:extLst>
        </c:ser>
        <c:dLbls>
          <c:showLegendKey val="0"/>
          <c:showVal val="0"/>
          <c:showCatName val="0"/>
          <c:showSerName val="0"/>
          <c:showPercent val="0"/>
          <c:showBubbleSize val="0"/>
        </c:dLbls>
        <c:axId val="197386047"/>
        <c:axId val="197385567"/>
      </c:scatterChart>
      <c:valAx>
        <c:axId val="19738604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[Cu] (ppm)</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5567"/>
        <c:crosses val="autoZero"/>
        <c:crossBetween val="midCat"/>
      </c:valAx>
      <c:valAx>
        <c:axId val="19738556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Absorbance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Calibratge amb patró extern</a:t>
            </a:r>
            <a:r>
              <a:rPr lang="en-US" b="1" baseline="0"/>
              <a:t> i interferent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rgbClr val="7030A0"/>
              </a:solidFill>
              <a:ln w="9525">
                <a:solidFill>
                  <a:srgbClr val="7030A0"/>
                </a:solidFill>
              </a:ln>
              <a:effectLst/>
            </c:spPr>
          </c:marker>
          <c:trendline>
            <c:spPr>
              <a:ln w="19050" cap="rnd">
                <a:solidFill>
                  <a:srgbClr val="7030A0"/>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5.7652204840853358E-2"/>
                  <c:y val="0.103558947119406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'Pràctica A'!$A$76:$A$80</c:f>
              <c:numCache>
                <c:formatCode>0.00</c:formatCode>
                <c:ptCount val="5"/>
                <c:pt idx="0">
                  <c:v>9.8070000000000018E-2</c:v>
                </c:pt>
                <c:pt idx="1">
                  <c:v>0.49035000000000001</c:v>
                </c:pt>
                <c:pt idx="2">
                  <c:v>0.98070000000000002</c:v>
                </c:pt>
                <c:pt idx="3">
                  <c:v>1.9614</c:v>
                </c:pt>
                <c:pt idx="4">
                  <c:v>2.9420999999999999</c:v>
                </c:pt>
              </c:numCache>
            </c:numRef>
          </c:xVal>
          <c:yVal>
            <c:numRef>
              <c:f>'Pràctica A'!$E$76:$E$80</c:f>
              <c:numCache>
                <c:formatCode>General</c:formatCode>
                <c:ptCount val="5"/>
                <c:pt idx="0">
                  <c:v>1.1000000000000001E-3</c:v>
                </c:pt>
                <c:pt idx="1">
                  <c:v>4.6600000000000003E-2</c:v>
                </c:pt>
                <c:pt idx="2">
                  <c:v>0.1148</c:v>
                </c:pt>
                <c:pt idx="3">
                  <c:v>0.2382</c:v>
                </c:pt>
                <c:pt idx="4">
                  <c:v>0.33760000000000001</c:v>
                </c:pt>
              </c:numCache>
            </c:numRef>
          </c:yVal>
          <c:smooth val="0"/>
          <c:extLst>
            <c:ext xmlns:c16="http://schemas.microsoft.com/office/drawing/2014/chart" uri="{C3380CC4-5D6E-409C-BE32-E72D297353CC}">
              <c16:uniqueId val="{00000002-862B-4E59-A3C7-848A4D78C307}"/>
            </c:ext>
          </c:extLst>
        </c:ser>
        <c:dLbls>
          <c:showLegendKey val="0"/>
          <c:showVal val="0"/>
          <c:showCatName val="0"/>
          <c:showSerName val="0"/>
          <c:showPercent val="0"/>
          <c:showBubbleSize val="0"/>
        </c:dLbls>
        <c:axId val="197386047"/>
        <c:axId val="197385567"/>
      </c:scatterChart>
      <c:valAx>
        <c:axId val="19738604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[Cu] (ppm)</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5567"/>
        <c:crosses val="autoZero"/>
        <c:crossBetween val="midCat"/>
      </c:valAx>
      <c:valAx>
        <c:axId val="19738556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Absorbance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Addició estàndard</c:v>
          </c:tx>
          <c:spPr>
            <a:ln w="25400">
              <a:noFill/>
            </a:ln>
          </c:spPr>
          <c:trendline>
            <c:spPr>
              <a:ln>
                <a:solidFill>
                  <a:srgbClr val="FFC000"/>
                </a:solidFill>
                <a:prstDash val="sysDash"/>
              </a:ln>
            </c:spPr>
            <c:trendlineType val="linear"/>
            <c:dispRSqr val="0"/>
            <c:dispEq val="0"/>
          </c:trendline>
          <c:xVal>
            <c:numRef>
              <c:f>'Pràctica A'!$A$108:$A$112</c:f>
              <c:numCache>
                <c:formatCode>0.00</c:formatCode>
                <c:ptCount val="5"/>
                <c:pt idx="0">
                  <c:v>0</c:v>
                </c:pt>
                <c:pt idx="1">
                  <c:v>0.54225920000000005</c:v>
                </c:pt>
                <c:pt idx="2">
                  <c:v>1.0845184000000001</c:v>
                </c:pt>
                <c:pt idx="3">
                  <c:v>2.1690368000000002</c:v>
                </c:pt>
                <c:pt idx="4">
                  <c:v>3.2535551999999996</c:v>
                </c:pt>
              </c:numCache>
            </c:numRef>
          </c:xVal>
          <c:yVal>
            <c:numRef>
              <c:f>'Pràctica A'!$E$108:$E$112</c:f>
              <c:numCache>
                <c:formatCode>General</c:formatCode>
                <c:ptCount val="5"/>
                <c:pt idx="0">
                  <c:v>3.15E-2</c:v>
                </c:pt>
                <c:pt idx="1">
                  <c:v>7.7399999999999997E-2</c:v>
                </c:pt>
                <c:pt idx="2">
                  <c:v>0.12509999999999999</c:v>
                </c:pt>
                <c:pt idx="3">
                  <c:v>0.2099</c:v>
                </c:pt>
                <c:pt idx="4">
                  <c:v>0.2974</c:v>
                </c:pt>
              </c:numCache>
            </c:numRef>
          </c:yVal>
          <c:smooth val="0"/>
          <c:extLst>
            <c:ext xmlns:c16="http://schemas.microsoft.com/office/drawing/2014/chart" uri="{C3380CC4-5D6E-409C-BE32-E72D297353CC}">
              <c16:uniqueId val="{0000000C-9485-4DBB-84BB-48B9352A8B3C}"/>
            </c:ext>
          </c:extLst>
        </c:ser>
        <c:ser>
          <c:idx val="2"/>
          <c:order val="1"/>
          <c:tx>
            <c:v>Patró extern</c:v>
          </c:tx>
          <c:spPr>
            <a:ln w="25400" cap="rnd">
              <a:noFill/>
              <a:round/>
            </a:ln>
            <a:effectLst/>
          </c:spPr>
          <c:marker>
            <c:spPr>
              <a:solidFill>
                <a:srgbClr val="00B050"/>
              </a:solidFill>
            </c:spPr>
          </c:marker>
          <c:trendline>
            <c:spPr>
              <a:ln>
                <a:solidFill>
                  <a:srgbClr val="00B050"/>
                </a:solidFill>
                <a:prstDash val="sysDash"/>
              </a:ln>
            </c:spPr>
            <c:trendlineType val="linear"/>
            <c:dispRSqr val="0"/>
            <c:dispEq val="0"/>
          </c:trendline>
          <c:xVal>
            <c:numRef>
              <c:f>'Pràctica A'!$A$46:$A$50</c:f>
              <c:numCache>
                <c:formatCode>0.00</c:formatCode>
                <c:ptCount val="5"/>
                <c:pt idx="0">
                  <c:v>0.10845183999999999</c:v>
                </c:pt>
                <c:pt idx="1">
                  <c:v>0.54225920000000005</c:v>
                </c:pt>
                <c:pt idx="2">
                  <c:v>1.0845183999999999</c:v>
                </c:pt>
                <c:pt idx="3">
                  <c:v>2.1690368000000002</c:v>
                </c:pt>
                <c:pt idx="4">
                  <c:v>3.2535552000000001</c:v>
                </c:pt>
              </c:numCache>
            </c:numRef>
          </c:xVal>
          <c:yVal>
            <c:numRef>
              <c:f>'Pràctica A'!$D$46:$D$50</c:f>
              <c:numCache>
                <c:formatCode>General</c:formatCode>
                <c:ptCount val="5"/>
                <c:pt idx="0">
                  <c:v>9.4000000000000004E-3</c:v>
                </c:pt>
                <c:pt idx="1">
                  <c:v>5.4399999999999997E-2</c:v>
                </c:pt>
                <c:pt idx="2">
                  <c:v>0.13289999999999999</c:v>
                </c:pt>
                <c:pt idx="3">
                  <c:v>0.24940000000000001</c:v>
                </c:pt>
                <c:pt idx="4">
                  <c:v>0.38009999999999999</c:v>
                </c:pt>
              </c:numCache>
            </c:numRef>
          </c:yVal>
          <c:smooth val="0"/>
          <c:extLst>
            <c:ext xmlns:c16="http://schemas.microsoft.com/office/drawing/2014/chart" uri="{C3380CC4-5D6E-409C-BE32-E72D297353CC}">
              <c16:uniqueId val="{0000000D-9485-4DBB-84BB-48B9352A8B3C}"/>
            </c:ext>
          </c:extLst>
        </c:ser>
        <c:ser>
          <c:idx val="0"/>
          <c:order val="2"/>
          <c:tx>
            <c:v>Patró extern amb interferent</c:v>
          </c:tx>
          <c:spPr>
            <a:ln w="25400" cap="rnd">
              <a:noFill/>
              <a:round/>
            </a:ln>
            <a:effectLst/>
          </c:spPr>
          <c:marker>
            <c:symbol val="circle"/>
            <c:size val="5"/>
            <c:spPr>
              <a:solidFill>
                <a:srgbClr val="7030A0"/>
              </a:solidFill>
              <a:ln w="9525">
                <a:solidFill>
                  <a:srgbClr val="7030A0"/>
                </a:solidFill>
              </a:ln>
              <a:effectLst/>
            </c:spPr>
          </c:marker>
          <c:trendline>
            <c:spPr>
              <a:ln w="19050" cap="rnd">
                <a:solidFill>
                  <a:srgbClr val="7030A0"/>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'Pràctica A'!$A$76:$A$80</c:f>
              <c:numCache>
                <c:formatCode>0.00</c:formatCode>
                <c:ptCount val="5"/>
                <c:pt idx="0">
                  <c:v>9.8070000000000018E-2</c:v>
                </c:pt>
                <c:pt idx="1">
                  <c:v>0.49035000000000001</c:v>
                </c:pt>
                <c:pt idx="2">
                  <c:v>0.98070000000000002</c:v>
                </c:pt>
                <c:pt idx="3">
                  <c:v>1.9614</c:v>
                </c:pt>
                <c:pt idx="4">
                  <c:v>2.9420999999999999</c:v>
                </c:pt>
              </c:numCache>
            </c:numRef>
          </c:xVal>
          <c:yVal>
            <c:numRef>
              <c:f>'Pràctica A'!$E$76:$E$80</c:f>
              <c:numCache>
                <c:formatCode>General</c:formatCode>
                <c:ptCount val="5"/>
                <c:pt idx="0">
                  <c:v>1.1000000000000001E-3</c:v>
                </c:pt>
                <c:pt idx="1">
                  <c:v>4.6600000000000003E-2</c:v>
                </c:pt>
                <c:pt idx="2">
                  <c:v>0.1148</c:v>
                </c:pt>
                <c:pt idx="3">
                  <c:v>0.2382</c:v>
                </c:pt>
                <c:pt idx="4">
                  <c:v>0.33760000000000001</c:v>
                </c:pt>
              </c:numCache>
            </c:numRef>
          </c:yVal>
          <c:smooth val="0"/>
          <c:extLst>
            <c:ext xmlns:c16="http://schemas.microsoft.com/office/drawing/2014/chart" uri="{C3380CC4-5D6E-409C-BE32-E72D297353CC}">
              <c16:uniqueId val="{0000000B-9485-4DBB-84BB-48B9352A8B3C}"/>
            </c:ext>
          </c:extLst>
        </c:ser>
        <c:dLbls>
          <c:showLegendKey val="0"/>
          <c:showVal val="0"/>
          <c:showCatName val="0"/>
          <c:showSerName val="0"/>
          <c:showPercent val="0"/>
          <c:showBubbleSize val="0"/>
        </c:dLbls>
        <c:axId val="197386047"/>
        <c:axId val="197385567"/>
      </c:scatterChart>
      <c:valAx>
        <c:axId val="19738604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[Cu] (ppm)</a:t>
                </a: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5567"/>
        <c:crosses val="autoZero"/>
        <c:crossBetween val="midCat"/>
      </c:valAx>
      <c:valAx>
        <c:axId val="19738556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Absorbance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6047"/>
        <c:crosses val="autoZero"/>
        <c:crossBetween val="midCat"/>
      </c:valAx>
    </c:plotArea>
    <c:legend>
      <c:legendPos val="r"/>
      <c:legendEntry>
        <c:idx val="3"/>
        <c:delete val="1"/>
      </c:legendEntry>
      <c:legendEntry>
        <c:idx val="4"/>
        <c:delete val="1"/>
      </c:legendEntry>
      <c:legendEntry>
        <c:idx val="5"/>
        <c:delete val="1"/>
      </c:legendEntry>
      <c:legendEntry>
        <c:idx val="6"/>
        <c:delete val="1"/>
      </c:legendEntry>
      <c:overlay val="0"/>
    </c:legend>
    <c:plotVisOnly val="1"/>
    <c:dispBlanksAs val="gap"/>
    <c:showDLblsOverMax val="0"/>
    <c:extLst/>
  </c:chart>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83820</xdr:colOff>
      <xdr:row>57</xdr:row>
      <xdr:rowOff>87630</xdr:rowOff>
    </xdr:from>
    <xdr:to>
      <xdr:col>5</xdr:col>
      <xdr:colOff>731520</xdr:colOff>
      <xdr:row>68</xdr:row>
      <xdr:rowOff>228600</xdr:rowOff>
    </xdr:to>
    <xdr:graphicFrame macro="">
      <xdr:nvGraphicFramePr>
        <xdr:cNvPr id="2" name="Chart 1">
          <a:extLst>
            <a:ext uri="{FF2B5EF4-FFF2-40B4-BE49-F238E27FC236}">
              <a16:creationId xmlns:a16="http://schemas.microsoft.com/office/drawing/2014/main" id="{C394B543-B5BE-D865-4D88-D7704C1EE1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30480</xdr:colOff>
      <xdr:row>119</xdr:row>
      <xdr:rowOff>68580</xdr:rowOff>
    </xdr:from>
    <xdr:to>
      <xdr:col>5</xdr:col>
      <xdr:colOff>701040</xdr:colOff>
      <xdr:row>130</xdr:row>
      <xdr:rowOff>236220</xdr:rowOff>
    </xdr:to>
    <xdr:graphicFrame macro="">
      <xdr:nvGraphicFramePr>
        <xdr:cNvPr id="10" name="Chart 2">
          <a:extLst>
            <a:ext uri="{FF2B5EF4-FFF2-40B4-BE49-F238E27FC236}">
              <a16:creationId xmlns:a16="http://schemas.microsoft.com/office/drawing/2014/main" id="{D4D532D3-9C1E-4C6F-B721-80DC1A279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xdr:colOff>
      <xdr:row>87</xdr:row>
      <xdr:rowOff>60960</xdr:rowOff>
    </xdr:from>
    <xdr:to>
      <xdr:col>5</xdr:col>
      <xdr:colOff>670560</xdr:colOff>
      <xdr:row>98</xdr:row>
      <xdr:rowOff>201930</xdr:rowOff>
    </xdr:to>
    <xdr:graphicFrame macro="">
      <xdr:nvGraphicFramePr>
        <xdr:cNvPr id="11" name="Chart 3">
          <a:extLst>
            <a:ext uri="{FF2B5EF4-FFF2-40B4-BE49-F238E27FC236}">
              <a16:creationId xmlns:a16="http://schemas.microsoft.com/office/drawing/2014/main" id="{E884C876-130B-4698-8FA2-A0972B067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182880</xdr:colOff>
      <xdr:row>144</xdr:row>
      <xdr:rowOff>30480</xdr:rowOff>
    </xdr:from>
    <xdr:to>
      <xdr:col>6</xdr:col>
      <xdr:colOff>68580</xdr:colOff>
      <xdr:row>155</xdr:row>
      <xdr:rowOff>198120</xdr:rowOff>
    </xdr:to>
    <xdr:graphicFrame macro="">
      <xdr:nvGraphicFramePr>
        <xdr:cNvPr id="5" name="Chart 4">
          <a:extLst>
            <a:ext uri="{FF2B5EF4-FFF2-40B4-BE49-F238E27FC236}">
              <a16:creationId xmlns:a16="http://schemas.microsoft.com/office/drawing/2014/main" id="{1DEE8381-B172-408D-9071-0F342D95E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C8-5267-41A1-8A30-44F36ECBD8D8}">
  <dimension ref="A1:P181"/>
  <sheetViews>
    <sheetView showGridLines="0" tabSelected="1" topLeftCell="A36" zoomScale="113" zoomScaleNormal="100" workbookViewId="0">
      <selection activeCell="J51" sqref="J51"/>
    </sheetView>
  </sheetViews>
  <sheetFormatPr defaultColWidth="11.42578125" defaultRowHeight="23.25" customHeight="1"/>
  <cols>
    <col min="1" max="1" width="23" style="2" customWidth="1"/>
    <col min="2" max="2" width="16.28515625" style="2" customWidth="1"/>
    <col min="3" max="3" width="14" style="2" customWidth="1"/>
    <col min="4" max="4" width="20.140625" style="2" customWidth="1"/>
    <col min="5" max="5" width="13.7109375" style="2" customWidth="1"/>
    <col min="6" max="6" width="11.42578125" style="2" customWidth="1"/>
    <col min="7" max="8" width="11.42578125" style="2"/>
    <col min="9" max="9" width="12.7109375" style="2" bestFit="1" customWidth="1"/>
    <col min="10" max="10" width="11.42578125" style="2"/>
    <col min="11" max="11" width="23.140625" style="2" customWidth="1"/>
    <col min="12" max="12" width="12.7109375" style="2" bestFit="1" customWidth="1"/>
    <col min="13" max="13" width="13" style="2" customWidth="1"/>
    <col min="14" max="16384" width="11.42578125" style="2"/>
  </cols>
  <sheetData>
    <row r="1" spans="1:11" ht="21" customHeight="1">
      <c r="A1" s="3" t="s">
        <v>0</v>
      </c>
      <c r="E1" s="4" t="s">
        <v>1</v>
      </c>
      <c r="F1" s="51">
        <v>45758</v>
      </c>
    </row>
    <row r="2" spans="1:11" s="5" customFormat="1" ht="15" customHeight="1">
      <c r="A2" s="4" t="s">
        <v>2</v>
      </c>
      <c r="B2" s="50" t="s">
        <v>3</v>
      </c>
      <c r="E2" s="4" t="s">
        <v>4</v>
      </c>
      <c r="F2" s="50" t="s">
        <v>5</v>
      </c>
    </row>
    <row r="3" spans="1:11" s="5" customFormat="1" ht="15" customHeight="1">
      <c r="A3" s="4" t="s">
        <v>6</v>
      </c>
      <c r="B3" s="50" t="s">
        <v>7</v>
      </c>
    </row>
    <row r="4" spans="1:11" s="5" customFormat="1" ht="15" customHeight="1">
      <c r="A4" s="4"/>
      <c r="B4" s="50"/>
    </row>
    <row r="5" spans="1:11" s="5" customFormat="1" ht="15" customHeight="1">
      <c r="A5" s="4" t="s">
        <v>8</v>
      </c>
    </row>
    <row r="6" spans="1:11" ht="15" customHeight="1">
      <c r="A6" s="56" t="s">
        <v>9</v>
      </c>
      <c r="B6" s="56"/>
      <c r="C6" s="56"/>
      <c r="D6" s="56"/>
      <c r="E6" s="56"/>
      <c r="F6" s="56"/>
      <c r="G6" s="56"/>
    </row>
    <row r="7" spans="1:11" ht="15" customHeight="1">
      <c r="A7" s="56"/>
      <c r="B7" s="56"/>
      <c r="C7" s="56"/>
      <c r="D7" s="56"/>
      <c r="E7" s="56"/>
      <c r="F7" s="56"/>
      <c r="G7" s="56"/>
    </row>
    <row r="8" spans="1:11" ht="15" customHeight="1">
      <c r="A8" s="56"/>
      <c r="B8" s="56"/>
      <c r="C8" s="56"/>
      <c r="D8" s="56"/>
      <c r="E8" s="56"/>
      <c r="F8" s="56"/>
      <c r="G8" s="56"/>
    </row>
    <row r="9" spans="1:11" ht="23.25" customHeight="1">
      <c r="A9" s="4" t="s">
        <v>10</v>
      </c>
    </row>
    <row r="11" spans="1:11" ht="23.25" customHeight="1">
      <c r="A11" s="21" t="s">
        <v>11</v>
      </c>
      <c r="B11" s="1">
        <v>0.98550000000000004</v>
      </c>
      <c r="D11" s="2" t="s">
        <v>12</v>
      </c>
      <c r="E11" s="2">
        <f>B11*10^3/249.685*63.546/(B12*10^(-3))</f>
        <v>1003.2574323647796</v>
      </c>
      <c r="F11" s="2" t="s">
        <v>13</v>
      </c>
    </row>
    <row r="12" spans="1:11" ht="23.25" customHeight="1">
      <c r="A12" s="21" t="s">
        <v>14</v>
      </c>
      <c r="B12" s="20">
        <v>250</v>
      </c>
      <c r="E12" s="59" t="s">
        <v>15</v>
      </c>
      <c r="F12" s="59"/>
      <c r="G12" s="59"/>
      <c r="H12" s="59"/>
      <c r="I12" s="59"/>
      <c r="J12" s="59"/>
      <c r="K12" s="59"/>
    </row>
    <row r="13" spans="1:11" ht="32.65" customHeight="1">
      <c r="E13" s="59"/>
      <c r="F13" s="59"/>
      <c r="G13" s="59"/>
      <c r="H13" s="59"/>
      <c r="I13" s="59"/>
      <c r="J13" s="59"/>
      <c r="K13" s="59"/>
    </row>
    <row r="15" spans="1:11" ht="23.25" customHeight="1">
      <c r="A15" s="21" t="s">
        <v>16</v>
      </c>
      <c r="B15" s="21" t="s">
        <v>17</v>
      </c>
      <c r="D15" s="21" t="s">
        <v>18</v>
      </c>
      <c r="E15" s="23">
        <f>AVERAGE(B16:B20)</f>
        <v>1084.5183999999999</v>
      </c>
      <c r="F15" s="24" t="s">
        <v>13</v>
      </c>
    </row>
    <row r="16" spans="1:11" ht="23.25" customHeight="1">
      <c r="A16" s="20">
        <v>17</v>
      </c>
      <c r="B16" s="20">
        <f>$E$18*A16/25*$E$19*10^3</f>
        <v>1080.2819999999999</v>
      </c>
      <c r="D16" s="21" t="s">
        <v>19</v>
      </c>
      <c r="E16" s="22">
        <f>STDEV(B16:B20)/E15*100</f>
        <v>0.33829117335330272</v>
      </c>
      <c r="F16" s="21" t="s">
        <v>20</v>
      </c>
    </row>
    <row r="17" spans="1:10" ht="23.25" customHeight="1">
      <c r="A17" s="20">
        <v>17.100000000000001</v>
      </c>
      <c r="B17" s="20">
        <f t="shared" ref="B17:B18" si="0">$E$18*A17/25*$E$19*10^3</f>
        <v>1086.6366</v>
      </c>
    </row>
    <row r="18" spans="1:10" ht="23.25" customHeight="1">
      <c r="A18" s="20">
        <v>17.100000000000001</v>
      </c>
      <c r="B18" s="20">
        <f t="shared" si="0"/>
        <v>1086.6366</v>
      </c>
      <c r="D18" s="6" t="s">
        <v>21</v>
      </c>
      <c r="E18" s="2">
        <v>2.5000000000000001E-2</v>
      </c>
      <c r="F18" s="2" t="s">
        <v>22</v>
      </c>
    </row>
    <row r="19" spans="1:10" ht="23.25" customHeight="1">
      <c r="A19" s="1"/>
      <c r="B19" s="1"/>
      <c r="D19" s="6" t="s">
        <v>23</v>
      </c>
      <c r="E19" s="2">
        <v>63.545999999999999</v>
      </c>
      <c r="F19" s="2" t="s">
        <v>24</v>
      </c>
    </row>
    <row r="20" spans="1:10" ht="23.25" customHeight="1">
      <c r="A20" s="1"/>
      <c r="B20" s="1"/>
    </row>
    <row r="21" spans="1:10" ht="23.25" customHeight="1">
      <c r="A21" s="2" t="s">
        <v>25</v>
      </c>
      <c r="C21" s="2" t="s">
        <v>26</v>
      </c>
      <c r="D21" s="2" t="s">
        <v>27</v>
      </c>
    </row>
    <row r="23" spans="1:10" ht="23.25" customHeight="1">
      <c r="A23" s="4" t="s">
        <v>28</v>
      </c>
    </row>
    <row r="24" spans="1:10" ht="23.25" customHeight="1">
      <c r="A24" s="60" t="s">
        <v>29</v>
      </c>
      <c r="B24" s="61"/>
      <c r="C24" s="61"/>
      <c r="D24" s="61"/>
      <c r="E24" s="62"/>
    </row>
    <row r="25" spans="1:10" ht="23.25" customHeight="1">
      <c r="A25" s="63"/>
      <c r="B25" s="56"/>
      <c r="C25" s="56"/>
      <c r="D25" s="56"/>
      <c r="E25" s="64"/>
    </row>
    <row r="26" spans="1:10" ht="34.15" customHeight="1">
      <c r="A26" s="63"/>
      <c r="B26" s="56"/>
      <c r="C26" s="56"/>
      <c r="D26" s="56"/>
      <c r="E26" s="64"/>
    </row>
    <row r="27" spans="1:10" ht="23.25" customHeight="1">
      <c r="A27" s="63"/>
      <c r="B27" s="56"/>
      <c r="C27" s="56"/>
      <c r="D27" s="56"/>
      <c r="E27" s="64"/>
    </row>
    <row r="28" spans="1:10" ht="23.25" customHeight="1">
      <c r="A28" s="63"/>
      <c r="B28" s="56"/>
      <c r="C28" s="56"/>
      <c r="D28" s="56"/>
      <c r="E28" s="64"/>
    </row>
    <row r="29" spans="1:10" ht="49.9" customHeight="1">
      <c r="A29" s="63"/>
      <c r="B29" s="56"/>
      <c r="C29" s="56"/>
      <c r="D29" s="56"/>
      <c r="E29" s="64"/>
    </row>
    <row r="30" spans="1:10" ht="23.25" customHeight="1">
      <c r="A30" s="63"/>
      <c r="B30" s="56"/>
      <c r="C30" s="56"/>
      <c r="D30" s="56"/>
      <c r="E30" s="64"/>
    </row>
    <row r="31" spans="1:10" ht="23.25" customHeight="1">
      <c r="A31" s="65"/>
      <c r="B31" s="66"/>
      <c r="C31" s="66"/>
      <c r="D31" s="66"/>
      <c r="E31" s="67"/>
      <c r="H31" s="26"/>
      <c r="I31" s="26"/>
      <c r="J31" s="26"/>
    </row>
    <row r="32" spans="1:10" ht="56.65" customHeight="1">
      <c r="A32" s="4" t="s">
        <v>8</v>
      </c>
    </row>
    <row r="33" spans="1:16" ht="59.65" customHeight="1">
      <c r="A33" s="60" t="s">
        <v>30</v>
      </c>
      <c r="B33" s="61"/>
      <c r="C33" s="61"/>
      <c r="D33" s="61"/>
      <c r="E33" s="62"/>
      <c r="G33" s="57" t="s">
        <v>31</v>
      </c>
      <c r="H33" s="57"/>
      <c r="I33" s="57"/>
    </row>
    <row r="34" spans="1:16" ht="23.25" customHeight="1">
      <c r="A34" s="63"/>
      <c r="B34" s="56"/>
      <c r="C34" s="56"/>
      <c r="D34" s="56"/>
      <c r="E34" s="64"/>
      <c r="G34" s="58" t="s">
        <v>32</v>
      </c>
      <c r="H34" s="58"/>
      <c r="I34" s="58"/>
    </row>
    <row r="35" spans="1:16" ht="40.9" customHeight="1">
      <c r="A35" s="63"/>
      <c r="B35" s="56"/>
      <c r="C35" s="56"/>
      <c r="D35" s="56"/>
      <c r="E35" s="64"/>
      <c r="G35" s="58"/>
      <c r="H35" s="58"/>
      <c r="I35" s="58"/>
    </row>
    <row r="36" spans="1:16" ht="23.25" customHeight="1">
      <c r="A36" s="63"/>
      <c r="B36" s="56"/>
      <c r="C36" s="56"/>
      <c r="D36" s="56"/>
      <c r="E36" s="64"/>
      <c r="G36" s="58"/>
      <c r="H36" s="58"/>
      <c r="I36" s="58"/>
    </row>
    <row r="37" spans="1:16" ht="23.25" customHeight="1">
      <c r="A37" s="63"/>
      <c r="B37" s="56"/>
      <c r="C37" s="56"/>
      <c r="D37" s="56"/>
      <c r="E37" s="64"/>
      <c r="G37" s="58"/>
      <c r="H37" s="58"/>
      <c r="I37" s="58"/>
    </row>
    <row r="38" spans="1:16" ht="23.25" customHeight="1">
      <c r="A38" s="63"/>
      <c r="B38" s="56"/>
      <c r="C38" s="56"/>
      <c r="D38" s="56"/>
      <c r="E38" s="64"/>
      <c r="G38" s="58"/>
      <c r="H38" s="58"/>
      <c r="I38" s="58"/>
    </row>
    <row r="39" spans="1:16" ht="23.25" customHeight="1">
      <c r="A39" s="63"/>
      <c r="B39" s="56"/>
      <c r="C39" s="56"/>
      <c r="D39" s="56"/>
      <c r="E39" s="64"/>
    </row>
    <row r="40" spans="1:16" ht="23.25" customHeight="1">
      <c r="A40" s="65"/>
      <c r="B40" s="66"/>
      <c r="C40" s="66"/>
      <c r="D40" s="66"/>
      <c r="E40" s="67"/>
    </row>
    <row r="41" spans="1:16" ht="23.25" customHeight="1">
      <c r="A41" s="4" t="s">
        <v>33</v>
      </c>
      <c r="F41" s="2" t="s">
        <v>34</v>
      </c>
      <c r="L41" s="49" t="s">
        <v>35</v>
      </c>
      <c r="M41" s="49"/>
      <c r="N41" s="49"/>
      <c r="O41" s="49"/>
      <c r="P41" s="49"/>
    </row>
    <row r="42" spans="1:16" ht="23.25" customHeight="1">
      <c r="F42" s="2" t="s">
        <v>36</v>
      </c>
      <c r="I42" s="29">
        <f>E15/10</f>
        <v>108.45183999999999</v>
      </c>
      <c r="J42" s="2" t="s">
        <v>13</v>
      </c>
      <c r="L42" s="49" t="s">
        <v>37</v>
      </c>
      <c r="M42" s="49"/>
      <c r="N42" s="49"/>
      <c r="O42" s="49"/>
      <c r="P42" s="49"/>
    </row>
    <row r="43" spans="1:16" ht="23.25" customHeight="1">
      <c r="A43" s="7" t="s">
        <v>38</v>
      </c>
      <c r="F43" s="2" t="s">
        <v>39</v>
      </c>
      <c r="I43" s="29">
        <f>I42/10</f>
        <v>10.845184</v>
      </c>
      <c r="J43" s="2" t="s">
        <v>13</v>
      </c>
      <c r="L43" s="49" t="s">
        <v>40</v>
      </c>
      <c r="M43" s="49"/>
      <c r="N43" s="49"/>
      <c r="O43" s="49"/>
      <c r="P43" s="49"/>
    </row>
    <row r="45" spans="1:16" ht="23.25" customHeight="1">
      <c r="A45" s="21" t="s">
        <v>41</v>
      </c>
      <c r="B45" s="42" t="s">
        <v>42</v>
      </c>
      <c r="C45" s="42" t="s">
        <v>43</v>
      </c>
      <c r="D45" s="42" t="s">
        <v>44</v>
      </c>
      <c r="F45" s="70" t="s">
        <v>45</v>
      </c>
      <c r="G45" s="70"/>
      <c r="H45" s="70"/>
      <c r="I45" s="70"/>
    </row>
    <row r="46" spans="1:16" ht="23.25" customHeight="1">
      <c r="A46" s="31">
        <f>$I$43*B46/C46</f>
        <v>0.10845183999999999</v>
      </c>
      <c r="B46" s="30">
        <v>1</v>
      </c>
      <c r="C46" s="30">
        <v>100</v>
      </c>
      <c r="D46" s="8">
        <f>0.0094</f>
        <v>9.4000000000000004E-3</v>
      </c>
      <c r="F46" s="34" t="s">
        <v>46</v>
      </c>
      <c r="G46" s="28" cm="1">
        <f t="array" ref="G46:H50">LINEST(D46:D50,A46:A50,1,1)</f>
        <v>0.11792701337438971</v>
      </c>
      <c r="H46" s="28">
        <v>-3.580100937274705E-3</v>
      </c>
      <c r="I46" s="2" t="s">
        <v>47</v>
      </c>
    </row>
    <row r="47" spans="1:16" ht="23.25" customHeight="1">
      <c r="A47" s="31">
        <f t="shared" ref="A47:A50" si="1">$I$43*B47/C47</f>
        <v>0.54225920000000005</v>
      </c>
      <c r="B47" s="30">
        <v>5</v>
      </c>
      <c r="C47" s="30">
        <v>100</v>
      </c>
      <c r="D47" s="8">
        <f>0.0544</f>
        <v>5.4399999999999997E-2</v>
      </c>
      <c r="F47" s="34" t="s">
        <v>48</v>
      </c>
      <c r="G47" s="28">
        <v>2.4472742978913459E-3</v>
      </c>
      <c r="H47" s="28">
        <v>4.4822320263418081E-3</v>
      </c>
      <c r="I47" s="2" t="s">
        <v>49</v>
      </c>
    </row>
    <row r="48" spans="1:16" ht="23.25" customHeight="1">
      <c r="A48" s="31">
        <f t="shared" si="1"/>
        <v>1.0845183999999999</v>
      </c>
      <c r="B48" s="30">
        <v>1</v>
      </c>
      <c r="C48" s="30">
        <v>10</v>
      </c>
      <c r="D48" s="8">
        <f>0.1329</f>
        <v>0.13289999999999999</v>
      </c>
      <c r="F48" s="35" t="s">
        <v>50</v>
      </c>
      <c r="G48" s="32">
        <v>0.9987096747066786</v>
      </c>
      <c r="H48" s="2">
        <v>6.2515513095178898E-3</v>
      </c>
      <c r="I48" s="2" t="s">
        <v>51</v>
      </c>
    </row>
    <row r="49" spans="1:15" ht="23.25" customHeight="1">
      <c r="A49" s="31">
        <f t="shared" si="1"/>
        <v>2.1690368000000002</v>
      </c>
      <c r="B49" s="30">
        <v>20</v>
      </c>
      <c r="C49" s="30">
        <v>100</v>
      </c>
      <c r="D49" s="8">
        <f>0.2494</f>
        <v>0.24940000000000001</v>
      </c>
      <c r="F49" s="34" t="s">
        <v>52</v>
      </c>
      <c r="G49" s="2">
        <v>2321.9951121069107</v>
      </c>
      <c r="H49" s="2">
        <v>3</v>
      </c>
      <c r="I49" s="2" t="s">
        <v>53</v>
      </c>
    </row>
    <row r="50" spans="1:15" ht="23.25" customHeight="1">
      <c r="A50" s="31">
        <f t="shared" si="1"/>
        <v>3.2535552000000001</v>
      </c>
      <c r="B50" s="30">
        <v>30</v>
      </c>
      <c r="C50" s="30">
        <v>100</v>
      </c>
      <c r="D50" s="8">
        <f>0.3801</f>
        <v>0.38009999999999999</v>
      </c>
      <c r="F50" s="34" t="s">
        <v>54</v>
      </c>
      <c r="G50" s="2">
        <v>9.0747966318673393E-2</v>
      </c>
      <c r="H50" s="2">
        <v>1.1724568132660452E-4</v>
      </c>
      <c r="I50" s="2" t="s">
        <v>55</v>
      </c>
    </row>
    <row r="51" spans="1:15" ht="23.25" customHeight="1">
      <c r="A51" s="1"/>
      <c r="B51" s="30"/>
      <c r="C51" s="8"/>
      <c r="D51" s="8"/>
    </row>
    <row r="52" spans="1:15" ht="23.25" customHeight="1">
      <c r="A52" s="37" t="s">
        <v>56</v>
      </c>
      <c r="G52" s="6" t="s">
        <v>57</v>
      </c>
      <c r="H52" s="28">
        <f>AVERAGE(D46:D50)</f>
        <v>0.16524</v>
      </c>
    </row>
    <row r="53" spans="1:15" ht="23.25" customHeight="1">
      <c r="B53" s="21" t="s">
        <v>58</v>
      </c>
      <c r="C53" s="21" t="s">
        <v>59</v>
      </c>
      <c r="D53" s="21" t="s">
        <v>60</v>
      </c>
      <c r="E53" s="21" t="s">
        <v>61</v>
      </c>
      <c r="G53" s="6" t="s">
        <v>62</v>
      </c>
      <c r="H53" s="28">
        <f>VARPA(A46:A50)*F57</f>
        <v>6.5254475273391286</v>
      </c>
    </row>
    <row r="54" spans="1:15" ht="23.25" customHeight="1">
      <c r="A54" s="43" t="s">
        <v>63</v>
      </c>
      <c r="B54" s="8">
        <v>1</v>
      </c>
      <c r="C54" s="8">
        <f>AVERAGE(0.0387,0.0375)</f>
        <v>3.8099999999999995E-2</v>
      </c>
      <c r="D54" s="52">
        <f>(C54-H46)/G46</f>
        <v>0.35343980776440487</v>
      </c>
      <c r="E54" s="52">
        <f>H54*H55</f>
        <v>0.19805237789868566</v>
      </c>
      <c r="G54" s="6" t="s">
        <v>64</v>
      </c>
      <c r="H54" s="28">
        <f>F56/G46*SQRT(1+1/F57+(C54-H52)^2/(G46^2*H53))</f>
        <v>6.2232747672715145E-2</v>
      </c>
    </row>
    <row r="55" spans="1:15" ht="23.25" customHeight="1">
      <c r="G55" s="6" t="s">
        <v>65</v>
      </c>
      <c r="H55" s="28">
        <f>_xlfn.T.INV.2T(0.05,H49)</f>
        <v>3.1824463052837091</v>
      </c>
    </row>
    <row r="56" spans="1:15" ht="23.25" customHeight="1">
      <c r="A56" s="10" t="s">
        <v>66</v>
      </c>
      <c r="B56" s="21" t="s">
        <v>67</v>
      </c>
      <c r="C56" s="68" t="s">
        <v>68</v>
      </c>
      <c r="D56" s="69"/>
      <c r="E56" s="21" t="s">
        <v>69</v>
      </c>
      <c r="F56" s="36">
        <f>H48</f>
        <v>6.2515513095178898E-3</v>
      </c>
      <c r="H56" s="49" t="s">
        <v>70</v>
      </c>
      <c r="I56" s="49"/>
      <c r="J56" s="49"/>
      <c r="K56" s="49"/>
      <c r="L56" s="49"/>
      <c r="M56" s="49"/>
      <c r="N56" s="49"/>
      <c r="O56" s="49"/>
    </row>
    <row r="57" spans="1:15" ht="23.25" customHeight="1">
      <c r="A57" s="11"/>
      <c r="B57" s="21" t="s">
        <v>71</v>
      </c>
      <c r="C57" s="68" t="s">
        <v>72</v>
      </c>
      <c r="D57" s="69"/>
      <c r="E57" s="21" t="s">
        <v>73</v>
      </c>
      <c r="F57" s="8">
        <f>COUNT(A46:A51)</f>
        <v>5</v>
      </c>
      <c r="H57" s="49" t="s">
        <v>74</v>
      </c>
      <c r="I57" s="49"/>
      <c r="J57" s="49"/>
      <c r="K57" s="49"/>
      <c r="L57" s="49"/>
      <c r="M57" s="49"/>
      <c r="N57" s="49"/>
      <c r="O57" s="49"/>
    </row>
    <row r="58" spans="1:15" ht="23.25" customHeight="1">
      <c r="A58" s="12"/>
      <c r="F58" s="13"/>
      <c r="H58" s="49" t="s">
        <v>75</v>
      </c>
      <c r="I58" s="49"/>
      <c r="J58" s="49"/>
      <c r="K58" s="49"/>
      <c r="L58" s="49"/>
      <c r="M58" s="49"/>
      <c r="N58" s="49"/>
      <c r="O58" s="49"/>
    </row>
    <row r="59" spans="1:15" ht="23.25" customHeight="1">
      <c r="A59" s="12"/>
      <c r="F59" s="13"/>
      <c r="H59" s="49" t="s">
        <v>76</v>
      </c>
      <c r="I59" s="49"/>
      <c r="J59" s="49"/>
      <c r="K59" s="49"/>
      <c r="L59" s="49"/>
      <c r="M59" s="49"/>
      <c r="N59" s="49"/>
      <c r="O59" s="49"/>
    </row>
    <row r="60" spans="1:15" ht="23.25" customHeight="1">
      <c r="A60" s="12"/>
      <c r="F60" s="13"/>
      <c r="H60" s="49" t="s">
        <v>77</v>
      </c>
      <c r="I60" s="49"/>
      <c r="J60" s="49"/>
      <c r="K60" s="49"/>
      <c r="L60" s="49"/>
      <c r="M60" s="49"/>
      <c r="N60" s="49"/>
      <c r="O60" s="49"/>
    </row>
    <row r="61" spans="1:15" ht="23.25" customHeight="1">
      <c r="A61" s="12"/>
      <c r="F61" s="13"/>
      <c r="H61" s="49" t="s">
        <v>78</v>
      </c>
      <c r="I61" s="49"/>
      <c r="J61" s="49"/>
      <c r="K61" s="49"/>
      <c r="L61" s="49"/>
      <c r="M61" s="49"/>
      <c r="N61" s="49"/>
      <c r="O61" s="49"/>
    </row>
    <row r="62" spans="1:15" ht="23.25" customHeight="1">
      <c r="A62" s="12"/>
      <c r="F62" s="13"/>
      <c r="H62" s="49" t="s">
        <v>79</v>
      </c>
      <c r="I62" s="49"/>
      <c r="J62" s="49"/>
      <c r="K62" s="49"/>
      <c r="L62" s="49"/>
      <c r="M62" s="49"/>
      <c r="N62" s="49"/>
      <c r="O62" s="49"/>
    </row>
    <row r="63" spans="1:15" ht="23.25" customHeight="1">
      <c r="A63" s="12"/>
      <c r="F63" s="13"/>
      <c r="H63" s="49"/>
      <c r="I63" s="49"/>
      <c r="J63" s="49"/>
      <c r="K63" s="49"/>
      <c r="L63" s="49"/>
      <c r="M63" s="49"/>
      <c r="N63" s="49"/>
      <c r="O63" s="49"/>
    </row>
    <row r="64" spans="1:15" ht="23.25" customHeight="1">
      <c r="A64" s="12"/>
      <c r="F64" s="13"/>
      <c r="H64" s="49" t="s">
        <v>80</v>
      </c>
      <c r="I64" s="49"/>
      <c r="J64" s="49"/>
      <c r="K64" s="49"/>
      <c r="L64" s="49"/>
      <c r="M64" s="49"/>
      <c r="N64" s="49"/>
      <c r="O64" s="49"/>
    </row>
    <row r="65" spans="1:15" ht="23.25" customHeight="1">
      <c r="A65" s="12"/>
      <c r="F65" s="13"/>
      <c r="H65" s="49" t="s">
        <v>81</v>
      </c>
      <c r="I65" s="49"/>
      <c r="J65" s="49"/>
      <c r="K65" s="49"/>
      <c r="L65" s="49"/>
      <c r="M65" s="49"/>
      <c r="N65" s="49"/>
      <c r="O65" s="49"/>
    </row>
    <row r="66" spans="1:15" ht="23.25" customHeight="1">
      <c r="A66" s="12"/>
      <c r="F66" s="13"/>
      <c r="H66" s="49" t="s">
        <v>82</v>
      </c>
      <c r="I66" s="49"/>
      <c r="J66" s="49"/>
      <c r="K66" s="49"/>
      <c r="L66" s="49"/>
      <c r="M66" s="49"/>
      <c r="N66" s="49"/>
      <c r="O66" s="49"/>
    </row>
    <row r="67" spans="1:15" ht="23.25" customHeight="1">
      <c r="A67" s="12"/>
      <c r="F67" s="13"/>
      <c r="H67" s="49"/>
      <c r="I67" s="49"/>
      <c r="J67" s="49"/>
      <c r="K67" s="49"/>
      <c r="L67" s="49"/>
      <c r="M67" s="49"/>
      <c r="N67" s="49"/>
      <c r="O67" s="49"/>
    </row>
    <row r="68" spans="1:15" ht="23.25" customHeight="1">
      <c r="A68" s="12"/>
      <c r="F68" s="13"/>
      <c r="H68" s="49" t="s">
        <v>83</v>
      </c>
      <c r="I68" s="49"/>
      <c r="J68" s="49"/>
      <c r="K68" s="49"/>
      <c r="L68" s="49"/>
      <c r="M68" s="49"/>
      <c r="N68" s="49"/>
      <c r="O68" s="49"/>
    </row>
    <row r="69" spans="1:15" ht="23.25" customHeight="1">
      <c r="A69" s="11"/>
      <c r="B69" s="14"/>
      <c r="C69" s="14"/>
      <c r="D69" s="14"/>
      <c r="E69" s="14"/>
      <c r="F69" s="15"/>
      <c r="H69" s="49" t="s">
        <v>84</v>
      </c>
      <c r="I69" s="49"/>
      <c r="J69" s="49"/>
      <c r="K69" s="49"/>
      <c r="L69" s="49"/>
      <c r="M69" s="49"/>
      <c r="N69" s="49"/>
      <c r="O69" s="49"/>
    </row>
    <row r="70" spans="1:15" ht="23.25" customHeight="1">
      <c r="H70" s="49" t="s">
        <v>85</v>
      </c>
      <c r="I70" s="49"/>
      <c r="J70" s="49"/>
      <c r="K70" s="49"/>
      <c r="L70" s="49"/>
      <c r="M70" s="49"/>
      <c r="N70" s="49"/>
      <c r="O70" s="49"/>
    </row>
    <row r="71" spans="1:15" ht="72" customHeight="1">
      <c r="A71" s="16" t="s">
        <v>86</v>
      </c>
      <c r="B71" s="61" t="s">
        <v>87</v>
      </c>
      <c r="C71" s="61"/>
      <c r="D71" s="61"/>
      <c r="E71" s="61"/>
      <c r="F71" s="62"/>
    </row>
    <row r="72" spans="1:15" ht="54" customHeight="1">
      <c r="A72" s="11"/>
      <c r="B72" s="66"/>
      <c r="C72" s="66"/>
      <c r="D72" s="66"/>
      <c r="E72" s="66"/>
      <c r="F72" s="67"/>
    </row>
    <row r="73" spans="1:15" ht="23.25" customHeight="1">
      <c r="A73" s="7" t="s">
        <v>88</v>
      </c>
    </row>
    <row r="75" spans="1:15" ht="23.25" customHeight="1">
      <c r="A75" s="21" t="s">
        <v>41</v>
      </c>
      <c r="B75" s="42" t="s">
        <v>42</v>
      </c>
      <c r="C75" s="42" t="s">
        <v>89</v>
      </c>
      <c r="D75" s="42" t="s">
        <v>43</v>
      </c>
      <c r="E75" s="42" t="s">
        <v>44</v>
      </c>
      <c r="G75" s="70" t="s">
        <v>45</v>
      </c>
      <c r="H75" s="70"/>
      <c r="I75" s="70"/>
      <c r="J75" s="70"/>
    </row>
    <row r="76" spans="1:15" ht="23.25" customHeight="1">
      <c r="A76" s="31">
        <f>980.7/100*B76/D76</f>
        <v>9.8070000000000018E-2</v>
      </c>
      <c r="B76" s="31">
        <v>0.1</v>
      </c>
      <c r="C76" s="31">
        <v>4</v>
      </c>
      <c r="D76" s="30">
        <v>10</v>
      </c>
      <c r="E76" s="8">
        <v>1.1000000000000001E-3</v>
      </c>
      <c r="G76" s="34" t="s">
        <v>46</v>
      </c>
      <c r="H76" s="28" cm="1">
        <f t="array" ref="H76:I80">LINEST(E76:E80,A76:A80,1,1)</f>
        <v>0.1199895547145709</v>
      </c>
      <c r="I76" s="28">
        <v>-7.6693583273252097E-3</v>
      </c>
      <c r="J76" s="2" t="s">
        <v>47</v>
      </c>
    </row>
    <row r="77" spans="1:15" ht="23.25" customHeight="1">
      <c r="A77" s="31">
        <f>980.7/100*B77/D77</f>
        <v>0.49035000000000001</v>
      </c>
      <c r="B77" s="31">
        <v>0.5</v>
      </c>
      <c r="C77" s="31">
        <v>4</v>
      </c>
      <c r="D77" s="30">
        <v>10</v>
      </c>
      <c r="E77" s="8">
        <v>4.6600000000000003E-2</v>
      </c>
      <c r="G77" s="34" t="s">
        <v>48</v>
      </c>
      <c r="H77" s="28">
        <v>3.7378247543047314E-3</v>
      </c>
      <c r="I77" s="28">
        <v>6.1905590671817428E-3</v>
      </c>
      <c r="J77" s="2" t="s">
        <v>49</v>
      </c>
    </row>
    <row r="78" spans="1:15" ht="23.25" customHeight="1">
      <c r="A78" s="31">
        <f>980.7/100*B78/D78</f>
        <v>0.98070000000000002</v>
      </c>
      <c r="B78" s="31">
        <v>1</v>
      </c>
      <c r="C78" s="31">
        <v>4</v>
      </c>
      <c r="D78" s="30">
        <v>10</v>
      </c>
      <c r="E78" s="8">
        <v>0.1148</v>
      </c>
      <c r="G78" s="35" t="s">
        <v>50</v>
      </c>
      <c r="H78" s="32">
        <v>0.99709724914753128</v>
      </c>
      <c r="I78" s="27">
        <v>8.6342245148503648E-3</v>
      </c>
      <c r="J78" s="2" t="s">
        <v>51</v>
      </c>
    </row>
    <row r="79" spans="1:15" ht="23.25" customHeight="1">
      <c r="A79" s="31">
        <f>980.7/100*B79/D79</f>
        <v>1.9614</v>
      </c>
      <c r="B79" s="31">
        <v>2</v>
      </c>
      <c r="C79" s="31">
        <v>4</v>
      </c>
      <c r="D79" s="30">
        <v>10</v>
      </c>
      <c r="E79" s="8">
        <v>0.2382</v>
      </c>
      <c r="G79" s="34" t="s">
        <v>52</v>
      </c>
      <c r="H79" s="2">
        <v>1030.5024094294995</v>
      </c>
      <c r="I79" s="2">
        <v>3</v>
      </c>
      <c r="J79" s="2" t="s">
        <v>53</v>
      </c>
    </row>
    <row r="80" spans="1:15" ht="23.25" customHeight="1">
      <c r="A80" s="31">
        <f>980.7/100*B80/D80</f>
        <v>2.9420999999999999</v>
      </c>
      <c r="B80" s="31">
        <v>3</v>
      </c>
      <c r="C80" s="31">
        <v>4</v>
      </c>
      <c r="D80" s="30">
        <v>10</v>
      </c>
      <c r="E80" s="8">
        <v>0.33760000000000001</v>
      </c>
      <c r="G80" s="34" t="s">
        <v>54</v>
      </c>
      <c r="H80" s="2">
        <v>7.6823782501081475E-2</v>
      </c>
      <c r="I80" s="2">
        <v>2.2364949891852902E-4</v>
      </c>
      <c r="J80" s="2" t="s">
        <v>55</v>
      </c>
    </row>
    <row r="81" spans="1:9" ht="23.25" customHeight="1">
      <c r="A81" s="1"/>
      <c r="B81" s="8"/>
      <c r="C81" s="8"/>
      <c r="D81" s="8"/>
      <c r="E81" s="8"/>
    </row>
    <row r="82" spans="1:9" ht="23.25" customHeight="1">
      <c r="H82" s="6" t="s">
        <v>57</v>
      </c>
      <c r="I82" s="28">
        <f>AVERAGE(E76:E80)</f>
        <v>0.14765999999999999</v>
      </c>
    </row>
    <row r="83" spans="1:9" ht="23.25" customHeight="1">
      <c r="B83" s="21" t="s">
        <v>58</v>
      </c>
      <c r="C83" s="21" t="s">
        <v>59</v>
      </c>
      <c r="D83" s="21" t="s">
        <v>60</v>
      </c>
      <c r="E83" s="21" t="s">
        <v>61</v>
      </c>
      <c r="H83" s="6" t="s">
        <v>62</v>
      </c>
      <c r="I83" s="28">
        <f>VARPA(A76:A80)*F87</f>
        <v>5.3359137745199998</v>
      </c>
    </row>
    <row r="84" spans="1:9" ht="23.25" customHeight="1">
      <c r="A84" s="43" t="s">
        <v>63</v>
      </c>
      <c r="B84" s="8">
        <v>1</v>
      </c>
      <c r="C84" s="8">
        <v>3.7100000000000001E-2</v>
      </c>
      <c r="D84" s="52">
        <f>(C84-I76)/H76</f>
        <v>0.3731104631050744</v>
      </c>
      <c r="E84" s="52">
        <f>I84*I85</f>
        <v>0.26697368388699433</v>
      </c>
      <c r="H84" s="6" t="s">
        <v>64</v>
      </c>
      <c r="I84" s="28">
        <f>F86/H76*SQRT(1+1/F87+(C84-I82)^2/(H76^2*I83))</f>
        <v>8.388945429927501E-2</v>
      </c>
    </row>
    <row r="85" spans="1:9" ht="23.25" customHeight="1">
      <c r="H85" s="6" t="s">
        <v>65</v>
      </c>
      <c r="I85" s="28">
        <f>_xlfn.T.INV.2T(0.05,I79)</f>
        <v>3.1824463052837091</v>
      </c>
    </row>
    <row r="86" spans="1:9" ht="23.25" customHeight="1">
      <c r="A86" s="10" t="s">
        <v>66</v>
      </c>
      <c r="B86" s="21" t="s">
        <v>67</v>
      </c>
      <c r="C86" s="68" t="s">
        <v>90</v>
      </c>
      <c r="D86" s="69"/>
      <c r="E86" s="1" t="s">
        <v>69</v>
      </c>
      <c r="F86" s="19">
        <f>I78</f>
        <v>8.6342245148503648E-3</v>
      </c>
    </row>
    <row r="87" spans="1:9" ht="23.25" customHeight="1">
      <c r="A87" s="11"/>
      <c r="B87" s="21" t="s">
        <v>71</v>
      </c>
      <c r="C87" s="68" t="s">
        <v>91</v>
      </c>
      <c r="D87" s="69"/>
      <c r="E87" s="1" t="s">
        <v>73</v>
      </c>
      <c r="F87" s="1">
        <f>COUNT(A76:A81)</f>
        <v>5</v>
      </c>
    </row>
    <row r="88" spans="1:9" ht="23.25" customHeight="1">
      <c r="A88" s="12"/>
      <c r="F88" s="13"/>
    </row>
    <row r="89" spans="1:9" ht="23.25" customHeight="1">
      <c r="A89" s="12"/>
      <c r="F89" s="13"/>
    </row>
    <row r="90" spans="1:9" ht="23.25" customHeight="1">
      <c r="A90" s="12"/>
      <c r="F90" s="13"/>
    </row>
    <row r="91" spans="1:9" ht="23.25" customHeight="1">
      <c r="A91" s="12"/>
      <c r="F91" s="13"/>
    </row>
    <row r="92" spans="1:9" ht="23.25" customHeight="1">
      <c r="A92" s="12"/>
      <c r="F92" s="13"/>
    </row>
    <row r="93" spans="1:9" ht="23.25" customHeight="1">
      <c r="A93" s="12"/>
      <c r="F93" s="13"/>
    </row>
    <row r="94" spans="1:9" ht="23.25" customHeight="1">
      <c r="A94" s="12"/>
      <c r="F94" s="13"/>
    </row>
    <row r="95" spans="1:9" ht="23.25" customHeight="1">
      <c r="A95" s="12"/>
      <c r="F95" s="13"/>
    </row>
    <row r="96" spans="1:9" ht="23.25" customHeight="1">
      <c r="A96" s="12"/>
      <c r="F96" s="13"/>
    </row>
    <row r="97" spans="1:15" ht="23.25" customHeight="1">
      <c r="A97" s="12"/>
      <c r="F97" s="13"/>
    </row>
    <row r="98" spans="1:15" ht="23.25" customHeight="1">
      <c r="A98" s="12"/>
      <c r="F98" s="13"/>
    </row>
    <row r="99" spans="1:15" ht="23.25" customHeight="1">
      <c r="A99" s="11"/>
      <c r="B99" s="14"/>
      <c r="C99" s="14"/>
      <c r="D99" s="14"/>
      <c r="E99" s="14"/>
      <c r="F99" s="15"/>
    </row>
    <row r="101" spans="1:15" ht="23.25" customHeight="1">
      <c r="A101" s="16" t="s">
        <v>86</v>
      </c>
      <c r="B101" s="61" t="s">
        <v>92</v>
      </c>
      <c r="C101" s="61"/>
      <c r="D101" s="61"/>
      <c r="E101" s="61"/>
      <c r="F101" s="62"/>
    </row>
    <row r="102" spans="1:15" ht="48" customHeight="1">
      <c r="A102" s="11"/>
      <c r="B102" s="66"/>
      <c r="C102" s="66"/>
      <c r="D102" s="66"/>
      <c r="E102" s="66"/>
      <c r="F102" s="67"/>
    </row>
    <row r="103" spans="1:15" ht="69.400000000000006" customHeight="1">
      <c r="A103" s="18"/>
      <c r="B103" s="71" t="s">
        <v>93</v>
      </c>
      <c r="C103" s="71"/>
      <c r="D103" s="71"/>
      <c r="E103" s="71"/>
      <c r="F103" s="72"/>
    </row>
    <row r="105" spans="1:15" ht="23.25" customHeight="1">
      <c r="A105" s="7" t="s">
        <v>94</v>
      </c>
    </row>
    <row r="107" spans="1:15" ht="23.25" customHeight="1">
      <c r="A107" s="1" t="s">
        <v>41</v>
      </c>
      <c r="B107" s="8" t="s">
        <v>42</v>
      </c>
      <c r="C107" s="8" t="s">
        <v>95</v>
      </c>
      <c r="D107" s="8" t="s">
        <v>43</v>
      </c>
      <c r="E107" s="8" t="s">
        <v>44</v>
      </c>
      <c r="G107" s="70" t="s">
        <v>45</v>
      </c>
      <c r="H107" s="70"/>
      <c r="I107" s="70"/>
      <c r="J107" s="70"/>
    </row>
    <row r="108" spans="1:15" ht="23.25" customHeight="1">
      <c r="A108" s="31">
        <f>$I$43*B108/D108</f>
        <v>0</v>
      </c>
      <c r="B108" s="31">
        <v>0</v>
      </c>
      <c r="C108" s="30">
        <v>20</v>
      </c>
      <c r="D108" s="30">
        <v>25</v>
      </c>
      <c r="E108" s="8">
        <v>3.15E-2</v>
      </c>
      <c r="G108" s="34" t="s">
        <v>46</v>
      </c>
      <c r="H108" s="28" cm="1">
        <f t="array" ref="H108:I112">LINEST(E108:E112,A108:A112,1,1)</f>
        <v>8.1413858525781507E-2</v>
      </c>
      <c r="I108" s="28">
        <v>3.3476724137930999E-2</v>
      </c>
      <c r="J108" s="2" t="s">
        <v>47</v>
      </c>
      <c r="N108" s="2" cm="1">
        <f t="array" ref="N108:O112">LINEST(E108:E112,A108:A112,1,1)</f>
        <v>8.1413858525781507E-2</v>
      </c>
      <c r="O108" s="2">
        <v>3.3476724137930999E-2</v>
      </c>
    </row>
    <row r="109" spans="1:15" ht="23.25" customHeight="1">
      <c r="A109" s="31">
        <f t="shared" ref="A109:A111" si="2">$I$43*B109/D109</f>
        <v>0.54225920000000005</v>
      </c>
      <c r="B109" s="31">
        <v>1.25</v>
      </c>
      <c r="C109" s="30">
        <v>20</v>
      </c>
      <c r="D109" s="30">
        <v>25</v>
      </c>
      <c r="E109" s="8">
        <v>7.7399999999999997E-2</v>
      </c>
      <c r="G109" s="34" t="s">
        <v>48</v>
      </c>
      <c r="H109" s="28">
        <v>8.8385986473024213E-4</v>
      </c>
      <c r="I109" s="28">
        <v>1.6182393895094111E-3</v>
      </c>
      <c r="J109" s="2" t="s">
        <v>49</v>
      </c>
      <c r="N109" s="2">
        <v>8.8385986473024213E-4</v>
      </c>
      <c r="O109" s="2">
        <v>1.6182393895094111E-3</v>
      </c>
    </row>
    <row r="110" spans="1:15" ht="23.25" customHeight="1">
      <c r="A110" s="31">
        <f t="shared" si="2"/>
        <v>1.0845184000000001</v>
      </c>
      <c r="B110" s="31">
        <v>2.5</v>
      </c>
      <c r="C110" s="30">
        <v>20</v>
      </c>
      <c r="D110" s="30">
        <v>25</v>
      </c>
      <c r="E110" s="8">
        <v>0.12509999999999999</v>
      </c>
      <c r="G110" s="35" t="s">
        <v>50</v>
      </c>
      <c r="H110" s="32">
        <v>0.99964654195319824</v>
      </c>
      <c r="I110" s="2">
        <v>2.3085236860806439E-3</v>
      </c>
      <c r="J110" s="2" t="s">
        <v>51</v>
      </c>
      <c r="N110" s="2">
        <v>0.99964654195319824</v>
      </c>
      <c r="O110" s="2">
        <v>2.3085236860806439E-3</v>
      </c>
    </row>
    <row r="111" spans="1:15" ht="23.25" customHeight="1">
      <c r="A111" s="31">
        <f t="shared" si="2"/>
        <v>2.1690368000000002</v>
      </c>
      <c r="B111" s="31">
        <v>5</v>
      </c>
      <c r="C111" s="30">
        <v>20</v>
      </c>
      <c r="D111" s="30">
        <v>25</v>
      </c>
      <c r="E111" s="8">
        <v>0.2099</v>
      </c>
      <c r="G111" s="34" t="s">
        <v>52</v>
      </c>
      <c r="H111" s="2">
        <v>8484.5702424795309</v>
      </c>
      <c r="I111" s="2">
        <v>3</v>
      </c>
      <c r="J111" s="2" t="s">
        <v>53</v>
      </c>
      <c r="N111" s="2">
        <v>8484.5702424795309</v>
      </c>
      <c r="O111" s="2">
        <v>3</v>
      </c>
    </row>
    <row r="112" spans="1:15" ht="23.25" customHeight="1">
      <c r="A112" s="31">
        <f>$I$42*B112/D112</f>
        <v>3.2535551999999996</v>
      </c>
      <c r="B112" s="31">
        <v>0.75</v>
      </c>
      <c r="C112" s="30">
        <v>20</v>
      </c>
      <c r="D112" s="30">
        <v>25</v>
      </c>
      <c r="E112" s="8">
        <v>0.2974</v>
      </c>
      <c r="G112" s="34" t="s">
        <v>54</v>
      </c>
      <c r="H112" s="2">
        <v>4.5216664155172413E-2</v>
      </c>
      <c r="I112" s="2">
        <v>1.5987844827586094E-5</v>
      </c>
      <c r="J112" s="2" t="s">
        <v>55</v>
      </c>
      <c r="N112" s="2">
        <v>4.5216664155172413E-2</v>
      </c>
      <c r="O112" s="2">
        <v>1.5987844827586094E-5</v>
      </c>
    </row>
    <row r="113" spans="1:9" ht="23.25" customHeight="1">
      <c r="A113" s="1"/>
      <c r="B113" s="8"/>
      <c r="C113" s="8"/>
      <c r="D113" s="8"/>
      <c r="E113" s="8"/>
      <c r="F113" s="2" t="s">
        <v>96</v>
      </c>
    </row>
    <row r="115" spans="1:9" ht="23.25" customHeight="1">
      <c r="B115" s="1" t="s">
        <v>58</v>
      </c>
      <c r="C115" s="1" t="s">
        <v>59</v>
      </c>
      <c r="D115" s="21" t="s">
        <v>60</v>
      </c>
      <c r="E115" s="21" t="s">
        <v>61</v>
      </c>
      <c r="H115" s="6" t="s">
        <v>57</v>
      </c>
      <c r="I115" s="28">
        <f>AVERAGE(E108:E112)</f>
        <v>0.14826</v>
      </c>
    </row>
    <row r="116" spans="1:9" ht="23.25" customHeight="1">
      <c r="A116" s="9" t="s">
        <v>63</v>
      </c>
      <c r="B116" s="8">
        <v>1</v>
      </c>
      <c r="C116" s="8">
        <v>3.7100000000000001E-2</v>
      </c>
      <c r="D116" s="52">
        <f>ABS(-O108/N108)</f>
        <v>0.41119196097713329</v>
      </c>
      <c r="E116" s="52">
        <f>I117*I118</f>
        <v>0.14907110083355166</v>
      </c>
      <c r="H116" s="6" t="s">
        <v>62</v>
      </c>
      <c r="I116" s="28">
        <f>VARPA(A108:A112)*F119</f>
        <v>6.8218449276436459</v>
      </c>
    </row>
    <row r="117" spans="1:9" ht="23.25" customHeight="1">
      <c r="H117" s="6" t="s">
        <v>64</v>
      </c>
      <c r="I117" s="28">
        <f>F118/H108*SQRT(1+1/F119+(D116-I115)^2/(H108^2*I116))</f>
        <v>4.6841670379812503E-2</v>
      </c>
    </row>
    <row r="118" spans="1:9" ht="23.25" customHeight="1">
      <c r="A118" s="10" t="s">
        <v>66</v>
      </c>
      <c r="B118" s="1" t="s">
        <v>67</v>
      </c>
      <c r="C118" s="68" t="s">
        <v>97</v>
      </c>
      <c r="D118" s="69"/>
      <c r="E118" s="1" t="s">
        <v>69</v>
      </c>
      <c r="F118" s="19">
        <f>I110</f>
        <v>2.3085236860806439E-3</v>
      </c>
      <c r="H118" s="6" t="s">
        <v>65</v>
      </c>
      <c r="I118" s="28">
        <f>_xlfn.T.INV.2T(0.05,I111)</f>
        <v>3.1824463052837091</v>
      </c>
    </row>
    <row r="119" spans="1:9" ht="23.25" customHeight="1">
      <c r="A119" s="11"/>
      <c r="B119" s="1" t="s">
        <v>71</v>
      </c>
      <c r="C119" s="68" t="s">
        <v>98</v>
      </c>
      <c r="D119" s="69"/>
      <c r="E119" s="1" t="s">
        <v>73</v>
      </c>
      <c r="F119" s="1">
        <f>COUNT(A108:A113)</f>
        <v>5</v>
      </c>
    </row>
    <row r="120" spans="1:9" ht="23.25" customHeight="1">
      <c r="A120" s="12"/>
      <c r="F120" s="13"/>
    </row>
    <row r="121" spans="1:9" ht="23.25" customHeight="1">
      <c r="A121" s="12"/>
      <c r="F121" s="13"/>
    </row>
    <row r="122" spans="1:9" ht="23.25" customHeight="1">
      <c r="A122" s="12"/>
      <c r="F122" s="13"/>
    </row>
    <row r="123" spans="1:9" ht="23.25" customHeight="1">
      <c r="A123" s="12"/>
      <c r="F123" s="13"/>
    </row>
    <row r="124" spans="1:9" ht="23.25" customHeight="1">
      <c r="A124" s="12"/>
      <c r="F124" s="13"/>
    </row>
    <row r="125" spans="1:9" ht="23.25" customHeight="1">
      <c r="A125" s="12"/>
      <c r="F125" s="13"/>
    </row>
    <row r="126" spans="1:9" ht="23.25" customHeight="1">
      <c r="A126" s="12"/>
      <c r="F126" s="13"/>
    </row>
    <row r="127" spans="1:9" ht="23.25" customHeight="1">
      <c r="A127" s="12"/>
      <c r="F127" s="13"/>
    </row>
    <row r="128" spans="1:9" ht="23.25" customHeight="1">
      <c r="A128" s="12"/>
      <c r="F128" s="13"/>
    </row>
    <row r="129" spans="1:6" ht="23.25" customHeight="1">
      <c r="A129" s="12"/>
      <c r="F129" s="13"/>
    </row>
    <row r="130" spans="1:6" ht="23.25" customHeight="1">
      <c r="A130" s="12"/>
      <c r="F130" s="13"/>
    </row>
    <row r="131" spans="1:6" ht="23.25" customHeight="1">
      <c r="A131" s="11"/>
      <c r="B131" s="14"/>
      <c r="C131" s="14"/>
      <c r="D131" s="14"/>
      <c r="E131" s="14"/>
      <c r="F131" s="15"/>
    </row>
    <row r="133" spans="1:6" ht="23.25" customHeight="1">
      <c r="A133" s="16" t="s">
        <v>86</v>
      </c>
      <c r="B133" s="61" t="s">
        <v>99</v>
      </c>
      <c r="C133" s="61"/>
      <c r="D133" s="61"/>
      <c r="E133" s="61"/>
      <c r="F133" s="62"/>
    </row>
    <row r="134" spans="1:6" ht="45" customHeight="1">
      <c r="A134" s="11"/>
      <c r="B134" s="66"/>
      <c r="C134" s="66"/>
      <c r="D134" s="66"/>
      <c r="E134" s="66"/>
      <c r="F134" s="67"/>
    </row>
    <row r="137" spans="1:6" ht="23.25" customHeight="1">
      <c r="A137" s="4" t="s">
        <v>100</v>
      </c>
    </row>
    <row r="139" spans="1:6" ht="23.25" customHeight="1">
      <c r="A139" s="43"/>
      <c r="B139" s="17"/>
      <c r="C139" s="42" t="s">
        <v>17</v>
      </c>
      <c r="D139" s="42" t="s">
        <v>101</v>
      </c>
    </row>
    <row r="140" spans="1:6" ht="23.25" customHeight="1">
      <c r="A140" s="43" t="s">
        <v>102</v>
      </c>
      <c r="B140" s="17"/>
      <c r="C140" s="52">
        <f>D54</f>
        <v>0.35343980776440487</v>
      </c>
      <c r="D140" s="52">
        <f>E54</f>
        <v>0.19805237789868566</v>
      </c>
    </row>
    <row r="141" spans="1:6" ht="23.25" customHeight="1">
      <c r="A141" s="43" t="s">
        <v>103</v>
      </c>
      <c r="B141" s="17"/>
      <c r="C141" s="52">
        <f>D84</f>
        <v>0.3731104631050744</v>
      </c>
      <c r="D141" s="52">
        <f>E84</f>
        <v>0.26697368388699433</v>
      </c>
    </row>
    <row r="142" spans="1:6" ht="23.25" customHeight="1">
      <c r="A142" s="43" t="s">
        <v>104</v>
      </c>
      <c r="B142" s="17"/>
      <c r="C142" s="52">
        <f>D116</f>
        <v>0.41119196097713329</v>
      </c>
      <c r="D142" s="52">
        <f>E116</f>
        <v>0.14907110083355166</v>
      </c>
    </row>
    <row r="144" spans="1:6" ht="23.25" customHeight="1">
      <c r="A144" s="7" t="s">
        <v>105</v>
      </c>
    </row>
    <row r="145" spans="1:15" ht="23.25" customHeight="1">
      <c r="H145" s="56" t="s">
        <v>106</v>
      </c>
      <c r="I145" s="56"/>
      <c r="J145" s="56"/>
      <c r="K145" s="56"/>
      <c r="L145" s="56"/>
      <c r="M145" s="56"/>
      <c r="N145" s="56"/>
      <c r="O145" s="56"/>
    </row>
    <row r="146" spans="1:15" ht="23.25" customHeight="1">
      <c r="H146" s="56"/>
      <c r="I146" s="56"/>
      <c r="J146" s="56"/>
      <c r="K146" s="56"/>
      <c r="L146" s="56"/>
      <c r="M146" s="56"/>
      <c r="N146" s="56"/>
      <c r="O146" s="56"/>
    </row>
    <row r="147" spans="1:15" ht="23.25" customHeight="1">
      <c r="H147" s="56"/>
      <c r="I147" s="56"/>
      <c r="J147" s="56"/>
      <c r="K147" s="56"/>
      <c r="L147" s="56"/>
      <c r="M147" s="56"/>
      <c r="N147" s="56"/>
      <c r="O147" s="56"/>
    </row>
    <row r="148" spans="1:15" ht="23.25" customHeight="1">
      <c r="H148" s="39" t="s">
        <v>107</v>
      </c>
      <c r="I148" s="38"/>
      <c r="J148" s="38"/>
      <c r="K148" s="38"/>
      <c r="L148" s="38"/>
      <c r="M148" s="38"/>
      <c r="N148" s="38"/>
      <c r="O148" s="38"/>
    </row>
    <row r="149" spans="1:15" ht="23.25" customHeight="1">
      <c r="H149" s="38" t="s">
        <v>108</v>
      </c>
      <c r="I149" s="40">
        <f>H48</f>
        <v>6.2515513095178898E-3</v>
      </c>
      <c r="J149" s="38"/>
      <c r="K149" s="2" t="s">
        <v>109</v>
      </c>
      <c r="L149" s="2">
        <f>F57</f>
        <v>5</v>
      </c>
      <c r="M149" s="38"/>
      <c r="N149" s="38" t="s">
        <v>110</v>
      </c>
      <c r="O149" s="38">
        <f>L149-2</f>
        <v>3</v>
      </c>
    </row>
    <row r="150" spans="1:15" ht="23.25" customHeight="1">
      <c r="H150" s="38" t="s">
        <v>111</v>
      </c>
      <c r="I150" s="40">
        <f>I110</f>
        <v>2.3085236860806439E-3</v>
      </c>
      <c r="J150" s="38"/>
      <c r="K150" s="38" t="s">
        <v>112</v>
      </c>
      <c r="L150" s="38">
        <f>F119</f>
        <v>5</v>
      </c>
      <c r="M150" s="38"/>
      <c r="N150" s="38" t="s">
        <v>113</v>
      </c>
      <c r="O150" s="38">
        <f>L150-2</f>
        <v>3</v>
      </c>
    </row>
    <row r="151" spans="1:15" ht="23.25" customHeight="1">
      <c r="H151" s="38"/>
      <c r="I151" s="38"/>
      <c r="J151" s="38"/>
      <c r="K151" s="38"/>
      <c r="L151" s="38"/>
      <c r="M151" s="38"/>
      <c r="N151" s="38"/>
      <c r="O151" s="38"/>
    </row>
    <row r="152" spans="1:15" ht="23.25" customHeight="1">
      <c r="H152" s="45" t="s">
        <v>114</v>
      </c>
      <c r="I152" s="46">
        <v>9.2799999999999994</v>
      </c>
      <c r="J152" s="2" t="s">
        <v>115</v>
      </c>
      <c r="K152" s="38"/>
      <c r="L152" s="38"/>
      <c r="M152" s="38"/>
      <c r="N152" s="38"/>
      <c r="O152" s="38"/>
    </row>
    <row r="153" spans="1:15" ht="23.25" customHeight="1">
      <c r="H153" s="47" t="s">
        <v>116</v>
      </c>
      <c r="I153" s="48">
        <f>I149^2/I150^2</f>
        <v>7.3334262742095158</v>
      </c>
      <c r="J153" s="38"/>
      <c r="K153" s="38"/>
      <c r="L153" s="38"/>
      <c r="M153" s="38"/>
      <c r="N153" s="38"/>
      <c r="O153" s="38"/>
    </row>
    <row r="154" spans="1:15" ht="23.25" customHeight="1" thickBot="1">
      <c r="H154" s="38"/>
      <c r="I154" s="38"/>
      <c r="J154" s="38"/>
      <c r="K154" s="38"/>
      <c r="L154" s="38"/>
      <c r="M154" s="38"/>
      <c r="N154" s="38"/>
      <c r="O154" s="38"/>
    </row>
    <row r="155" spans="1:15" ht="23.25" customHeight="1">
      <c r="H155" s="76" t="s">
        <v>117</v>
      </c>
      <c r="I155" s="77"/>
      <c r="J155" s="77"/>
      <c r="K155" s="77"/>
      <c r="L155" s="77"/>
      <c r="M155" s="77"/>
      <c r="N155" s="77"/>
      <c r="O155" s="78"/>
    </row>
    <row r="156" spans="1:15" ht="23.25" customHeight="1" thickBot="1">
      <c r="H156" s="79"/>
      <c r="I156" s="80"/>
      <c r="J156" s="80"/>
      <c r="K156" s="80"/>
      <c r="L156" s="80"/>
      <c r="M156" s="80"/>
      <c r="N156" s="80"/>
      <c r="O156" s="81"/>
    </row>
    <row r="157" spans="1:15" ht="23.25" customHeight="1">
      <c r="A157" s="2" t="s">
        <v>118</v>
      </c>
      <c r="H157" s="25"/>
      <c r="I157" s="25"/>
      <c r="J157" s="25"/>
      <c r="K157" s="25"/>
      <c r="L157" s="25"/>
      <c r="M157" s="25"/>
      <c r="N157" s="25"/>
      <c r="O157" s="25"/>
    </row>
    <row r="158" spans="1:15" ht="23.25" customHeight="1">
      <c r="A158" s="2" t="s">
        <v>119</v>
      </c>
      <c r="E158" s="2" t="s">
        <v>120</v>
      </c>
      <c r="F158" s="33">
        <f>((L149-2)*I149^2+(L150-2)*I150^2)/(L149+L150-4)</f>
        <v>2.2205587692365105E-5</v>
      </c>
      <c r="H158" s="25"/>
      <c r="I158" s="25"/>
      <c r="J158" s="25"/>
      <c r="K158" s="25"/>
      <c r="L158" s="25"/>
      <c r="M158" s="25"/>
      <c r="N158" s="25"/>
      <c r="O158" s="25"/>
    </row>
    <row r="159" spans="1:15" ht="23.25" customHeight="1">
      <c r="A159" s="2" t="s">
        <v>121</v>
      </c>
      <c r="E159" s="2" t="s">
        <v>122</v>
      </c>
      <c r="F159" s="33">
        <f>SQRT(F158)*SQRT(1/C160+1/C161)</f>
        <v>2.5803086111813819E-3</v>
      </c>
      <c r="H159" s="25"/>
      <c r="I159" s="25"/>
      <c r="J159" s="25"/>
      <c r="K159" s="25"/>
      <c r="L159" s="25"/>
      <c r="M159" s="25"/>
      <c r="N159" s="25"/>
      <c r="O159" s="25"/>
    </row>
    <row r="160" spans="1:15" ht="23.25" customHeight="1">
      <c r="B160" s="2" t="s">
        <v>123</v>
      </c>
      <c r="C160" s="28">
        <f>H53</f>
        <v>6.5254475273391286</v>
      </c>
      <c r="H160" s="25"/>
      <c r="I160" s="25"/>
      <c r="J160" s="25"/>
      <c r="K160" s="25"/>
      <c r="L160" s="25"/>
      <c r="M160" s="25"/>
      <c r="N160" s="25"/>
      <c r="O160" s="25"/>
    </row>
    <row r="161" spans="1:15" ht="23.25" customHeight="1" thickBot="1">
      <c r="B161" s="2" t="s">
        <v>124</v>
      </c>
      <c r="C161" s="28">
        <f>I116</f>
        <v>6.8218449276436459</v>
      </c>
      <c r="H161" s="25"/>
      <c r="I161" s="25"/>
      <c r="J161" s="25"/>
      <c r="K161" s="25"/>
      <c r="L161" s="25"/>
      <c r="M161" s="25"/>
      <c r="N161" s="25"/>
      <c r="O161" s="25"/>
    </row>
    <row r="162" spans="1:15" ht="23.25" customHeight="1">
      <c r="A162" s="2" t="s">
        <v>125</v>
      </c>
      <c r="E162" s="45" t="s">
        <v>126</v>
      </c>
      <c r="F162" s="45">
        <f>ABS(C163-C164)/F159</f>
        <v>14.150692940520333</v>
      </c>
      <c r="H162" s="76" t="s">
        <v>127</v>
      </c>
      <c r="I162" s="77"/>
      <c r="J162" s="77"/>
      <c r="K162" s="77"/>
      <c r="L162" s="77"/>
      <c r="M162" s="77"/>
      <c r="N162" s="77"/>
      <c r="O162" s="78"/>
    </row>
    <row r="163" spans="1:15" ht="23.25" customHeight="1" thickBot="1">
      <c r="B163" s="2" t="s">
        <v>128</v>
      </c>
      <c r="C163" s="28">
        <f>G46</f>
        <v>0.11792701337438971</v>
      </c>
      <c r="E163" s="41" t="s">
        <v>129</v>
      </c>
      <c r="F163" s="2">
        <v>0.95</v>
      </c>
      <c r="H163" s="79"/>
      <c r="I163" s="80"/>
      <c r="J163" s="80"/>
      <c r="K163" s="80"/>
      <c r="L163" s="80"/>
      <c r="M163" s="80"/>
      <c r="N163" s="80"/>
      <c r="O163" s="81"/>
    </row>
    <row r="164" spans="1:15" ht="23.25" customHeight="1">
      <c r="B164" s="2" t="s">
        <v>130</v>
      </c>
      <c r="C164" s="28">
        <f>H108</f>
        <v>8.1413858525781507E-2</v>
      </c>
      <c r="E164" s="2" t="s">
        <v>53</v>
      </c>
      <c r="F164" s="2">
        <f>L149+L150-4</f>
        <v>6</v>
      </c>
      <c r="H164" s="56" t="s">
        <v>131</v>
      </c>
      <c r="I164" s="56"/>
      <c r="J164" s="56"/>
      <c r="K164" s="56"/>
      <c r="L164" s="56"/>
      <c r="M164" s="56"/>
      <c r="N164" s="56"/>
      <c r="O164" s="56"/>
    </row>
    <row r="165" spans="1:15" ht="23.25" customHeight="1">
      <c r="E165" s="45" t="s">
        <v>65</v>
      </c>
      <c r="F165" s="45">
        <v>2.4470000000000001</v>
      </c>
      <c r="H165" s="56"/>
      <c r="I165" s="56"/>
      <c r="J165" s="56"/>
      <c r="K165" s="56"/>
      <c r="L165" s="56"/>
      <c r="M165" s="56"/>
      <c r="N165" s="56"/>
      <c r="O165" s="56"/>
    </row>
    <row r="167" spans="1:15" ht="23.25" customHeight="1">
      <c r="A167" s="7" t="s">
        <v>132</v>
      </c>
    </row>
    <row r="168" spans="1:15" ht="23.25" customHeight="1">
      <c r="A168" s="56" t="s">
        <v>133</v>
      </c>
      <c r="B168" s="56"/>
      <c r="C168" s="56"/>
      <c r="D168" s="56"/>
      <c r="E168" s="56"/>
      <c r="F168" s="56"/>
    </row>
    <row r="169" spans="1:15" ht="23.25" customHeight="1">
      <c r="A169" s="56"/>
      <c r="B169" s="56"/>
      <c r="C169" s="56"/>
      <c r="D169" s="56"/>
      <c r="E169" s="56"/>
      <c r="F169" s="56"/>
    </row>
    <row r="170" spans="1:15" ht="23.25" customHeight="1">
      <c r="A170" s="56"/>
      <c r="B170" s="56"/>
      <c r="C170" s="56"/>
      <c r="D170" s="56"/>
      <c r="E170" s="56"/>
      <c r="F170" s="56"/>
    </row>
    <row r="171" spans="1:15" ht="23.25" customHeight="1">
      <c r="A171" s="56"/>
      <c r="B171" s="56"/>
      <c r="C171" s="56"/>
      <c r="D171" s="56"/>
      <c r="E171" s="56"/>
      <c r="F171" s="56"/>
    </row>
    <row r="172" spans="1:15" ht="23.25" customHeight="1">
      <c r="A172" s="56"/>
      <c r="B172" s="56"/>
      <c r="C172" s="56"/>
      <c r="D172" s="56"/>
      <c r="E172" s="56"/>
      <c r="F172" s="56"/>
      <c r="H172" s="44"/>
    </row>
    <row r="173" spans="1:15" ht="55.15" customHeight="1">
      <c r="A173" s="56"/>
      <c r="B173" s="56"/>
      <c r="C173" s="56"/>
      <c r="D173" s="56"/>
      <c r="E173" s="56"/>
      <c r="F173" s="56"/>
      <c r="H173" s="44"/>
    </row>
    <row r="174" spans="1:15" ht="23.25" customHeight="1">
      <c r="A174" s="56"/>
      <c r="B174" s="56"/>
      <c r="C174" s="56"/>
      <c r="D174" s="56"/>
      <c r="E174" s="56"/>
      <c r="F174" s="56"/>
      <c r="H174" s="44"/>
    </row>
    <row r="175" spans="1:15" ht="97.15" customHeight="1">
      <c r="A175" s="56"/>
      <c r="B175" s="56"/>
      <c r="C175" s="56"/>
      <c r="D175" s="56"/>
      <c r="E175" s="56"/>
      <c r="F175" s="56"/>
      <c r="H175" s="44"/>
    </row>
    <row r="176" spans="1:15" ht="23.25" customHeight="1">
      <c r="H176" s="44"/>
    </row>
    <row r="177" spans="1:8" ht="23.25" customHeight="1">
      <c r="A177" s="53" t="s">
        <v>134</v>
      </c>
      <c r="B177" s="54"/>
      <c r="C177" s="73" t="s">
        <v>135</v>
      </c>
      <c r="D177" s="74"/>
      <c r="E177" s="75"/>
      <c r="H177" s="44"/>
    </row>
    <row r="178" spans="1:8" ht="23.25" customHeight="1">
      <c r="C178" s="2" t="s">
        <v>136</v>
      </c>
      <c r="H178" s="44"/>
    </row>
    <row r="180" spans="1:8" ht="23.25" customHeight="1">
      <c r="C180" s="55" t="s">
        <v>137</v>
      </c>
      <c r="D180" s="55"/>
      <c r="E180" s="55"/>
      <c r="F180" s="55"/>
      <c r="G180" s="55"/>
      <c r="H180" s="55"/>
    </row>
    <row r="181" spans="1:8" ht="23.25" customHeight="1">
      <c r="C181" s="55" t="s">
        <v>138</v>
      </c>
      <c r="D181" s="55"/>
      <c r="E181" s="55"/>
      <c r="F181" s="55"/>
      <c r="G181" s="55"/>
      <c r="H181" s="55"/>
    </row>
  </sheetData>
  <mergeCells count="25">
    <mergeCell ref="C177:E177"/>
    <mergeCell ref="H164:O165"/>
    <mergeCell ref="A168:F175"/>
    <mergeCell ref="H145:O147"/>
    <mergeCell ref="H155:O156"/>
    <mergeCell ref="H162:O163"/>
    <mergeCell ref="C118:D118"/>
    <mergeCell ref="C119:D119"/>
    <mergeCell ref="C86:D86"/>
    <mergeCell ref="C87:D87"/>
    <mergeCell ref="B133:F134"/>
    <mergeCell ref="B101:F102"/>
    <mergeCell ref="B103:F103"/>
    <mergeCell ref="C56:D56"/>
    <mergeCell ref="C57:D57"/>
    <mergeCell ref="F45:I45"/>
    <mergeCell ref="G75:J75"/>
    <mergeCell ref="G107:J107"/>
    <mergeCell ref="B71:F72"/>
    <mergeCell ref="A6:G8"/>
    <mergeCell ref="G33:I33"/>
    <mergeCell ref="G34:I38"/>
    <mergeCell ref="E12:K13"/>
    <mergeCell ref="A24:E31"/>
    <mergeCell ref="A33:E4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5755-B3F4-A041-8801-ACD56112111B}">
  <dimension ref="A1"/>
  <sheetViews>
    <sheetView workbookViewId="0"/>
  </sheetViews>
  <sheetFormatPr defaultColWidth="11.42578125" defaultRowHeight="14.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Gerard Moreno Mas</cp:lastModifiedBy>
  <cp:revision/>
  <dcterms:created xsi:type="dcterms:W3CDTF">2021-03-22T14:48:22Z</dcterms:created>
  <dcterms:modified xsi:type="dcterms:W3CDTF">2025-05-02T10:15:47Z</dcterms:modified>
  <cp:category/>
  <cp:contentStatus/>
</cp:coreProperties>
</file>