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thati1st\"/>
    </mc:Choice>
  </mc:AlternateContent>
  <xr:revisionPtr revIDLastSave="0" documentId="13_ncr:1_{B61D3C14-D4E6-4D1A-ACD5-9D973CE26C01}" xr6:coauthVersionLast="47" xr6:coauthVersionMax="47" xr10:uidLastSave="{00000000-0000-0000-0000-000000000000}"/>
  <bookViews>
    <workbookView xWindow="-120" yWindow="-120" windowWidth="20730" windowHeight="11160" tabRatio="602" firstSheet="1" activeTab="5" xr2:uid="{00000000-000D-0000-FFFF-FFFF00000000}"/>
  </bookViews>
  <sheets>
    <sheet name="0000000" sheetId="1" state="veryHidden" r:id="rId1"/>
    <sheet name="KO" sheetId="2" r:id="rId2"/>
    <sheet name="IncomeStatements-quarterly" sheetId="6" r:id="rId3"/>
    <sheet name="schedule" sheetId="7" r:id="rId4"/>
    <sheet name="Assumptions" sheetId="8" r:id="rId5"/>
    <sheet name="FINAL" sheetId="9" r:id="rId6"/>
    <sheet name="IncomeStatements" sheetId="3" r:id="rId7"/>
    <sheet name="BalanceSheets" sheetId="4" r:id="rId8"/>
    <sheet name="cashflowStatements" sheetId="5" r:id="rId9"/>
  </sheets>
  <definedNames>
    <definedName name="_xlnm.Print_Area" localSheetId="1">KO!$A$1:$V$32</definedName>
  </definedNames>
  <calcPr calcId="191029"/>
</workbook>
</file>

<file path=xl/calcChain.xml><?xml version="1.0" encoding="utf-8"?>
<calcChain xmlns="http://schemas.openxmlformats.org/spreadsheetml/2006/main">
  <c r="D283" i="9" l="1"/>
  <c r="E283" i="9"/>
  <c r="F283" i="9"/>
  <c r="F284" i="9" s="1"/>
  <c r="G283" i="9"/>
  <c r="G284" i="9" s="1"/>
  <c r="H283" i="9"/>
  <c r="I283" i="9"/>
  <c r="J283" i="9"/>
  <c r="J284" i="9" s="1"/>
  <c r="K283" i="9"/>
  <c r="K284" i="9" s="1"/>
  <c r="L283" i="9"/>
  <c r="M283" i="9"/>
  <c r="N283" i="9"/>
  <c r="N284" i="9" s="1"/>
  <c r="O283" i="9"/>
  <c r="O284" i="9" s="1"/>
  <c r="P283" i="9"/>
  <c r="Q283" i="9"/>
  <c r="R283" i="9"/>
  <c r="R284" i="9" s="1"/>
  <c r="S283" i="9"/>
  <c r="S284" i="9" s="1"/>
  <c r="T283" i="9"/>
  <c r="U283" i="9"/>
  <c r="D284" i="9"/>
  <c r="E284" i="9"/>
  <c r="H284" i="9"/>
  <c r="I284" i="9"/>
  <c r="L284" i="9"/>
  <c r="M284" i="9"/>
  <c r="P284" i="9"/>
  <c r="Q284" i="9"/>
  <c r="T284" i="9"/>
  <c r="U284" i="9"/>
  <c r="B283" i="9"/>
  <c r="C283" i="9"/>
  <c r="C284" i="9" s="1"/>
  <c r="B284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B273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B271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B264" i="9"/>
  <c r="W115" i="2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B260" i="9"/>
  <c r="C2" i="7" l="1"/>
  <c r="D2" i="7" s="1"/>
  <c r="E2" i="7" s="1"/>
  <c r="C1" i="8"/>
  <c r="D1" i="8" s="1"/>
  <c r="E1" i="8" s="1"/>
  <c r="C2" i="9"/>
  <c r="D2" i="9" s="1"/>
  <c r="E2" i="9" s="1"/>
  <c r="E6" i="6"/>
  <c r="D6" i="6"/>
  <c r="C6" i="6"/>
  <c r="B6" i="6"/>
  <c r="D95" i="4"/>
  <c r="E95" i="4"/>
  <c r="F95" i="4"/>
  <c r="C95" i="4"/>
  <c r="S1" i="6"/>
  <c r="G2" i="4" s="1"/>
  <c r="H6" i="6"/>
  <c r="I6" i="6"/>
  <c r="J6" i="6"/>
  <c r="G6" i="6"/>
  <c r="D5" i="3"/>
  <c r="E5" i="3"/>
  <c r="F5" i="3"/>
  <c r="C5" i="3"/>
  <c r="X37" i="2"/>
  <c r="D1" i="5"/>
  <c r="E1" i="5" s="1"/>
  <c r="F1" i="5" s="1"/>
  <c r="D1" i="4"/>
  <c r="E1" i="4" s="1"/>
  <c r="F1" i="4" s="1"/>
  <c r="D1" i="3"/>
  <c r="E1" i="3" s="1"/>
  <c r="F1" i="3" s="1"/>
  <c r="AA10" i="2"/>
  <c r="Z10" i="2"/>
  <c r="BC18" i="2"/>
  <c r="BC19" i="2"/>
  <c r="BC8" i="2"/>
  <c r="BD6" i="2"/>
  <c r="BD8" i="2"/>
  <c r="BE6" i="2" s="1"/>
  <c r="BE8" i="2" s="1"/>
  <c r="BF6" i="2" s="1"/>
  <c r="BF8" i="2" s="1"/>
  <c r="BC21" i="2"/>
  <c r="AA29" i="2"/>
  <c r="AA20" i="2"/>
  <c r="AA23" i="2"/>
  <c r="AA24" i="2"/>
  <c r="AA15" i="2"/>
  <c r="AB133" i="2"/>
  <c r="AB97" i="2"/>
  <c r="AA7" i="2"/>
  <c r="AB50" i="2"/>
  <c r="AA50" i="2"/>
  <c r="AB96" i="2"/>
  <c r="AB120" i="2"/>
  <c r="AB121" i="2"/>
  <c r="AA96" i="2"/>
  <c r="AA121" i="2"/>
  <c r="AB127" i="2"/>
  <c r="AA127" i="2"/>
  <c r="AB73" i="2"/>
  <c r="AB65" i="2"/>
  <c r="AB36" i="2"/>
  <c r="AS8" i="2"/>
  <c r="AX8" i="2"/>
  <c r="Z49" i="2"/>
  <c r="Z51" i="2" s="1"/>
  <c r="Z53" i="2" s="1"/>
  <c r="Z61" i="2" s="1"/>
  <c r="Z50" i="2"/>
  <c r="Z58" i="2"/>
  <c r="Z59" i="2"/>
  <c r="Z60" i="2"/>
  <c r="X49" i="2"/>
  <c r="X51" i="2" s="1"/>
  <c r="X53" i="2" s="1"/>
  <c r="Y49" i="2"/>
  <c r="Y51" i="2" s="1"/>
  <c r="Y53" i="2" s="1"/>
  <c r="Y61" i="2" s="1"/>
  <c r="AY18" i="2"/>
  <c r="AY21" i="2"/>
  <c r="AY25" i="2"/>
  <c r="AY19" i="2"/>
  <c r="AZ18" i="2"/>
  <c r="AZ19" i="2" s="1"/>
  <c r="AZ21" i="2"/>
  <c r="AY6" i="2"/>
  <c r="AY8" i="2"/>
  <c r="Z94" i="2"/>
  <c r="Z96" i="2"/>
  <c r="Z100" i="2" s="1"/>
  <c r="Z98" i="2"/>
  <c r="Z88" i="2"/>
  <c r="BA18" i="2"/>
  <c r="BA21" i="2" s="1"/>
  <c r="BA19" i="2"/>
  <c r="BA25" i="2"/>
  <c r="AX18" i="2"/>
  <c r="AX20" i="2"/>
  <c r="AX21" i="2"/>
  <c r="AX25" i="2"/>
  <c r="BA16" i="2"/>
  <c r="AZ16" i="2"/>
  <c r="AY16" i="2"/>
  <c r="BC16" i="2"/>
  <c r="AX16" i="2"/>
  <c r="AX41" i="2" s="1"/>
  <c r="BC41" i="2"/>
  <c r="BF40" i="2"/>
  <c r="BE40" i="2"/>
  <c r="BD40" i="2"/>
  <c r="BC40" i="2"/>
  <c r="BC39" i="2"/>
  <c r="BC37" i="2"/>
  <c r="BF36" i="2"/>
  <c r="BE36" i="2"/>
  <c r="BD36" i="2"/>
  <c r="BC36" i="2"/>
  <c r="BC22" i="2"/>
  <c r="Z133" i="2"/>
  <c r="Z18" i="2"/>
  <c r="Z21" i="2"/>
  <c r="Z132" i="2"/>
  <c r="Z134" i="2"/>
  <c r="Z7" i="2"/>
  <c r="Y8" i="2"/>
  <c r="Z6" i="2"/>
  <c r="Z8" i="2"/>
  <c r="Y133" i="2"/>
  <c r="Y132" i="2"/>
  <c r="Y134" i="2" s="1"/>
  <c r="Z127" i="2"/>
  <c r="AA133" i="2"/>
  <c r="AA97" i="2"/>
  <c r="AN8" i="2"/>
  <c r="AO6" i="2"/>
  <c r="AO8" i="2"/>
  <c r="AP6" i="2"/>
  <c r="AP8" i="2" s="1"/>
  <c r="AA120" i="2"/>
  <c r="AA73" i="2"/>
  <c r="AA65" i="2"/>
  <c r="Z16" i="2"/>
  <c r="AA36" i="2"/>
  <c r="AV18" i="2"/>
  <c r="AV20" i="2"/>
  <c r="AU18" i="2"/>
  <c r="AU20" i="2"/>
  <c r="AT18" i="2"/>
  <c r="AT20" i="2"/>
  <c r="AS18" i="2"/>
  <c r="AS20" i="2"/>
  <c r="AV16" i="2"/>
  <c r="AV41" i="2" s="1"/>
  <c r="BA41" i="2"/>
  <c r="AU16" i="2"/>
  <c r="AZ41" i="2"/>
  <c r="AT16" i="2"/>
  <c r="AY41" i="2"/>
  <c r="AS16" i="2"/>
  <c r="BA40" i="2"/>
  <c r="AZ40" i="2"/>
  <c r="AY40" i="2"/>
  <c r="AX40" i="2"/>
  <c r="BA39" i="2"/>
  <c r="AZ39" i="2"/>
  <c r="AY39" i="2"/>
  <c r="AX39" i="2"/>
  <c r="BA36" i="2"/>
  <c r="AZ36" i="2"/>
  <c r="AY36" i="2"/>
  <c r="AX36" i="2"/>
  <c r="BA22" i="2"/>
  <c r="AY22" i="2"/>
  <c r="AX22" i="2"/>
  <c r="AX19" i="2"/>
  <c r="Y18" i="2"/>
  <c r="Y21" i="2"/>
  <c r="Y57" i="2"/>
  <c r="Y50" i="2"/>
  <c r="Y94" i="2"/>
  <c r="Y96" i="2" s="1"/>
  <c r="Y98" i="2"/>
  <c r="Y88" i="2"/>
  <c r="W86" i="2"/>
  <c r="W96" i="2"/>
  <c r="V86" i="2"/>
  <c r="V94" i="2"/>
  <c r="V96" i="2"/>
  <c r="V100" i="2" s="1"/>
  <c r="U86" i="2"/>
  <c r="U94" i="2"/>
  <c r="U96" i="2"/>
  <c r="T86" i="2"/>
  <c r="T94" i="2"/>
  <c r="T96" i="2"/>
  <c r="S86" i="2"/>
  <c r="S94" i="2"/>
  <c r="S96" i="2" s="1"/>
  <c r="S100" i="2" s="1"/>
  <c r="R86" i="2"/>
  <c r="R94" i="2"/>
  <c r="R95" i="2"/>
  <c r="R72" i="2" s="1"/>
  <c r="Q86" i="2"/>
  <c r="Q94" i="2"/>
  <c r="Q96" i="2" s="1"/>
  <c r="Q119" i="2" s="1"/>
  <c r="Q95" i="2"/>
  <c r="P86" i="2"/>
  <c r="P119" i="2" s="1"/>
  <c r="P122" i="2" s="1"/>
  <c r="P94" i="2"/>
  <c r="P95" i="2"/>
  <c r="P96" i="2"/>
  <c r="O86" i="2"/>
  <c r="O94" i="2"/>
  <c r="O95" i="2"/>
  <c r="O96" i="2"/>
  <c r="O119" i="2" s="1"/>
  <c r="O122" i="2" s="1"/>
  <c r="N86" i="2"/>
  <c r="N94" i="2"/>
  <c r="N96" i="2"/>
  <c r="M86" i="2"/>
  <c r="M94" i="2"/>
  <c r="M96" i="2" s="1"/>
  <c r="M100" i="2" s="1"/>
  <c r="M95" i="2"/>
  <c r="L86" i="2"/>
  <c r="L94" i="2"/>
  <c r="L96" i="2" s="1"/>
  <c r="L119" i="2" s="1"/>
  <c r="L122" i="2" s="1"/>
  <c r="L95" i="2"/>
  <c r="K86" i="2"/>
  <c r="K94" i="2"/>
  <c r="K96" i="2"/>
  <c r="K119" i="2"/>
  <c r="J86" i="2"/>
  <c r="J94" i="2"/>
  <c r="J96" i="2"/>
  <c r="J119" i="2"/>
  <c r="I86" i="2"/>
  <c r="I94" i="2"/>
  <c r="I96" i="2"/>
  <c r="I119" i="2"/>
  <c r="H86" i="2"/>
  <c r="H94" i="2"/>
  <c r="H96" i="2"/>
  <c r="H119" i="2"/>
  <c r="G86" i="2"/>
  <c r="G94" i="2"/>
  <c r="G96" i="2"/>
  <c r="G119" i="2"/>
  <c r="F86" i="2"/>
  <c r="F94" i="2"/>
  <c r="F96" i="2"/>
  <c r="F119" i="2"/>
  <c r="X8" i="2"/>
  <c r="Y86" i="2"/>
  <c r="X86" i="2"/>
  <c r="X94" i="2"/>
  <c r="X96" i="2" s="1"/>
  <c r="X119" i="2"/>
  <c r="AU19" i="2"/>
  <c r="AQ18" i="2"/>
  <c r="AQ21" i="2" s="1"/>
  <c r="AQ25" i="2" s="1"/>
  <c r="AQ28" i="2" s="1"/>
  <c r="AQ20" i="2"/>
  <c r="AQ30" i="2"/>
  <c r="AQ31" i="2"/>
  <c r="AO18" i="2"/>
  <c r="AO20" i="2"/>
  <c r="AO21" i="2"/>
  <c r="AO22" i="2" s="1"/>
  <c r="AN18" i="2"/>
  <c r="AN21" i="2" s="1"/>
  <c r="AN25" i="2" s="1"/>
  <c r="AN20" i="2"/>
  <c r="AQ16" i="2"/>
  <c r="AO16" i="2"/>
  <c r="AT41" i="2"/>
  <c r="AN16" i="2"/>
  <c r="AS41" i="2"/>
  <c r="AV40" i="2"/>
  <c r="AU40" i="2"/>
  <c r="AT40" i="2"/>
  <c r="AS40" i="2"/>
  <c r="AV39" i="2"/>
  <c r="AT39" i="2"/>
  <c r="AS39" i="2"/>
  <c r="AV36" i="2"/>
  <c r="AU36" i="2"/>
  <c r="AT36" i="2"/>
  <c r="AS36" i="2"/>
  <c r="AS19" i="2"/>
  <c r="Z120" i="2"/>
  <c r="Z121" i="2"/>
  <c r="Z73" i="2"/>
  <c r="Z65" i="2"/>
  <c r="Y16" i="2"/>
  <c r="Z41" i="2"/>
  <c r="Z40" i="2"/>
  <c r="Z39" i="2"/>
  <c r="Z36" i="2"/>
  <c r="X98" i="2"/>
  <c r="X88" i="2"/>
  <c r="AQ19" i="2"/>
  <c r="AP18" i="2"/>
  <c r="AP20" i="2"/>
  <c r="AP21" i="2" s="1"/>
  <c r="AP19" i="2"/>
  <c r="X60" i="2"/>
  <c r="X59" i="2"/>
  <c r="X57" i="2"/>
  <c r="X50" i="2"/>
  <c r="X132" i="2"/>
  <c r="X134" i="2" s="1"/>
  <c r="X133" i="2"/>
  <c r="W132" i="2"/>
  <c r="W134" i="2" s="1"/>
  <c r="W133" i="2"/>
  <c r="X127" i="2"/>
  <c r="V133" i="2"/>
  <c r="U133" i="2"/>
  <c r="U134" i="2" s="1"/>
  <c r="U135" i="2" s="1"/>
  <c r="T133" i="2"/>
  <c r="S133" i="2"/>
  <c r="R133" i="2"/>
  <c r="Q133" i="2"/>
  <c r="Q134" i="2" s="1"/>
  <c r="Q135" i="2" s="1"/>
  <c r="P133" i="2"/>
  <c r="O133" i="2"/>
  <c r="N133" i="2"/>
  <c r="M133" i="2"/>
  <c r="M134" i="2" s="1"/>
  <c r="M135" i="2" s="1"/>
  <c r="L133" i="2"/>
  <c r="K133" i="2"/>
  <c r="J133" i="2"/>
  <c r="I133" i="2"/>
  <c r="I134" i="2" s="1"/>
  <c r="I135" i="2" s="1"/>
  <c r="H133" i="2"/>
  <c r="G133" i="2"/>
  <c r="F133" i="2"/>
  <c r="V132" i="2"/>
  <c r="V134" i="2" s="1"/>
  <c r="V135" i="2" s="1"/>
  <c r="U132" i="2"/>
  <c r="T132" i="2"/>
  <c r="S132" i="2"/>
  <c r="S134" i="2" s="1"/>
  <c r="R132" i="2"/>
  <c r="R134" i="2" s="1"/>
  <c r="R135" i="2" s="1"/>
  <c r="Q132" i="2"/>
  <c r="P132" i="2"/>
  <c r="O132" i="2"/>
  <c r="O134" i="2" s="1"/>
  <c r="N132" i="2"/>
  <c r="N134" i="2" s="1"/>
  <c r="M132" i="2"/>
  <c r="L132" i="2"/>
  <c r="K132" i="2"/>
  <c r="K134" i="2" s="1"/>
  <c r="J132" i="2"/>
  <c r="J134" i="2" s="1"/>
  <c r="I132" i="2"/>
  <c r="H132" i="2"/>
  <c r="G132" i="2"/>
  <c r="G134" i="2" s="1"/>
  <c r="F132" i="2"/>
  <c r="F134" i="2" s="1"/>
  <c r="F135" i="2" s="1"/>
  <c r="W17" i="2"/>
  <c r="W18" i="2"/>
  <c r="W20" i="2"/>
  <c r="W21" i="2"/>
  <c r="X42" i="2" s="1"/>
  <c r="W127" i="2"/>
  <c r="Y127" i="2"/>
  <c r="V18" i="2"/>
  <c r="V21" i="2"/>
  <c r="V128" i="2"/>
  <c r="U18" i="2"/>
  <c r="U21" i="2" s="1"/>
  <c r="U128" i="2" s="1"/>
  <c r="T18" i="2"/>
  <c r="T21" i="2" s="1"/>
  <c r="S18" i="2"/>
  <c r="S21" i="2"/>
  <c r="S109" i="2" s="1"/>
  <c r="S110" i="2" s="1"/>
  <c r="S111" i="2" s="1"/>
  <c r="S128" i="2"/>
  <c r="S129" i="2" s="1"/>
  <c r="R18" i="2"/>
  <c r="R21" i="2"/>
  <c r="R128" i="2"/>
  <c r="Q18" i="2"/>
  <c r="P18" i="2"/>
  <c r="P21" i="2" s="1"/>
  <c r="O18" i="2"/>
  <c r="O21" i="2"/>
  <c r="N18" i="2"/>
  <c r="N21" i="2"/>
  <c r="N128" i="2"/>
  <c r="N129" i="2" s="1"/>
  <c r="M18" i="2"/>
  <c r="M21" i="2" s="1"/>
  <c r="M128" i="2" s="1"/>
  <c r="M129" i="2" s="1"/>
  <c r="L18" i="2"/>
  <c r="L21" i="2"/>
  <c r="L128" i="2" s="1"/>
  <c r="K18" i="2"/>
  <c r="K21" i="2"/>
  <c r="K109" i="2" s="1"/>
  <c r="J18" i="2"/>
  <c r="J21" i="2"/>
  <c r="J128" i="2"/>
  <c r="J129" i="2" s="1"/>
  <c r="I18" i="2"/>
  <c r="I21" i="2" s="1"/>
  <c r="I128" i="2" s="1"/>
  <c r="H18" i="2"/>
  <c r="H19" i="2" s="1"/>
  <c r="H21" i="2"/>
  <c r="G18" i="2"/>
  <c r="G21" i="2"/>
  <c r="G128" i="2"/>
  <c r="F18" i="2"/>
  <c r="F21" i="2"/>
  <c r="F128" i="2"/>
  <c r="E18" i="2"/>
  <c r="E21" i="2" s="1"/>
  <c r="E128" i="2" s="1"/>
  <c r="X120" i="2"/>
  <c r="X121" i="2"/>
  <c r="W26" i="2"/>
  <c r="W113" i="2"/>
  <c r="W120" i="2"/>
  <c r="W121" i="2"/>
  <c r="V120" i="2"/>
  <c r="V121" i="2"/>
  <c r="V109" i="2"/>
  <c r="V115" i="2"/>
  <c r="V110" i="2" s="1"/>
  <c r="U120" i="2"/>
  <c r="U121" i="2"/>
  <c r="U115" i="2"/>
  <c r="T120" i="2"/>
  <c r="T121" i="2"/>
  <c r="T115" i="2"/>
  <c r="S120" i="2"/>
  <c r="S121" i="2"/>
  <c r="S115" i="2"/>
  <c r="R120" i="2"/>
  <c r="R121" i="2"/>
  <c r="R109" i="2"/>
  <c r="R115" i="2"/>
  <c r="R110" i="2" s="1"/>
  <c r="Q120" i="2"/>
  <c r="Q121" i="2"/>
  <c r="Q122" i="2" s="1"/>
  <c r="Q115" i="2"/>
  <c r="P120" i="2"/>
  <c r="P121" i="2"/>
  <c r="P115" i="2"/>
  <c r="O120" i="2"/>
  <c r="O121" i="2"/>
  <c r="O115" i="2"/>
  <c r="N120" i="2"/>
  <c r="N121" i="2"/>
  <c r="N109" i="2"/>
  <c r="N115" i="2"/>
  <c r="N110" i="2"/>
  <c r="M120" i="2"/>
  <c r="M121" i="2"/>
  <c r="M109" i="2"/>
  <c r="M115" i="2"/>
  <c r="L120" i="2"/>
  <c r="L121" i="2"/>
  <c r="L109" i="2"/>
  <c r="L115" i="2"/>
  <c r="K120" i="2"/>
  <c r="K121" i="2"/>
  <c r="K115" i="2"/>
  <c r="K110" i="2"/>
  <c r="K111" i="2" s="1"/>
  <c r="J120" i="2"/>
  <c r="J121" i="2"/>
  <c r="J122" i="2"/>
  <c r="J109" i="2"/>
  <c r="J115" i="2"/>
  <c r="J110" i="2"/>
  <c r="I120" i="2"/>
  <c r="I121" i="2"/>
  <c r="I122" i="2"/>
  <c r="I109" i="2"/>
  <c r="I115" i="2"/>
  <c r="H120" i="2"/>
  <c r="H121" i="2"/>
  <c r="H115" i="2"/>
  <c r="G109" i="2"/>
  <c r="G115" i="2"/>
  <c r="F120" i="2"/>
  <c r="F121" i="2"/>
  <c r="F122" i="2"/>
  <c r="T134" i="2"/>
  <c r="T135" i="2" s="1"/>
  <c r="P134" i="2"/>
  <c r="L134" i="2"/>
  <c r="L135" i="2" s="1"/>
  <c r="K135" i="2"/>
  <c r="H134" i="2"/>
  <c r="H135" i="2"/>
  <c r="G129" i="2"/>
  <c r="AO19" i="2"/>
  <c r="AO12" i="2"/>
  <c r="AN19" i="2"/>
  <c r="AN12" i="2"/>
  <c r="AL26" i="2"/>
  <c r="AL20" i="2"/>
  <c r="AL17" i="2"/>
  <c r="AL18" i="2" s="1"/>
  <c r="AI17" i="2"/>
  <c r="AI18" i="2" s="1"/>
  <c r="AL12" i="2"/>
  <c r="AK12" i="2"/>
  <c r="AK18" i="2"/>
  <c r="AK20" i="2"/>
  <c r="AJ12" i="2"/>
  <c r="AJ18" i="2"/>
  <c r="AJ20" i="2"/>
  <c r="AI20" i="2"/>
  <c r="AG8" i="2"/>
  <c r="AI12" i="2"/>
  <c r="AL16" i="2"/>
  <c r="AP16" i="2"/>
  <c r="AK16" i="2"/>
  <c r="AK41" i="2" s="1"/>
  <c r="AJ16" i="2"/>
  <c r="AO41" i="2" s="1"/>
  <c r="AI16" i="2"/>
  <c r="AQ40" i="2"/>
  <c r="AP40" i="2"/>
  <c r="AO40" i="2"/>
  <c r="AN40" i="2"/>
  <c r="AP39" i="2"/>
  <c r="AO39" i="2"/>
  <c r="AN39" i="2"/>
  <c r="AO37" i="2"/>
  <c r="AN37" i="2"/>
  <c r="AQ36" i="2"/>
  <c r="AP36" i="2"/>
  <c r="AO36" i="2"/>
  <c r="AN36" i="2"/>
  <c r="AG18" i="2"/>
  <c r="AG20" i="2"/>
  <c r="AG21" i="2"/>
  <c r="AG22" i="2" s="1"/>
  <c r="AG25" i="2"/>
  <c r="AF18" i="2"/>
  <c r="AF21" i="2"/>
  <c r="AF25" i="2" s="1"/>
  <c r="AF28" i="2" s="1"/>
  <c r="AF30" i="2" s="1"/>
  <c r="AF31" i="2"/>
  <c r="AE18" i="2"/>
  <c r="AE20" i="2"/>
  <c r="AE21" i="2"/>
  <c r="AG16" i="2"/>
  <c r="AL41" i="2"/>
  <c r="AF16" i="2"/>
  <c r="AE16" i="2"/>
  <c r="AL40" i="2"/>
  <c r="AK40" i="2"/>
  <c r="AJ40" i="2"/>
  <c r="AL39" i="2"/>
  <c r="AK39" i="2"/>
  <c r="AJ39" i="2"/>
  <c r="AL37" i="2"/>
  <c r="AF8" i="2"/>
  <c r="AE8" i="2"/>
  <c r="AJ37" i="2" s="1"/>
  <c r="AL36" i="2"/>
  <c r="AK36" i="2"/>
  <c r="AJ36" i="2"/>
  <c r="AD18" i="2"/>
  <c r="AD20" i="2"/>
  <c r="AD16" i="2"/>
  <c r="AI40" i="2"/>
  <c r="AI39" i="2"/>
  <c r="AD8" i="2"/>
  <c r="AI37" i="2" s="1"/>
  <c r="AI36" i="2"/>
  <c r="W16" i="2"/>
  <c r="W41" i="2" s="1"/>
  <c r="Y40" i="2"/>
  <c r="X40" i="2"/>
  <c r="W40" i="2"/>
  <c r="W39" i="2"/>
  <c r="Y37" i="2"/>
  <c r="W8" i="2"/>
  <c r="Y36" i="2"/>
  <c r="X36" i="2"/>
  <c r="W36" i="2"/>
  <c r="W51" i="2"/>
  <c r="W53" i="2"/>
  <c r="Y120" i="2"/>
  <c r="Y121" i="2"/>
  <c r="Y73" i="2"/>
  <c r="Y65" i="2"/>
  <c r="AE12" i="2"/>
  <c r="V8" i="2"/>
  <c r="U8" i="2"/>
  <c r="V12" i="2"/>
  <c r="T8" i="2"/>
  <c r="U12" i="2"/>
  <c r="S8" i="2"/>
  <c r="T12" i="2"/>
  <c r="R8" i="2"/>
  <c r="S12" i="2"/>
  <c r="Q8" i="2"/>
  <c r="R12" i="2"/>
  <c r="P8" i="2"/>
  <c r="Q12" i="2"/>
  <c r="O8" i="2"/>
  <c r="P12" i="2"/>
  <c r="N8" i="2"/>
  <c r="O12" i="2"/>
  <c r="M8" i="2"/>
  <c r="N12" i="2"/>
  <c r="L8" i="2"/>
  <c r="M12" i="2"/>
  <c r="K8" i="2"/>
  <c r="L12" i="2"/>
  <c r="J8" i="2"/>
  <c r="K12" i="2"/>
  <c r="I8" i="2"/>
  <c r="J12" i="2"/>
  <c r="H8" i="2"/>
  <c r="I12" i="2"/>
  <c r="G8" i="2"/>
  <c r="H12" i="2"/>
  <c r="F8" i="2"/>
  <c r="G12" i="2"/>
  <c r="E8" i="2"/>
  <c r="F12" i="2"/>
  <c r="D8" i="2"/>
  <c r="E12" i="2"/>
  <c r="C8" i="2"/>
  <c r="D12" i="2"/>
  <c r="B8" i="2"/>
  <c r="C12" i="2"/>
  <c r="X73" i="2"/>
  <c r="X65" i="2"/>
  <c r="W100" i="2"/>
  <c r="W72" i="2"/>
  <c r="W74" i="2" s="1"/>
  <c r="W73" i="2"/>
  <c r="W65" i="2"/>
  <c r="W19" i="2"/>
  <c r="AJ19" i="2"/>
  <c r="AG19" i="2"/>
  <c r="AF19" i="2"/>
  <c r="AE19" i="2"/>
  <c r="F68" i="2"/>
  <c r="V68" i="2"/>
  <c r="T68" i="2"/>
  <c r="R68" i="2"/>
  <c r="P68" i="2"/>
  <c r="N68" i="2"/>
  <c r="N69" i="2" s="1"/>
  <c r="M68" i="2"/>
  <c r="L68" i="2"/>
  <c r="L69" i="2" s="1"/>
  <c r="K68" i="2"/>
  <c r="J68" i="2"/>
  <c r="J69" i="2" s="1"/>
  <c r="K69" i="2"/>
  <c r="I68" i="2"/>
  <c r="G68" i="2"/>
  <c r="V72" i="2"/>
  <c r="V73" i="2"/>
  <c r="V74" i="2"/>
  <c r="V75" i="2"/>
  <c r="U72" i="2"/>
  <c r="U73" i="2"/>
  <c r="U74" i="2"/>
  <c r="U75" i="2"/>
  <c r="T72" i="2"/>
  <c r="T73" i="2"/>
  <c r="T74" i="2"/>
  <c r="S72" i="2"/>
  <c r="S73" i="2"/>
  <c r="S74" i="2"/>
  <c r="R73" i="2"/>
  <c r="R74" i="2"/>
  <c r="Q72" i="2"/>
  <c r="Q73" i="2"/>
  <c r="Q74" i="2"/>
  <c r="Q75" i="2" s="1"/>
  <c r="P72" i="2"/>
  <c r="P73" i="2"/>
  <c r="P74" i="2"/>
  <c r="O72" i="2"/>
  <c r="O73" i="2"/>
  <c r="O74" i="2"/>
  <c r="O75" i="2" s="1"/>
  <c r="N72" i="2"/>
  <c r="N73" i="2"/>
  <c r="N74" i="2"/>
  <c r="M72" i="2"/>
  <c r="M73" i="2"/>
  <c r="M74" i="2"/>
  <c r="M75" i="2" s="1"/>
  <c r="L72" i="2"/>
  <c r="L73" i="2"/>
  <c r="L74" i="2"/>
  <c r="L75" i="2" s="1"/>
  <c r="K72" i="2"/>
  <c r="K73" i="2"/>
  <c r="K74" i="2"/>
  <c r="K75" i="2" s="1"/>
  <c r="J72" i="2"/>
  <c r="J73" i="2"/>
  <c r="J74" i="2"/>
  <c r="J75" i="2" s="1"/>
  <c r="I72" i="2"/>
  <c r="I73" i="2"/>
  <c r="I74" i="2"/>
  <c r="I75" i="2" s="1"/>
  <c r="H72" i="2"/>
  <c r="H73" i="2"/>
  <c r="H74" i="2"/>
  <c r="H75" i="2" s="1"/>
  <c r="G72" i="2"/>
  <c r="G73" i="2"/>
  <c r="G74" i="2"/>
  <c r="F72" i="2"/>
  <c r="F73" i="2"/>
  <c r="F74" i="2"/>
  <c r="F75" i="2" s="1"/>
  <c r="F109" i="2"/>
  <c r="F115" i="2"/>
  <c r="F110" i="2"/>
  <c r="F111" i="2" s="1"/>
  <c r="F98" i="2"/>
  <c r="G98" i="2"/>
  <c r="F65" i="2"/>
  <c r="E65" i="2"/>
  <c r="V16" i="2"/>
  <c r="U16" i="2"/>
  <c r="T16" i="2"/>
  <c r="R98" i="2"/>
  <c r="Q98" i="2"/>
  <c r="P98" i="2"/>
  <c r="O98" i="2"/>
  <c r="N98" i="2"/>
  <c r="N100" i="2" s="1"/>
  <c r="P16" i="2"/>
  <c r="O16" i="2"/>
  <c r="N16" i="2"/>
  <c r="D18" i="2"/>
  <c r="C18" i="2"/>
  <c r="C21" i="2"/>
  <c r="C22" i="2" s="1"/>
  <c r="B21" i="2"/>
  <c r="B22" i="2" s="1"/>
  <c r="S16" i="2"/>
  <c r="R16" i="2"/>
  <c r="Q16" i="2"/>
  <c r="M98" i="2"/>
  <c r="K98" i="2"/>
  <c r="J98" i="2"/>
  <c r="J100" i="2"/>
  <c r="J89" i="2"/>
  <c r="M16" i="2"/>
  <c r="L16" i="2"/>
  <c r="K16" i="2"/>
  <c r="J16" i="2"/>
  <c r="E115" i="2"/>
  <c r="D115" i="2"/>
  <c r="C115" i="2"/>
  <c r="B115" i="2"/>
  <c r="I98" i="2"/>
  <c r="I100" i="2" s="1"/>
  <c r="H98" i="2"/>
  <c r="H100" i="2"/>
  <c r="I89" i="2"/>
  <c r="H89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I16" i="2"/>
  <c r="H16" i="2"/>
  <c r="G16" i="2"/>
  <c r="F16" i="2"/>
  <c r="E16" i="2"/>
  <c r="D16" i="2"/>
  <c r="C16" i="2"/>
  <c r="B16" i="2"/>
  <c r="M89" i="2"/>
  <c r="O100" i="2"/>
  <c r="O89" i="2"/>
  <c r="P100" i="2"/>
  <c r="Q100" i="2"/>
  <c r="Q89" i="2"/>
  <c r="T100" i="2"/>
  <c r="U100" i="2"/>
  <c r="U89" i="2"/>
  <c r="V89" i="2"/>
  <c r="R89" i="2"/>
  <c r="K100" i="2"/>
  <c r="K89" i="2"/>
  <c r="L89" i="2"/>
  <c r="G120" i="2"/>
  <c r="G121" i="2"/>
  <c r="F100" i="2"/>
  <c r="G100" i="2"/>
  <c r="F89" i="2"/>
  <c r="G89" i="2"/>
  <c r="O22" i="2"/>
  <c r="N22" i="2"/>
  <c r="M22" i="2"/>
  <c r="P19" i="2"/>
  <c r="O19" i="2"/>
  <c r="N19" i="2"/>
  <c r="M19" i="2"/>
  <c r="S22" i="2"/>
  <c r="R22" i="2"/>
  <c r="S19" i="2"/>
  <c r="R19" i="2"/>
  <c r="V22" i="2"/>
  <c r="U22" i="2"/>
  <c r="V19" i="2"/>
  <c r="U19" i="2"/>
  <c r="T19" i="2"/>
  <c r="K22" i="2"/>
  <c r="J22" i="2"/>
  <c r="I22" i="2"/>
  <c r="G22" i="2"/>
  <c r="F22" i="2"/>
  <c r="E22" i="2"/>
  <c r="B18" i="2"/>
  <c r="L19" i="2"/>
  <c r="K19" i="2"/>
  <c r="J19" i="2"/>
  <c r="I19" i="2"/>
  <c r="G19" i="2"/>
  <c r="F19" i="2"/>
  <c r="E19" i="2"/>
  <c r="C19" i="2"/>
  <c r="B19" i="2"/>
  <c r="X89" i="2"/>
  <c r="X72" i="2"/>
  <c r="X74" i="2" s="1"/>
  <c r="X75" i="2" s="1"/>
  <c r="AN22" i="2"/>
  <c r="X18" i="2"/>
  <c r="X21" i="2" s="1"/>
  <c r="X68" i="2" s="1"/>
  <c r="X128" i="2"/>
  <c r="W135" i="2"/>
  <c r="Y113" i="2"/>
  <c r="X113" i="2"/>
  <c r="AQ41" i="2"/>
  <c r="AQ39" i="2"/>
  <c r="X16" i="2"/>
  <c r="Y41" i="2" s="1"/>
  <c r="X41" i="2"/>
  <c r="Y39" i="2"/>
  <c r="X39" i="2"/>
  <c r="X19" i="2"/>
  <c r="AQ22" i="2"/>
  <c r="W75" i="2"/>
  <c r="AU41" i="2"/>
  <c r="AU39" i="2"/>
  <c r="Y128" i="2"/>
  <c r="X135" i="2" s="1"/>
  <c r="Y68" i="2"/>
  <c r="Y69" i="2" s="1"/>
  <c r="Y109" i="2"/>
  <c r="Y22" i="2"/>
  <c r="Y19" i="2"/>
  <c r="Y102" i="2"/>
  <c r="Y54" i="2"/>
  <c r="Y89" i="2"/>
  <c r="Y72" i="2"/>
  <c r="Y74" i="2" s="1"/>
  <c r="Y75" i="2" s="1"/>
  <c r="Z86" i="2"/>
  <c r="Z119" i="2"/>
  <c r="Z122" i="2" s="1"/>
  <c r="Z102" i="2"/>
  <c r="Z68" i="2"/>
  <c r="Z69" i="2" s="1"/>
  <c r="Z113" i="2"/>
  <c r="Z109" i="2"/>
  <c r="Z72" i="2"/>
  <c r="Z74" i="2"/>
  <c r="Z75" i="2"/>
  <c r="Z89" i="2"/>
  <c r="Z19" i="2"/>
  <c r="Z54" i="2"/>
  <c r="N75" i="2" l="1"/>
  <c r="R75" i="2"/>
  <c r="W54" i="2"/>
  <c r="W61" i="2"/>
  <c r="AI21" i="2"/>
  <c r="AI19" i="2"/>
  <c r="AY28" i="2"/>
  <c r="AY30" i="2" s="1"/>
  <c r="AY31" i="2" s="1"/>
  <c r="AY27" i="2"/>
  <c r="X61" i="2"/>
  <c r="X54" i="2"/>
  <c r="AT6" i="2"/>
  <c r="AT8" i="2" s="1"/>
  <c r="AS37" i="2"/>
  <c r="AX37" i="2"/>
  <c r="T69" i="2"/>
  <c r="H128" i="2"/>
  <c r="H22" i="2"/>
  <c r="H109" i="2"/>
  <c r="P128" i="2"/>
  <c r="P22" i="2"/>
  <c r="P109" i="2"/>
  <c r="G135" i="2"/>
  <c r="N119" i="2"/>
  <c r="N122" i="2" s="1"/>
  <c r="N89" i="2"/>
  <c r="Y129" i="2"/>
  <c r="X25" i="2"/>
  <c r="Q21" i="2"/>
  <c r="Q19" i="2"/>
  <c r="Y25" i="2"/>
  <c r="Y42" i="2"/>
  <c r="AK21" i="2"/>
  <c r="AK19" i="2"/>
  <c r="W25" i="2"/>
  <c r="W128" i="2"/>
  <c r="W129" i="2" s="1"/>
  <c r="W109" i="2"/>
  <c r="W42" i="2"/>
  <c r="W22" i="2"/>
  <c r="W68" i="2"/>
  <c r="AP25" i="2"/>
  <c r="AP22" i="2"/>
  <c r="T119" i="2"/>
  <c r="T122" i="2" s="1"/>
  <c r="T89" i="2"/>
  <c r="W119" i="2"/>
  <c r="W122" i="2" s="1"/>
  <c r="W89" i="2"/>
  <c r="P69" i="2"/>
  <c r="AE25" i="2"/>
  <c r="AE22" i="2"/>
  <c r="AP42" i="2"/>
  <c r="AL21" i="2"/>
  <c r="AL19" i="2"/>
  <c r="T128" i="2"/>
  <c r="T22" i="2"/>
  <c r="T109" i="2"/>
  <c r="O135" i="2"/>
  <c r="AZ22" i="2"/>
  <c r="AZ25" i="2"/>
  <c r="S75" i="2"/>
  <c r="H68" i="2"/>
  <c r="AF27" i="2"/>
  <c r="W37" i="2"/>
  <c r="W12" i="2"/>
  <c r="L110" i="2"/>
  <c r="L111" i="2" s="1"/>
  <c r="L124" i="2" s="1"/>
  <c r="Z25" i="2"/>
  <c r="Z128" i="2"/>
  <c r="Z129" i="2" s="1"/>
  <c r="Z22" i="2"/>
  <c r="Z42" i="2"/>
  <c r="X22" i="2"/>
  <c r="X109" i="2"/>
  <c r="D21" i="2"/>
  <c r="D22" i="2" s="1"/>
  <c r="D19" i="2"/>
  <c r="G69" i="2"/>
  <c r="M69" i="2"/>
  <c r="AK37" i="2"/>
  <c r="AG12" i="2"/>
  <c r="AF12" i="2"/>
  <c r="AJ41" i="2"/>
  <c r="AG28" i="2"/>
  <c r="AG30" i="2" s="1"/>
  <c r="AG31" i="2" s="1"/>
  <c r="AG27" i="2"/>
  <c r="I110" i="2"/>
  <c r="I111" i="2" s="1"/>
  <c r="I124" i="2" s="1"/>
  <c r="R111" i="2"/>
  <c r="O109" i="2"/>
  <c r="O128" i="2"/>
  <c r="O129" i="2" s="1"/>
  <c r="O68" i="2"/>
  <c r="O69" i="2" s="1"/>
  <c r="Y100" i="2"/>
  <c r="Y119" i="2"/>
  <c r="Y122" i="2" s="1"/>
  <c r="AT21" i="2"/>
  <c r="AT19" i="2"/>
  <c r="AV21" i="2"/>
  <c r="AV19" i="2"/>
  <c r="AA6" i="2"/>
  <c r="AA8" i="2" s="1"/>
  <c r="Z37" i="2"/>
  <c r="BA27" i="2"/>
  <c r="BA28" i="2"/>
  <c r="BA30" i="2" s="1"/>
  <c r="BA31" i="2" s="1"/>
  <c r="X122" i="2"/>
  <c r="M119" i="2"/>
  <c r="M122" i="2" s="1"/>
  <c r="S119" i="2"/>
  <c r="S122" i="2" s="1"/>
  <c r="AQ6" i="2"/>
  <c r="AQ8" i="2" s="1"/>
  <c r="AZ6" i="2"/>
  <c r="AZ8" i="2" s="1"/>
  <c r="S89" i="2"/>
  <c r="P89" i="2"/>
  <c r="AF22" i="2"/>
  <c r="AD21" i="2"/>
  <c r="AD19" i="2"/>
  <c r="AP37" i="2"/>
  <c r="AN41" i="2"/>
  <c r="AI41" i="2"/>
  <c r="AP41" i="2"/>
  <c r="J111" i="2"/>
  <c r="J124" i="2" s="1"/>
  <c r="W27" i="2"/>
  <c r="F129" i="2"/>
  <c r="K128" i="2"/>
  <c r="V129" i="2"/>
  <c r="AQ27" i="2"/>
  <c r="X100" i="2"/>
  <c r="R96" i="2"/>
  <c r="R100" i="2" s="1"/>
  <c r="AP12" i="2"/>
  <c r="BD37" i="2"/>
  <c r="AX28" i="2"/>
  <c r="AX30" i="2" s="1"/>
  <c r="AX31" i="2" s="1"/>
  <c r="AX27" i="2"/>
  <c r="AB40" i="2"/>
  <c r="AA40" i="2"/>
  <c r="BC25" i="2"/>
  <c r="BC42" i="2"/>
  <c r="AJ21" i="2"/>
  <c r="AO42" i="2" s="1"/>
  <c r="M110" i="2"/>
  <c r="M111" i="2"/>
  <c r="V111" i="2"/>
  <c r="AO25" i="2"/>
  <c r="L22" i="2"/>
  <c r="L100" i="2"/>
  <c r="S68" i="2"/>
  <c r="S69" i="2" s="1"/>
  <c r="U68" i="2"/>
  <c r="E68" i="2"/>
  <c r="F69" i="2" s="1"/>
  <c r="G110" i="2"/>
  <c r="G111" i="2" s="1"/>
  <c r="G124" i="2" s="1"/>
  <c r="N111" i="2"/>
  <c r="U109" i="2"/>
  <c r="AN27" i="2"/>
  <c r="AN28" i="2"/>
  <c r="AN30" i="2" s="1"/>
  <c r="AN31" i="2" s="1"/>
  <c r="H122" i="2"/>
  <c r="K122" i="2"/>
  <c r="K124" i="2" s="1"/>
  <c r="R119" i="2"/>
  <c r="R122" i="2" s="1"/>
  <c r="S124" i="2" s="1"/>
  <c r="X102" i="2"/>
  <c r="V119" i="2"/>
  <c r="V122" i="2" s="1"/>
  <c r="AY42" i="2"/>
  <c r="U119" i="2"/>
  <c r="U122" i="2" s="1"/>
  <c r="AS21" i="2"/>
  <c r="AU21" i="2"/>
  <c r="K130" i="2" l="1"/>
  <c r="K70" i="2"/>
  <c r="I130" i="2"/>
  <c r="I70" i="2"/>
  <c r="S130" i="2"/>
  <c r="S70" i="2"/>
  <c r="G130" i="2"/>
  <c r="G70" i="2"/>
  <c r="L130" i="2"/>
  <c r="L70" i="2"/>
  <c r="AS42" i="2"/>
  <c r="AS25" i="2"/>
  <c r="AS22" i="2"/>
  <c r="BA6" i="2"/>
  <c r="BA8" i="2" s="1"/>
  <c r="BE37" i="2"/>
  <c r="H69" i="2"/>
  <c r="I69" i="2"/>
  <c r="Y27" i="2"/>
  <c r="Y114" i="2"/>
  <c r="Y115" i="2" s="1"/>
  <c r="Y110" i="2" s="1"/>
  <c r="Y111" i="2" s="1"/>
  <c r="Y124" i="2" s="1"/>
  <c r="Y28" i="2"/>
  <c r="Y30" i="2" s="1"/>
  <c r="Y31" i="2" s="1"/>
  <c r="Y43" i="2" s="1"/>
  <c r="H110" i="2"/>
  <c r="H111" i="2" s="1"/>
  <c r="H124" i="2" s="1"/>
  <c r="AU6" i="2"/>
  <c r="AU8" i="2" s="1"/>
  <c r="AT37" i="2"/>
  <c r="U110" i="2"/>
  <c r="U111" i="2"/>
  <c r="U124" i="2" s="1"/>
  <c r="Y135" i="2"/>
  <c r="Z28" i="2"/>
  <c r="Z30" i="2" s="1"/>
  <c r="Z31" i="2" s="1"/>
  <c r="Z27" i="2"/>
  <c r="Z114" i="2"/>
  <c r="Z115" i="2" s="1"/>
  <c r="Z110" i="2" s="1"/>
  <c r="Z111" i="2" s="1"/>
  <c r="Z124" i="2" s="1"/>
  <c r="T129" i="2"/>
  <c r="S135" i="2"/>
  <c r="U129" i="2"/>
  <c r="W69" i="2"/>
  <c r="X69" i="2"/>
  <c r="P110" i="2"/>
  <c r="P111" i="2"/>
  <c r="P124" i="2" s="1"/>
  <c r="N124" i="2"/>
  <c r="T75" i="2"/>
  <c r="U69" i="2"/>
  <c r="BC27" i="2"/>
  <c r="BC28" i="2"/>
  <c r="BC30" i="2" s="1"/>
  <c r="BC31" i="2" s="1"/>
  <c r="BC43" i="2" s="1"/>
  <c r="L129" i="2"/>
  <c r="K129" i="2"/>
  <c r="AQ37" i="2"/>
  <c r="AS12" i="2"/>
  <c r="R124" i="2"/>
  <c r="AE27" i="2"/>
  <c r="AE28" i="2"/>
  <c r="AE30" i="2" s="1"/>
  <c r="AE31" i="2" s="1"/>
  <c r="W114" i="2"/>
  <c r="W110" i="2" s="1"/>
  <c r="W111" i="2" s="1"/>
  <c r="W124" i="2" s="1"/>
  <c r="W28" i="2"/>
  <c r="W30" i="2" s="1"/>
  <c r="W31" i="2" s="1"/>
  <c r="W43" i="2" s="1"/>
  <c r="Q128" i="2"/>
  <c r="Q68" i="2"/>
  <c r="Q22" i="2"/>
  <c r="Q109" i="2"/>
  <c r="I129" i="2"/>
  <c r="H129" i="2"/>
  <c r="AI22" i="2"/>
  <c r="AN42" i="2"/>
  <c r="AI25" i="2"/>
  <c r="AI42" i="2"/>
  <c r="J135" i="2"/>
  <c r="AJ25" i="2"/>
  <c r="AJ22" i="2"/>
  <c r="AJ42" i="2"/>
  <c r="AZ27" i="2"/>
  <c r="AZ28" i="2"/>
  <c r="AZ30" i="2" s="1"/>
  <c r="AZ31" i="2" s="1"/>
  <c r="N135" i="2"/>
  <c r="AK25" i="2"/>
  <c r="AK42" i="2"/>
  <c r="AK22" i="2"/>
  <c r="X28" i="2"/>
  <c r="X30" i="2" s="1"/>
  <c r="X31" i="2" s="1"/>
  <c r="X43" i="2" s="1"/>
  <c r="X114" i="2"/>
  <c r="X115" i="2" s="1"/>
  <c r="X110" i="2" s="1"/>
  <c r="X111" i="2" s="1"/>
  <c r="X124" i="2" s="1"/>
  <c r="X27" i="2"/>
  <c r="V124" i="2"/>
  <c r="J130" i="2"/>
  <c r="J70" i="2"/>
  <c r="AV22" i="2"/>
  <c r="AV25" i="2"/>
  <c r="AV42" i="2"/>
  <c r="BA42" i="2"/>
  <c r="O110" i="2"/>
  <c r="O111" i="2"/>
  <c r="O124" i="2" s="1"/>
  <c r="X129" i="2"/>
  <c r="AT12" i="2"/>
  <c r="AY12" i="2" s="1"/>
  <c r="BD12" i="2" s="1"/>
  <c r="BD14" i="2" s="1"/>
  <c r="BA12" i="2"/>
  <c r="BF12" i="2" s="1"/>
  <c r="BF14" i="2" s="1"/>
  <c r="M124" i="2"/>
  <c r="AU22" i="2"/>
  <c r="AU25" i="2"/>
  <c r="AU42" i="2"/>
  <c r="AX42" i="2"/>
  <c r="AO28" i="2"/>
  <c r="AO30" i="2" s="1"/>
  <c r="AO31" i="2" s="1"/>
  <c r="AO27" i="2"/>
  <c r="AD22" i="2"/>
  <c r="AD25" i="2"/>
  <c r="AY37" i="2"/>
  <c r="AQ12" i="2"/>
  <c r="X12" i="2" s="1"/>
  <c r="AB6" i="2"/>
  <c r="AB8" i="2" s="1"/>
  <c r="AB37" i="2" s="1"/>
  <c r="AA37" i="2"/>
  <c r="AT25" i="2"/>
  <c r="AT42" i="2"/>
  <c r="AT22" i="2"/>
  <c r="AZ42" i="2"/>
  <c r="T110" i="2"/>
  <c r="T111" i="2"/>
  <c r="T124" i="2" s="1"/>
  <c r="AL42" i="2"/>
  <c r="AQ42" i="2"/>
  <c r="AL25" i="2"/>
  <c r="AL22" i="2"/>
  <c r="AP28" i="2"/>
  <c r="AP30" i="2" s="1"/>
  <c r="AP31" i="2" s="1"/>
  <c r="AP27" i="2"/>
  <c r="V69" i="2"/>
  <c r="P129" i="2"/>
  <c r="G75" i="2"/>
  <c r="X70" i="2" l="1"/>
  <c r="X130" i="2"/>
  <c r="W70" i="2"/>
  <c r="W130" i="2"/>
  <c r="H130" i="2"/>
  <c r="H70" i="2"/>
  <c r="M70" i="2"/>
  <c r="M130" i="2"/>
  <c r="AV27" i="2"/>
  <c r="AV28" i="2"/>
  <c r="AV30" i="2" s="1"/>
  <c r="AV31" i="2" s="1"/>
  <c r="AD28" i="2"/>
  <c r="AD30" i="2" s="1"/>
  <c r="AD31" i="2" s="1"/>
  <c r="AD27" i="2"/>
  <c r="AU27" i="2"/>
  <c r="AU28" i="2"/>
  <c r="AU30" i="2" s="1"/>
  <c r="AU31" i="2" s="1"/>
  <c r="AU43" i="2" s="1"/>
  <c r="AA14" i="2"/>
  <c r="BD18" i="2"/>
  <c r="BD21" i="2" s="1"/>
  <c r="BD39" i="2"/>
  <c r="BD16" i="2"/>
  <c r="BD41" i="2" s="1"/>
  <c r="BD17" i="2"/>
  <c r="AK27" i="2"/>
  <c r="AK28" i="2"/>
  <c r="AK30" i="2" s="1"/>
  <c r="AK31" i="2" s="1"/>
  <c r="AK43" i="2" s="1"/>
  <c r="AI27" i="2"/>
  <c r="AI28" i="2"/>
  <c r="AI30" i="2" s="1"/>
  <c r="AI31" i="2" s="1"/>
  <c r="Q129" i="2"/>
  <c r="P135" i="2"/>
  <c r="R129" i="2"/>
  <c r="Z43" i="2"/>
  <c r="T130" i="2"/>
  <c r="T70" i="2"/>
  <c r="O130" i="2"/>
  <c r="O70" i="2"/>
  <c r="V70" i="2"/>
  <c r="V130" i="2"/>
  <c r="AZ43" i="2"/>
  <c r="N130" i="2"/>
  <c r="N70" i="2"/>
  <c r="Z70" i="2"/>
  <c r="Z130" i="2"/>
  <c r="U130" i="2"/>
  <c r="U70" i="2"/>
  <c r="AL28" i="2"/>
  <c r="AL30" i="2" s="1"/>
  <c r="AL31" i="2" s="1"/>
  <c r="AL27" i="2"/>
  <c r="AT28" i="2"/>
  <c r="AT30" i="2" s="1"/>
  <c r="AT31" i="2" s="1"/>
  <c r="AT27" i="2"/>
  <c r="BF16" i="2"/>
  <c r="BF41" i="2" s="1"/>
  <c r="BF39" i="2"/>
  <c r="BF18" i="2"/>
  <c r="BF21" i="2" s="1"/>
  <c r="BF17" i="2"/>
  <c r="Q69" i="2"/>
  <c r="R69" i="2"/>
  <c r="P75" i="2"/>
  <c r="P130" i="2"/>
  <c r="P70" i="2"/>
  <c r="AU37" i="2"/>
  <c r="AV6" i="2"/>
  <c r="AV8" i="2" s="1"/>
  <c r="Y130" i="2"/>
  <c r="Y70" i="2"/>
  <c r="BA37" i="2"/>
  <c r="BF37" i="2"/>
  <c r="AU12" i="2"/>
  <c r="AZ12" i="2" s="1"/>
  <c r="BE12" i="2" s="1"/>
  <c r="BE14" i="2" s="1"/>
  <c r="AP43" i="2"/>
  <c r="AJ28" i="2"/>
  <c r="AJ30" i="2" s="1"/>
  <c r="AJ31" i="2" s="1"/>
  <c r="AJ43" i="2" s="1"/>
  <c r="AJ27" i="2"/>
  <c r="Q110" i="2"/>
  <c r="Q111" i="2"/>
  <c r="Q124" i="2" s="1"/>
  <c r="R70" i="2"/>
  <c r="R130" i="2"/>
  <c r="AZ37" i="2"/>
  <c r="AS27" i="2"/>
  <c r="AS28" i="2"/>
  <c r="AS30" i="2" s="1"/>
  <c r="AS31" i="2" s="1"/>
  <c r="AS43" i="2" l="1"/>
  <c r="AX43" i="2"/>
  <c r="Q130" i="2"/>
  <c r="Q70" i="2"/>
  <c r="AL43" i="2"/>
  <c r="AQ43" i="2"/>
  <c r="AI43" i="2"/>
  <c r="AN43" i="2"/>
  <c r="BE18" i="2"/>
  <c r="BE21" i="2" s="1"/>
  <c r="BE39" i="2"/>
  <c r="BE16" i="2"/>
  <c r="BE41" i="2" s="1"/>
  <c r="AV43" i="2"/>
  <c r="BA43" i="2"/>
  <c r="AA16" i="2"/>
  <c r="AA41" i="2" s="1"/>
  <c r="AA39" i="2"/>
  <c r="AV37" i="2"/>
  <c r="AX12" i="2"/>
  <c r="AV12" i="2"/>
  <c r="Y12" i="2" s="1"/>
  <c r="BF42" i="2"/>
  <c r="BF22" i="2"/>
  <c r="BF25" i="2"/>
  <c r="AT43" i="2"/>
  <c r="AY43" i="2"/>
  <c r="BD25" i="2"/>
  <c r="BD42" i="2"/>
  <c r="BD22" i="2"/>
  <c r="AO43" i="2"/>
  <c r="BC12" i="2" l="1"/>
  <c r="AA12" i="2" s="1"/>
  <c r="AB12" i="2" s="1"/>
  <c r="AB14" i="2" s="1"/>
  <c r="Z12" i="2"/>
  <c r="BE25" i="2"/>
  <c r="BE22" i="2"/>
  <c r="BE42" i="2"/>
  <c r="BF26" i="2"/>
  <c r="BF28" i="2" s="1"/>
  <c r="BF30" i="2" s="1"/>
  <c r="BF31" i="2" s="1"/>
  <c r="BF43" i="2" s="1"/>
  <c r="BD26" i="2"/>
  <c r="BE17" i="2"/>
  <c r="AA17" i="2" s="1"/>
  <c r="AA18" i="2" s="1"/>
  <c r="BE26" i="2" l="1"/>
  <c r="AA26" i="2" s="1"/>
  <c r="AA19" i="2"/>
  <c r="AA21" i="2"/>
  <c r="BD28" i="2"/>
  <c r="BD30" i="2" s="1"/>
  <c r="BD31" i="2" s="1"/>
  <c r="BD43" i="2" s="1"/>
  <c r="AB18" i="2"/>
  <c r="AB21" i="2" s="1"/>
  <c r="AB16" i="2"/>
  <c r="AB41" i="2" s="1"/>
  <c r="AB39" i="2"/>
  <c r="AA113" i="2" l="1"/>
  <c r="AB68" i="2"/>
  <c r="AB128" i="2"/>
  <c r="AB129" i="2" s="1"/>
  <c r="AB25" i="2"/>
  <c r="AB22" i="2"/>
  <c r="AB109" i="2"/>
  <c r="AB42" i="2"/>
  <c r="BE28" i="2"/>
  <c r="BE30" i="2" s="1"/>
  <c r="BE31" i="2" s="1"/>
  <c r="BE43" i="2" s="1"/>
  <c r="AB17" i="2"/>
  <c r="AA68" i="2"/>
  <c r="AA69" i="2" s="1"/>
  <c r="AA25" i="2"/>
  <c r="AA22" i="2"/>
  <c r="AA128" i="2"/>
  <c r="AA109" i="2"/>
  <c r="AA42" i="2"/>
  <c r="AB69" i="2" l="1"/>
  <c r="AA114" i="2"/>
  <c r="AA115" i="2" s="1"/>
  <c r="AA110" i="2" s="1"/>
  <c r="AA111" i="2" s="1"/>
  <c r="AA28" i="2"/>
  <c r="Z135" i="2"/>
  <c r="AA129" i="2"/>
  <c r="AB28" i="2"/>
  <c r="AB114" i="2"/>
  <c r="AB26" i="2"/>
  <c r="AB113" i="2" s="1"/>
  <c r="AA27" i="2"/>
  <c r="AB45" i="2" l="1"/>
  <c r="AB51" i="2" s="1"/>
  <c r="AB53" i="2" s="1"/>
  <c r="AB30" i="2"/>
  <c r="AB31" i="2" s="1"/>
  <c r="AB115" i="2"/>
  <c r="AB110" i="2" s="1"/>
  <c r="AB111" i="2" s="1"/>
  <c r="AA45" i="2"/>
  <c r="AA51" i="2" s="1"/>
  <c r="AA53" i="2" s="1"/>
  <c r="AA30" i="2"/>
  <c r="AA31" i="2" s="1"/>
  <c r="AA43" i="2" s="1"/>
  <c r="AB43" i="2" l="1"/>
  <c r="AB54" i="2"/>
  <c r="AB61" i="2"/>
  <c r="AA61" i="2"/>
  <c r="AA81" i="2" s="1"/>
  <c r="AA54" i="2"/>
  <c r="AB81" i="2" l="1"/>
  <c r="AA86" i="2"/>
  <c r="AA72" i="2"/>
  <c r="AA74" i="2" s="1"/>
  <c r="AA75" i="2" s="1"/>
  <c r="AA132" i="2"/>
  <c r="AA102" i="2" l="1"/>
  <c r="AA89" i="2"/>
  <c r="AA119" i="2"/>
  <c r="AA122" i="2" s="1"/>
  <c r="AB86" i="2"/>
  <c r="AB72" i="2"/>
  <c r="AB74" i="2" s="1"/>
  <c r="AB75" i="2" s="1"/>
  <c r="AB132" i="2"/>
  <c r="AB102" i="2" l="1"/>
  <c r="AB119" i="2"/>
  <c r="AB122" i="2" s="1"/>
  <c r="AB124" i="2" s="1"/>
  <c r="AB89" i="2"/>
  <c r="AA124" i="2"/>
  <c r="AB103" i="2"/>
  <c r="AA103" i="2"/>
  <c r="AB130" i="2" l="1"/>
  <c r="AB70" i="2"/>
  <c r="AA130" i="2"/>
  <c r="AA70" i="2"/>
</calcChain>
</file>

<file path=xl/sharedStrings.xml><?xml version="1.0" encoding="utf-8"?>
<sst xmlns="http://schemas.openxmlformats.org/spreadsheetml/2006/main" count="963" uniqueCount="363">
  <si>
    <t>EBITD</t>
  </si>
  <si>
    <t>Market capitalization</t>
  </si>
  <si>
    <t>Gross margin</t>
  </si>
  <si>
    <t xml:space="preserve">  Total</t>
  </si>
  <si>
    <t>Operating income</t>
  </si>
  <si>
    <t>Stock price</t>
  </si>
  <si>
    <t>Other</t>
  </si>
  <si>
    <t>Capital spending</t>
  </si>
  <si>
    <t>Balance sheet</t>
  </si>
  <si>
    <t>Assets</t>
  </si>
  <si>
    <t>Cash and equivalents</t>
  </si>
  <si>
    <t>Accounts receivable</t>
  </si>
  <si>
    <t>Inventories</t>
  </si>
  <si>
    <t xml:space="preserve">  Total current assets</t>
  </si>
  <si>
    <t>Property, plant and equip</t>
  </si>
  <si>
    <t>Other assets</t>
  </si>
  <si>
    <t xml:space="preserve">  Total assets</t>
  </si>
  <si>
    <t>Liabilities and Shareholders' Equity</t>
  </si>
  <si>
    <t>Accounts payable</t>
  </si>
  <si>
    <t>Accrued liabilities</t>
  </si>
  <si>
    <t>Short term debt</t>
  </si>
  <si>
    <t xml:space="preserve">  Total current liabilities</t>
  </si>
  <si>
    <t>Long term debt</t>
  </si>
  <si>
    <t>Other liabilities</t>
  </si>
  <si>
    <t>Shareholders' Equity</t>
  </si>
  <si>
    <t>Net operating profit</t>
  </si>
  <si>
    <t>Taxes</t>
  </si>
  <si>
    <t>NOPAT</t>
  </si>
  <si>
    <t>Invested capital</t>
  </si>
  <si>
    <t>Net working capital</t>
  </si>
  <si>
    <t>PP&amp;E</t>
  </si>
  <si>
    <t>Return on invested capital (ROIC)</t>
  </si>
  <si>
    <t>Selling, gen and adm</t>
  </si>
  <si>
    <t>Shares outstanding</t>
  </si>
  <si>
    <t>Operating margin</t>
  </si>
  <si>
    <t>Net cash provided by operations</t>
  </si>
  <si>
    <t>Total capitalization</t>
  </si>
  <si>
    <t>TMV/EBITD</t>
  </si>
  <si>
    <t>Excess cash flow</t>
  </si>
  <si>
    <t>Costco</t>
  </si>
  <si>
    <t>Same store sales</t>
  </si>
  <si>
    <t>Beginning stores</t>
  </si>
  <si>
    <t>Stores added</t>
  </si>
  <si>
    <t>Ending stores</t>
  </si>
  <si>
    <t>Net merchandise sales</t>
  </si>
  <si>
    <t>Membership fees</t>
  </si>
  <si>
    <t>Merchandise costs</t>
  </si>
  <si>
    <t>Merchandise gross profit</t>
  </si>
  <si>
    <t>Revenue/store</t>
  </si>
  <si>
    <t>Depreciation and amort</t>
  </si>
  <si>
    <t>Short-term investments</t>
  </si>
  <si>
    <t>Income taxes</t>
  </si>
  <si>
    <t>Pre-tax income</t>
  </si>
  <si>
    <t>Effective tax rate</t>
  </si>
  <si>
    <t>Net debt</t>
  </si>
  <si>
    <t>EBITD growth</t>
  </si>
  <si>
    <t>ROIC</t>
  </si>
  <si>
    <t>Q1</t>
  </si>
  <si>
    <t>Q2</t>
  </si>
  <si>
    <t>Q3</t>
  </si>
  <si>
    <t>Q4</t>
  </si>
  <si>
    <t>Net income</t>
  </si>
  <si>
    <t>Deferred taxes</t>
  </si>
  <si>
    <t>Working capital, net</t>
  </si>
  <si>
    <t>Net cash flow from operations</t>
  </si>
  <si>
    <t>Excess cash flow from operations</t>
  </si>
  <si>
    <t>Excess cash flow/share</t>
  </si>
  <si>
    <t>Dividends, net</t>
  </si>
  <si>
    <t>Debt, net</t>
  </si>
  <si>
    <t>Net change in cash</t>
  </si>
  <si>
    <t>Acquisitions, net</t>
  </si>
  <si>
    <t>Interest expense</t>
  </si>
  <si>
    <t>Income before taxes</t>
  </si>
  <si>
    <t>Provision for income taxes</t>
  </si>
  <si>
    <t>Net income including non. Interests</t>
  </si>
  <si>
    <t>Noncontrolling interests</t>
  </si>
  <si>
    <t>Net income attributable to noncontr</t>
  </si>
  <si>
    <t>EPS</t>
  </si>
  <si>
    <t>Share repurchases, net</t>
  </si>
  <si>
    <t xml:space="preserve">  Total revenues</t>
  </si>
  <si>
    <t>Number of stores</t>
  </si>
  <si>
    <t>Change: net working capital</t>
  </si>
  <si>
    <t>Q2E</t>
  </si>
  <si>
    <t>Q3E</t>
  </si>
  <si>
    <t>Q4E</t>
  </si>
  <si>
    <t>2023E</t>
  </si>
  <si>
    <t>Stock based compensation</t>
  </si>
  <si>
    <t>Change in marketable securities</t>
  </si>
  <si>
    <t>2024E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</si>
  <si>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</si>
  <si>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</si>
  <si>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</si>
  <si>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</si>
  <si>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</si>
  <si>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</si>
  <si>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</si>
  <si>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</si>
  <si>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</si>
  <si>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</si>
  <si>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</si>
  <si>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</si>
  <si>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</si>
  <si>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</si>
  <si>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</si>
  <si>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</si>
  <si>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</si>
  <si>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Rent Expense Supplemental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</si>
  <si>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</si>
  <si>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</si>
  <si>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</si>
  <si>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</si>
  <si>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</si>
  <si>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</si>
  <si>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</si>
  <si>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</si>
  <si>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</si>
  <si>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</si>
  <si>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</si>
  <si>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</si>
  <si>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</si>
  <si>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</si>
  <si>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</si>
  <si>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</si>
  <si>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Total Assets</t>
  </si>
  <si>
    <t>Current Assets</t>
  </si>
  <si>
    <t>Cash, Cash Equivalents &amp; Short Term Investments</t>
  </si>
  <si>
    <t>Cash And Cash Equivalents</t>
  </si>
  <si>
    <t>Other Short Term Investments</t>
  </si>
  <si>
    <t>Receivables</t>
  </si>
  <si>
    <t>Gross Accounts Receivable</t>
  </si>
  <si>
    <t>Allowance For Doubtful Accounts Receivable</t>
  </si>
  <si>
    <t>Accrued Interest Receivable</t>
  </si>
  <si>
    <t>Taxes Receivable</t>
  </si>
  <si>
    <t>Due from Related Parties Current</t>
  </si>
  <si>
    <t>Other Receivables</t>
  </si>
  <si>
    <t>Receivables Adjustments Allowances</t>
  </si>
  <si>
    <t>Inventory</t>
  </si>
  <si>
    <t>Raw Materials</t>
  </si>
  <si>
    <t>Work in Process</t>
  </si>
  <si>
    <t>Finished Goods</t>
  </si>
  <si>
    <t>Inventories Adjustments Allowances</t>
  </si>
  <si>
    <t>Prepaid Assets</t>
  </si>
  <si>
    <t>Restricted Cash</t>
  </si>
  <si>
    <t>Hedging Assets Current</t>
  </si>
  <si>
    <t>Other Current Assets</t>
  </si>
  <si>
    <t>Total non-current assets</t>
  </si>
  <si>
    <t>Net PPE</t>
  </si>
  <si>
    <t>Gross PPE</t>
  </si>
  <si>
    <t>Properties</t>
  </si>
  <si>
    <t>Land And Improvements</t>
  </si>
  <si>
    <t>Buildings And Improvements</t>
  </si>
  <si>
    <t>Machinery Furniture Equipment</t>
  </si>
  <si>
    <t>Other Properties</t>
  </si>
  <si>
    <t>Construction in Progress</t>
  </si>
  <si>
    <t>Leases</t>
  </si>
  <si>
    <t>Accumulated Depreciation</t>
  </si>
  <si>
    <t>Goodwill And Other Intangible Assets</t>
  </si>
  <si>
    <t>Other Intangible Assets</t>
  </si>
  <si>
    <t>Investments And Advances</t>
  </si>
  <si>
    <t>Long Term Equity Investment</t>
  </si>
  <si>
    <t>Non Current Accounts Receivable</t>
  </si>
  <si>
    <t>Due from Related Parties Non Current</t>
  </si>
  <si>
    <t>Non Current Prepaid Assets</t>
  </si>
  <si>
    <t>Other Non Current Assets</t>
  </si>
  <si>
    <t>Total Liabilities Net Minority Interest</t>
  </si>
  <si>
    <t>Current Liabilities</t>
  </si>
  <si>
    <t>Payables And Accrued Expenses</t>
  </si>
  <si>
    <t>Payables</t>
  </si>
  <si>
    <t>Accounts Payable</t>
  </si>
  <si>
    <t>Total Tax Payable</t>
  </si>
  <si>
    <t>Due to Related Parties Current</t>
  </si>
  <si>
    <t>Other Payable</t>
  </si>
  <si>
    <t>Current Accrued Expenses</t>
  </si>
  <si>
    <t>Interest Payable</t>
  </si>
  <si>
    <t>Current Provisions</t>
  </si>
  <si>
    <t>Current Debt And Capital Lease Obligation</t>
  </si>
  <si>
    <t>Current Debt</t>
  </si>
  <si>
    <t>Line of Credit</t>
  </si>
  <si>
    <t>Other Current Borrowings</t>
  </si>
  <si>
    <t>Current Capital Lease Obligation</t>
  </si>
  <si>
    <t>Current Deferred Liabilities</t>
  </si>
  <si>
    <t>Current Deferred Revenue</t>
  </si>
  <si>
    <t>Total Non Current Liabilities Net Minority Interest</t>
  </si>
  <si>
    <t>Long Term Provisions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</si>
  <si>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</si>
  <si>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</si>
  <si>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</si>
  <si>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</si>
  <si>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</si>
  <si>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Non Current Deferred Revenue</t>
  </si>
  <si>
    <t>Tradeand Other Payables Non Current</t>
  </si>
  <si>
    <t>Preferred Securities Outside Stock Equity</t>
  </si>
  <si>
    <t>Other Non Current Liabilities</t>
  </si>
  <si>
    <t>Total Equity Gross Minority Interest</t>
  </si>
  <si>
    <t>Stockholders' Equity</t>
  </si>
  <si>
    <t>Capital Stock</t>
  </si>
  <si>
    <t>Common Stock</t>
  </si>
  <si>
    <t>Additional Paid in Capital</t>
  </si>
  <si>
    <t>Retained Earnings</t>
  </si>
  <si>
    <t>Treasury Stock</t>
  </si>
  <si>
    <t>Gains Losses Not Affecting Retained Earnings</t>
  </si>
  <si>
    <t>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</si>
  <si>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</si>
  <si>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</si>
  <si>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</si>
  <si>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</si>
  <si>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</si>
  <si>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</si>
  <si>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</si>
  <si>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</si>
  <si>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</si>
  <si>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</si>
  <si>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</si>
  <si>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</si>
  <si>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NIO- Balance Sheet</t>
  </si>
  <si>
    <t>Operating Cash Flow</t>
  </si>
  <si>
    <t>Cash Flow from Continuing Operating Activities</t>
  </si>
  <si>
    <t>Net Income from Continuing Operations</t>
  </si>
  <si>
    <t>Operating Gains Losses</t>
  </si>
  <si>
    <t>Gain Loss On Sale of Business</t>
  </si>
  <si>
    <t>Gain Loss On Sale of PPE</t>
  </si>
  <si>
    <t>Net Foreign Currency Exchange Gain Loss</t>
  </si>
  <si>
    <t>Gain Loss On Investment Securities</t>
  </si>
  <si>
    <t>Earnings Losses from Equity Investments</t>
  </si>
  <si>
    <t>Depreciation Amortization Depletion</t>
  </si>
  <si>
    <t>Depreciation &amp; amortization</t>
  </si>
  <si>
    <t>Depreciation</t>
  </si>
  <si>
    <t>Deferred Tax</t>
  </si>
  <si>
    <t>Deferred Income Tax</t>
  </si>
  <si>
    <t>Asset Impairment Charge</t>
  </si>
  <si>
    <t>Provision &amp; Write Off of Assets</t>
  </si>
  <si>
    <t>Change in working capital</t>
  </si>
  <si>
    <t>Change in Receivables</t>
  </si>
  <si>
    <t>Changes in Account Receivables</t>
  </si>
  <si>
    <t>Change in Inventory</t>
  </si>
  <si>
    <t>Change in Prepaid Assets</t>
  </si>
  <si>
    <t>Change in Payables And Accrued Expense</t>
  </si>
  <si>
    <t>Change in Payable</t>
  </si>
  <si>
    <t>Change in Tax Payable</t>
  </si>
  <si>
    <t>Change in Income Tax Payable</t>
  </si>
  <si>
    <t>Change in Account Payable</t>
  </si>
  <si>
    <t>Change in Accrued Expense</t>
  </si>
  <si>
    <t>Change in Other Current Assets</t>
  </si>
  <si>
    <t>Change in Other Current Liabilities</t>
  </si>
  <si>
    <t>Change in Other Working Capital</t>
  </si>
  <si>
    <t>Investing Cash Flow</t>
  </si>
  <si>
    <t>Cash Flow from Continuing Investing Activities</t>
  </si>
  <si>
    <t>Capital Expenditure Reported</t>
  </si>
  <si>
    <t>Net PPE Purchase And Sale</t>
  </si>
  <si>
    <t>Purchase of PPE</t>
  </si>
  <si>
    <t>Sale of PPE</t>
  </si>
  <si>
    <t>Net Business Purchase And Sale</t>
  </si>
  <si>
    <t>Purchase of Business</t>
  </si>
  <si>
    <t>Sale of Business</t>
  </si>
  <si>
    <t>Net Investment Purchase And Sale</t>
  </si>
  <si>
    <t>Purchase of Investment</t>
  </si>
  <si>
    <t>Sale of Investment</t>
  </si>
  <si>
    <t>Net Other Investing Changes</t>
  </si>
  <si>
    <t>Financing Cash Flow</t>
  </si>
  <si>
    <t>Cash Flow from Continuing Financing Activities</t>
  </si>
  <si>
    <t>Net Issuance Payments of Debt</t>
  </si>
  <si>
    <t>Net Long Term Debt Issuance</t>
  </si>
  <si>
    <t>Long Term Debt Issuance</t>
  </si>
  <si>
    <t>Long Term Debt Payments</t>
  </si>
  <si>
    <t>Net Short Term Debt Issuance</t>
  </si>
  <si>
    <t>Short Term Debt Issuance</t>
  </si>
  <si>
    <t>Short Term Debt Payments</t>
  </si>
  <si>
    <t>Net Common Stock Issuance</t>
  </si>
  <si>
    <t>Common Stock Issuance</t>
  </si>
  <si>
    <t>Common Stock Payments</t>
  </si>
  <si>
    <t>Net Preferred Stock Issuance</t>
  </si>
  <si>
    <t>Preferred Stock Issuance</t>
  </si>
  <si>
    <t>Preferred Stock Payments</t>
  </si>
  <si>
    <t>Proceeds from Stock Option Exercised</t>
  </si>
  <si>
    <t>Net Other Financing Charges</t>
  </si>
  <si>
    <t>End Cash Position</t>
  </si>
  <si>
    <t>Changes in Cash</t>
  </si>
  <si>
    <t>Effect of Exchange Rate Changes</t>
  </si>
  <si>
    <t>Beginning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</si>
  <si>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</si>
  <si>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</si>
  <si>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</si>
  <si>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</si>
  <si>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</si>
  <si>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</si>
  <si>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</si>
  <si>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</si>
  <si>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Selling General and Administrative</t>
  </si>
  <si>
    <t>General &amp; Administrative Expense</t>
  </si>
  <si>
    <t>Salaries and Wages</t>
  </si>
  <si>
    <t>Rental &amp; Landing Fees</t>
  </si>
  <si>
    <t>Other G and A</t>
  </si>
  <si>
    <t>Selling &amp; Marketing Expense</t>
  </si>
  <si>
    <t>Research &amp; Development</t>
  </si>
  <si>
    <t>Provision for Doubtful Accounts</t>
  </si>
  <si>
    <t>Other Operating Expenses</t>
  </si>
  <si>
    <t>Interest Income Non Operating</t>
  </si>
  <si>
    <t>Interest Expense Non Operating</t>
  </si>
  <si>
    <t>Earnings from Equity Interest</t>
  </si>
  <si>
    <t>Special Income Charges</t>
  </si>
  <si>
    <t>Other Special Charges</t>
  </si>
  <si>
    <t>Other Non Operating Income Expenses</t>
  </si>
  <si>
    <t>Net Income</t>
  </si>
  <si>
    <t>Net Income Including Non-Controlling Interests</t>
  </si>
  <si>
    <t>Net Income Continuous Operations</t>
  </si>
  <si>
    <t>Minority Interests</t>
  </si>
  <si>
    <t>Otherunder Preferred Stock Dividend</t>
  </si>
  <si>
    <t>Q1E</t>
  </si>
  <si>
    <t>Cash Flow Statement</t>
  </si>
  <si>
    <t>Growth Assumptions</t>
  </si>
  <si>
    <t>NIO</t>
  </si>
  <si>
    <t>Year ended January 31,</t>
  </si>
  <si>
    <t>Balalnce Sheet</t>
  </si>
  <si>
    <t>Gross Margin</t>
  </si>
  <si>
    <t>Q3 exchange rate</t>
  </si>
  <si>
    <t>Check</t>
  </si>
  <si>
    <t>Pretax Income(EBIT)</t>
  </si>
  <si>
    <t>Diluted NI Available to Com Stockholders(Net Income)</t>
  </si>
  <si>
    <t>EBIT MARGIN</t>
  </si>
  <si>
    <t>SCHEDULE</t>
  </si>
  <si>
    <t>Retained Earning Schedule</t>
  </si>
  <si>
    <t>year</t>
  </si>
  <si>
    <t>Dividend paid</t>
  </si>
  <si>
    <t>PP&amp;E Schedule</t>
  </si>
  <si>
    <t>CAPEX</t>
  </si>
  <si>
    <t>Net PP&amp;E</t>
  </si>
  <si>
    <t>Long Term Debt Schedule</t>
  </si>
  <si>
    <t>Intangible &amp; goodwill schedule</t>
  </si>
  <si>
    <t>New purchases</t>
  </si>
  <si>
    <t>Intangible and goodwill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</si>
  <si>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</si>
  <si>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</si>
  <si>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</si>
  <si>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</si>
  <si>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</si>
  <si>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</si>
  <si>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</si>
  <si>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</si>
  <si>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2023Q1E</t>
  </si>
  <si>
    <t>2023Q2E</t>
  </si>
  <si>
    <t>2023Q3E</t>
  </si>
  <si>
    <t>2023Q4E</t>
  </si>
  <si>
    <t>Year</t>
  </si>
  <si>
    <t>A chinese car manufacturing company</t>
  </si>
  <si>
    <t>Days in Period</t>
  </si>
  <si>
    <t>Income Statement</t>
  </si>
  <si>
    <t>Sales Growth</t>
  </si>
  <si>
    <t>Distribution Expense (Percent of Sales)</t>
  </si>
  <si>
    <t>Marketing &amp; Admin Expense (Fixed Cost)</t>
  </si>
  <si>
    <t>Research Expense (Percent of Sales)</t>
  </si>
  <si>
    <t>Depreciation (Percent of Sales)</t>
  </si>
  <si>
    <t>Long Term Debt Interest (Average Debt)</t>
  </si>
  <si>
    <t>Tax Rate (Percent of EBT)</t>
  </si>
  <si>
    <t>Balance Sheet</t>
  </si>
  <si>
    <t>Capital Asset Turnover Ratio</t>
  </si>
  <si>
    <t>Receivable Days (Sales Basis)</t>
  </si>
  <si>
    <t>Inventory Days (COGS Basis)</t>
  </si>
  <si>
    <t>Payable Days (COGS Basis)</t>
  </si>
  <si>
    <t>Income Tax Payable</t>
  </si>
  <si>
    <t>Common Share Capital</t>
  </si>
  <si>
    <t xml:space="preserve">Dividend Payout Ratio </t>
  </si>
  <si>
    <t>DEL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</si>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</sst>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&quot;$&quot;#,##0;\-&quot;$&quot;#,##0"/>
    <numFmt numFmtId="168" formatCode="0.0%"/>
    <numFmt numFmtId="169" formatCode="0.0"/>
    <numFmt numFmtId="170" formatCode="_(* #,##0_);_(* \(#,##0\);_(* &quot;-&quot;??_);_(@_)"/>
    <numFmt numFmtId="171" formatCode="#,##0.0_);[Red]\(#,##0.0\)"/>
    <numFmt numFmtId="172" formatCode="#,##0.0"/>
    <numFmt numFmtId="173" formatCode="&quot;$&quot;#,##0.00"/>
    <numFmt numFmtId="174" formatCode="##0"/>
    <numFmt numFmtId="175" formatCode="0_);\(0\)"/>
    <numFmt numFmtId="176" formatCode="0_ ;\-0\ "/>
    <numFmt numFmtId="177" formatCode="#,##0_ ;\-#,##0\ "/>
    <numFmt numFmtId="178" formatCode="&quot;$&quot;#,##0.0_);\(&quot;$&quot;#,##0.0\)"/>
    <numFmt numFmtId="179" formatCode="[$$-C09]#,##0.00"/>
    <numFmt numFmtId="180" formatCode="[$$-1009]#,##0.00"/>
    <numFmt numFmtId="181" formatCode="[$$-1004]#,##0.00"/>
    <numFmt numFmtId="182" formatCode="#,##0_);\(#,##0\);\-"/>
  </numFmts>
  <fonts count="19" x14ac:knownFonts="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sz val="10"/>
      <name val="MS Sans Serif"/>
    </font>
    <font>
      <sz val="8"/>
      <color indexed="39"/>
      <name val="Arial"/>
      <family val="2"/>
    </font>
    <font>
      <sz val="10"/>
      <color indexed="12"/>
      <name val="MS Sans Serif"/>
    </font>
    <font>
      <sz val="7"/>
      <name val="Arial"/>
      <family val="2"/>
    </font>
    <font>
      <sz val="12"/>
      <name val="Bookman Old Style"/>
      <family val="1"/>
    </font>
    <font>
      <sz val="12"/>
      <name val="Times New Roman"/>
      <family val="1"/>
    </font>
    <font>
      <b/>
      <sz val="12"/>
      <name val="Bookman Old Style"/>
      <family val="1"/>
    </font>
    <font>
      <i/>
      <sz val="12"/>
      <name val="Bookman Old Style"/>
      <family val="1"/>
    </font>
    <font>
      <sz val="11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i/>
      <sz val="11"/>
      <name val="Arial Narrow"/>
      <family val="2"/>
    </font>
    <font>
      <sz val="12"/>
      <color theme="0"/>
      <name val="Bookman Old Style"/>
      <family val="1"/>
    </font>
    <font>
      <b/>
      <i/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166" fontId="1" fillId="0" borderId="0" applyFont="0" applyFill="0" applyBorder="0" applyAlignment="0" applyProtection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1" fontId="4" fillId="2" borderId="0" applyNumberFormat="0" applyBorder="0" applyAlignment="0">
      <protection locked="0"/>
    </xf>
    <xf numFmtId="10" fontId="5" fillId="0" borderId="0">
      <protection locked="0"/>
    </xf>
    <xf numFmtId="15" fontId="5" fillId="0" borderId="0">
      <protection locked="0"/>
    </xf>
    <xf numFmtId="2" fontId="5" fillId="0" borderId="1">
      <protection locked="0"/>
    </xf>
    <xf numFmtId="0" fontId="5" fillId="0" borderId="0">
      <protection locked="0"/>
    </xf>
    <xf numFmtId="173" fontId="3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14" fontId="7" fillId="0" borderId="0" xfId="0" applyNumberFormat="1" applyFont="1" applyAlignment="1">
      <alignment horizontal="center"/>
    </xf>
    <xf numFmtId="3" fontId="7" fillId="0" borderId="0" xfId="0" applyNumberFormat="1" applyFont="1"/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/>
    <xf numFmtId="1" fontId="7" fillId="0" borderId="0" xfId="0" applyNumberFormat="1" applyFont="1"/>
    <xf numFmtId="168" fontId="7" fillId="0" borderId="0" xfId="0" applyNumberFormat="1" applyFont="1"/>
    <xf numFmtId="168" fontId="7" fillId="0" borderId="0" xfId="17" applyNumberFormat="1" applyFont="1"/>
    <xf numFmtId="9" fontId="7" fillId="0" borderId="0" xfId="17" applyFont="1"/>
    <xf numFmtId="164" fontId="7" fillId="0" borderId="0" xfId="0" applyNumberFormat="1" applyFont="1"/>
    <xf numFmtId="170" fontId="7" fillId="0" borderId="0" xfId="2" applyNumberFormat="1" applyFont="1"/>
    <xf numFmtId="37" fontId="7" fillId="0" borderId="0" xfId="0" applyNumberFormat="1" applyFont="1"/>
    <xf numFmtId="38" fontId="7" fillId="0" borderId="0" xfId="0" applyNumberFormat="1" applyFont="1"/>
    <xf numFmtId="169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7" fillId="0" borderId="0" xfId="0" applyFont="1"/>
    <xf numFmtId="1" fontId="9" fillId="0" borderId="0" xfId="0" applyNumberFormat="1" applyFont="1"/>
    <xf numFmtId="164" fontId="7" fillId="0" borderId="0" xfId="2" applyNumberFormat="1" applyFont="1" applyBorder="1"/>
    <xf numFmtId="38" fontId="7" fillId="0" borderId="0" xfId="2" applyNumberFormat="1" applyFont="1" applyBorder="1"/>
    <xf numFmtId="38" fontId="7" fillId="0" borderId="0" xfId="2" applyNumberFormat="1" applyFont="1"/>
    <xf numFmtId="164" fontId="7" fillId="0" borderId="0" xfId="17" applyNumberFormat="1" applyFont="1"/>
    <xf numFmtId="164" fontId="7" fillId="0" borderId="0" xfId="2" applyNumberFormat="1" applyFont="1"/>
    <xf numFmtId="165" fontId="7" fillId="0" borderId="0" xfId="2" applyNumberFormat="1" applyFont="1"/>
    <xf numFmtId="37" fontId="7" fillId="0" borderId="0" xfId="2" applyNumberFormat="1" applyFont="1" applyBorder="1"/>
    <xf numFmtId="172" fontId="7" fillId="0" borderId="0" xfId="0" applyNumberFormat="1" applyFont="1"/>
    <xf numFmtId="176" fontId="7" fillId="0" borderId="0" xfId="0" applyNumberFormat="1" applyFont="1" applyAlignment="1">
      <alignment horizontal="center"/>
    </xf>
    <xf numFmtId="177" fontId="7" fillId="0" borderId="0" xfId="0" applyNumberFormat="1" applyFont="1"/>
    <xf numFmtId="167" fontId="7" fillId="0" borderId="0" xfId="0" applyNumberFormat="1" applyFont="1"/>
    <xf numFmtId="177" fontId="7" fillId="0" borderId="0" xfId="2" applyNumberFormat="1" applyFont="1"/>
    <xf numFmtId="167" fontId="7" fillId="0" borderId="0" xfId="2" applyNumberFormat="1" applyFont="1"/>
    <xf numFmtId="168" fontId="7" fillId="0" borderId="0" xfId="2" applyNumberFormat="1" applyFont="1"/>
    <xf numFmtId="175" fontId="7" fillId="0" borderId="0" xfId="0" applyNumberFormat="1" applyFont="1"/>
    <xf numFmtId="37" fontId="7" fillId="0" borderId="0" xfId="2" applyNumberFormat="1" applyFont="1"/>
    <xf numFmtId="178" fontId="7" fillId="0" borderId="0" xfId="0" applyNumberFormat="1" applyFont="1"/>
    <xf numFmtId="178" fontId="7" fillId="0" borderId="0" xfId="2" applyNumberFormat="1" applyFont="1"/>
    <xf numFmtId="37" fontId="7" fillId="0" borderId="0" xfId="17" applyNumberFormat="1" applyFont="1"/>
    <xf numFmtId="165" fontId="7" fillId="0" borderId="0" xfId="17" applyNumberFormat="1" applyFont="1"/>
    <xf numFmtId="37" fontId="10" fillId="0" borderId="0" xfId="0" applyNumberFormat="1" applyFont="1"/>
    <xf numFmtId="3" fontId="12" fillId="0" borderId="0" xfId="0" applyNumberFormat="1" applyFont="1"/>
    <xf numFmtId="0" fontId="12" fillId="0" borderId="0" xfId="0" applyFont="1"/>
    <xf numFmtId="0" fontId="12" fillId="3" borderId="0" xfId="0" applyFont="1" applyFill="1"/>
    <xf numFmtId="0" fontId="11" fillId="4" borderId="0" xfId="0" applyFont="1" applyFill="1"/>
    <xf numFmtId="175" fontId="12" fillId="3" borderId="0" xfId="0" applyNumberFormat="1" applyFont="1" applyFill="1"/>
    <xf numFmtId="3" fontId="12" fillId="3" borderId="0" xfId="0" applyNumberFormat="1" applyFont="1" applyFill="1"/>
    <xf numFmtId="176" fontId="12" fillId="3" borderId="0" xfId="0" applyNumberFormat="1" applyFont="1" applyFill="1" applyAlignment="1">
      <alignment horizontal="center"/>
    </xf>
    <xf numFmtId="0" fontId="12" fillId="0" borderId="2" xfId="0" applyFont="1" applyBorder="1"/>
    <xf numFmtId="0" fontId="11" fillId="4" borderId="2" xfId="0" applyFont="1" applyFill="1" applyBorder="1"/>
    <xf numFmtId="0" fontId="13" fillId="0" borderId="2" xfId="0" applyFont="1" applyBorder="1"/>
    <xf numFmtId="0" fontId="13" fillId="0" borderId="0" xfId="0" applyFont="1"/>
    <xf numFmtId="169" fontId="7" fillId="3" borderId="0" xfId="0" applyNumberFormat="1" applyFont="1" applyFill="1"/>
    <xf numFmtId="170" fontId="7" fillId="3" borderId="0" xfId="2" applyNumberFormat="1" applyFont="1" applyFill="1"/>
    <xf numFmtId="177" fontId="7" fillId="3" borderId="0" xfId="0" applyNumberFormat="1" applyFont="1" applyFill="1"/>
    <xf numFmtId="169" fontId="9" fillId="3" borderId="0" xfId="0" applyNumberFormat="1" applyFont="1" applyFill="1"/>
    <xf numFmtId="3" fontId="9" fillId="0" borderId="0" xfId="0" applyNumberFormat="1" applyFont="1"/>
    <xf numFmtId="9" fontId="12" fillId="0" borderId="0" xfId="17" applyFont="1"/>
    <xf numFmtId="3" fontId="14" fillId="0" borderId="0" xfId="0" applyNumberFormat="1" applyFont="1"/>
    <xf numFmtId="0" fontId="14" fillId="0" borderId="0" xfId="0" applyFont="1"/>
    <xf numFmtId="3" fontId="15" fillId="0" borderId="0" xfId="0" applyNumberFormat="1" applyFont="1"/>
    <xf numFmtId="0" fontId="15" fillId="0" borderId="0" xfId="0" applyFont="1"/>
    <xf numFmtId="179" fontId="13" fillId="0" borderId="0" xfId="0" applyNumberFormat="1" applyFont="1"/>
    <xf numFmtId="0" fontId="13" fillId="3" borderId="0" xfId="0" applyFont="1" applyFill="1"/>
    <xf numFmtId="3" fontId="13" fillId="0" borderId="0" xfId="0" applyNumberFormat="1" applyFont="1"/>
    <xf numFmtId="0" fontId="16" fillId="0" borderId="0" xfId="0" applyFont="1"/>
    <xf numFmtId="180" fontId="13" fillId="0" borderId="0" xfId="0" applyNumberFormat="1" applyFont="1"/>
    <xf numFmtId="181" fontId="13" fillId="0" borderId="0" xfId="0" applyNumberFormat="1" applyFont="1"/>
    <xf numFmtId="3" fontId="16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2" fillId="5" borderId="0" xfId="0" applyFont="1" applyFill="1"/>
    <xf numFmtId="182" fontId="14" fillId="0" borderId="0" xfId="0" applyNumberFormat="1" applyFont="1"/>
    <xf numFmtId="0" fontId="11" fillId="6" borderId="0" xfId="0" applyFont="1" applyFill="1"/>
    <xf numFmtId="0" fontId="12" fillId="7" borderId="0" xfId="0" applyFont="1" applyFill="1"/>
    <xf numFmtId="3" fontId="17" fillId="6" borderId="0" xfId="0" applyNumberFormat="1" applyFont="1" applyFill="1"/>
    <xf numFmtId="1" fontId="17" fillId="6" borderId="0" xfId="0" applyNumberFormat="1" applyFont="1" applyFill="1" applyAlignment="1">
      <alignment horizontal="center"/>
    </xf>
    <xf numFmtId="176" fontId="17" fillId="6" borderId="0" xfId="0" applyNumberFormat="1" applyFont="1" applyFill="1" applyAlignment="1">
      <alignment horizontal="center"/>
    </xf>
    <xf numFmtId="0" fontId="11" fillId="0" borderId="0" xfId="0" applyFont="1"/>
    <xf numFmtId="0" fontId="18" fillId="0" borderId="0" xfId="0" applyFont="1"/>
    <xf numFmtId="0" fontId="12" fillId="8" borderId="0" xfId="0" applyFont="1" applyFill="1"/>
    <xf numFmtId="0" fontId="11" fillId="8" borderId="0" xfId="0" applyFont="1" applyFill="1"/>
  </cellXfs>
  <cellStyles count="19">
    <cellStyle name="Availability" xfId="1" xr:uid="{00000000-0005-0000-0000-000000000000}"/>
    <cellStyle name="Comma" xfId="2" builtinId="3"/>
    <cellStyle name="Comma  - Style1" xfId="3" xr:uid="{00000000-0005-0000-0000-000002000000}"/>
    <cellStyle name="Comma  - Style2" xfId="4" xr:uid="{00000000-0005-0000-0000-000003000000}"/>
    <cellStyle name="Comma  - Style3" xfId="5" xr:uid="{00000000-0005-0000-0000-000004000000}"/>
    <cellStyle name="Comma  - Style4" xfId="6" xr:uid="{00000000-0005-0000-0000-000005000000}"/>
    <cellStyle name="Comma  - Style5" xfId="7" xr:uid="{00000000-0005-0000-0000-000006000000}"/>
    <cellStyle name="Comma  - Style6" xfId="8" xr:uid="{00000000-0005-0000-0000-000007000000}"/>
    <cellStyle name="Comma  - Style7" xfId="9" xr:uid="{00000000-0005-0000-0000-000008000000}"/>
    <cellStyle name="Comma  - Style8" xfId="10" xr:uid="{00000000-0005-0000-0000-000009000000}"/>
    <cellStyle name="Input Titles" xfId="11" xr:uid="{00000000-0005-0000-0000-00000A000000}"/>
    <cellStyle name="Input%" xfId="12" xr:uid="{00000000-0005-0000-0000-00000B000000}"/>
    <cellStyle name="InputDate" xfId="13" xr:uid="{00000000-0005-0000-0000-00000C000000}"/>
    <cellStyle name="InputDecimal" xfId="14" xr:uid="{00000000-0005-0000-0000-00000D000000}"/>
    <cellStyle name="InputValue" xfId="15" xr:uid="{00000000-0005-0000-0000-00000E000000}"/>
    <cellStyle name="Normal" xfId="0" builtinId="0"/>
    <cellStyle name="Normal - Style1" xfId="16" xr:uid="{00000000-0005-0000-0000-000010000000}"/>
    <cellStyle name="Percent" xfId="17" builtinId="5"/>
    <cellStyle name="Role" xfId="18" xr:uid="{00000000-0005-0000-0000-00001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36"/>
  <sheetViews>
    <sheetView showFormulas="1" showGridLines="0" zoomScale="84" zoomScaleNormal="150" workbookViewId="0">
      <pane xSplit="1" ySplit="3" topLeftCell="W4" activePane="bottomRight" state="frozen"/>
      <selection pane="topRight" activeCell="B1" sqref="B1"/>
      <selection pane="bottomLeft" activeCell="A8" sqref="A8"/>
      <selection pane="bottomRight" activeCell="A133" sqref="A133"/>
    </sheetView>
  </sheetViews>
  <sheetFormatPr defaultColWidth="9.28515625" defaultRowHeight="21.95" customHeight="1" x14ac:dyDescent="0.25"/>
  <cols>
    <col min="1" max="1" width="37.42578125" style="14" customWidth="1"/>
    <col min="2" max="6" width="10.7109375" style="14" hidden="1" customWidth="1"/>
    <col min="7" max="7" width="10.85546875" style="14" hidden="1" customWidth="1"/>
    <col min="8" max="8" width="10.7109375" style="14" hidden="1" customWidth="1"/>
    <col min="9" max="12" width="10.85546875" style="14" hidden="1" customWidth="1"/>
    <col min="13" max="13" width="11.85546875" style="14" hidden="1" customWidth="1"/>
    <col min="14" max="22" width="10.85546875" style="14" hidden="1" customWidth="1"/>
    <col min="23" max="29" width="12" style="14" customWidth="1"/>
    <col min="30" max="38" width="12" style="14" hidden="1" customWidth="1"/>
    <col min="39" max="39" width="0" style="14" hidden="1" customWidth="1"/>
    <col min="40" max="43" width="12" style="14" hidden="1" customWidth="1"/>
    <col min="44" max="44" width="0" style="14" hidden="1" customWidth="1"/>
    <col min="45" max="48" width="12" style="14" customWidth="1"/>
    <col min="49" max="49" width="9.28515625" style="14"/>
    <col min="50" max="53" width="12" style="14" customWidth="1"/>
    <col min="54" max="54" width="9.28515625" style="14"/>
    <col min="55" max="58" width="12" style="14" customWidth="1"/>
    <col min="59" max="16384" width="9.28515625" style="14"/>
  </cols>
  <sheetData>
    <row r="1" spans="1:58" s="2" customFormat="1" ht="21.95" customHeight="1" x14ac:dyDescent="0.25">
      <c r="A1" s="1"/>
    </row>
    <row r="2" spans="1:58" s="2" customFormat="1" ht="21.95" customHeight="1" x14ac:dyDescent="0.25">
      <c r="A2" s="54" t="s">
        <v>310</v>
      </c>
      <c r="AE2" s="32">
        <v>2018</v>
      </c>
      <c r="AF2" s="32"/>
      <c r="AG2" s="32"/>
      <c r="AH2" s="32"/>
      <c r="AI2" s="32"/>
      <c r="AJ2" s="32">
        <v>2019</v>
      </c>
      <c r="AN2" s="32"/>
      <c r="AO2" s="32">
        <v>2020</v>
      </c>
      <c r="AS2" s="32"/>
      <c r="AT2" s="32">
        <v>2021</v>
      </c>
      <c r="AX2" s="32"/>
      <c r="AY2" s="32">
        <v>2022</v>
      </c>
      <c r="BC2" s="32"/>
      <c r="BD2" s="32">
        <v>2023</v>
      </c>
    </row>
    <row r="3" spans="1:58" s="2" customFormat="1" ht="21.95" customHeight="1" x14ac:dyDescent="0.25">
      <c r="A3" s="2" t="s">
        <v>311</v>
      </c>
      <c r="B3" s="3">
        <v>1993</v>
      </c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26">
        <v>2019</v>
      </c>
      <c r="X3" s="26">
        <v>2020</v>
      </c>
      <c r="Y3" s="26">
        <v>2021</v>
      </c>
      <c r="Z3" s="26">
        <v>2022</v>
      </c>
      <c r="AA3" s="26" t="s">
        <v>85</v>
      </c>
      <c r="AB3" s="26" t="s">
        <v>88</v>
      </c>
      <c r="AC3" s="26"/>
      <c r="AD3" s="26" t="s">
        <v>57</v>
      </c>
      <c r="AE3" s="26" t="s">
        <v>58</v>
      </c>
      <c r="AF3" s="26" t="s">
        <v>59</v>
      </c>
      <c r="AG3" s="26" t="s">
        <v>60</v>
      </c>
      <c r="AH3" s="26"/>
      <c r="AI3" s="26" t="s">
        <v>57</v>
      </c>
      <c r="AJ3" s="26" t="s">
        <v>58</v>
      </c>
      <c r="AK3" s="26" t="s">
        <v>59</v>
      </c>
      <c r="AL3" s="26" t="s">
        <v>60</v>
      </c>
      <c r="AN3" s="26" t="s">
        <v>57</v>
      </c>
      <c r="AO3" s="26" t="s">
        <v>58</v>
      </c>
      <c r="AP3" s="26" t="s">
        <v>59</v>
      </c>
      <c r="AQ3" s="26" t="s">
        <v>60</v>
      </c>
      <c r="AS3" s="26" t="s">
        <v>57</v>
      </c>
      <c r="AT3" s="26" t="s">
        <v>58</v>
      </c>
      <c r="AU3" s="26" t="s">
        <v>59</v>
      </c>
      <c r="AV3" s="26" t="s">
        <v>60</v>
      </c>
      <c r="AX3" s="26" t="s">
        <v>57</v>
      </c>
      <c r="AY3" s="26" t="s">
        <v>58</v>
      </c>
      <c r="AZ3" s="26" t="s">
        <v>59</v>
      </c>
      <c r="BA3" s="26" t="s">
        <v>60</v>
      </c>
      <c r="BC3" s="26" t="s">
        <v>57</v>
      </c>
      <c r="BD3" s="26" t="s">
        <v>82</v>
      </c>
      <c r="BE3" s="26" t="s">
        <v>83</v>
      </c>
      <c r="BF3" s="26" t="s">
        <v>84</v>
      </c>
    </row>
    <row r="4" spans="1:58" s="2" customFormat="1" ht="21.9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58" s="2" customFormat="1" ht="21.9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58" s="2" customFormat="1" ht="21.95" customHeight="1" x14ac:dyDescent="0.25">
      <c r="A6" s="4" t="s">
        <v>41</v>
      </c>
      <c r="B6" s="4">
        <v>170</v>
      </c>
      <c r="C6" s="4">
        <v>200</v>
      </c>
      <c r="D6" s="4">
        <v>221</v>
      </c>
      <c r="E6" s="4">
        <v>240</v>
      </c>
      <c r="F6" s="4">
        <v>252</v>
      </c>
      <c r="G6" s="4">
        <v>261</v>
      </c>
      <c r="H6" s="4">
        <v>278</v>
      </c>
      <c r="I6" s="4">
        <v>292</v>
      </c>
      <c r="J6" s="4">
        <v>313</v>
      </c>
      <c r="K6" s="4">
        <v>345</v>
      </c>
      <c r="L6" s="4">
        <v>374</v>
      </c>
      <c r="M6" s="4">
        <v>397</v>
      </c>
      <c r="N6" s="4">
        <v>417</v>
      </c>
      <c r="O6" s="4">
        <v>433</v>
      </c>
      <c r="P6" s="4">
        <v>458</v>
      </c>
      <c r="Q6" s="4">
        <v>488</v>
      </c>
      <c r="R6" s="4">
        <v>512</v>
      </c>
      <c r="S6" s="4">
        <v>527</v>
      </c>
      <c r="T6" s="4">
        <v>572</v>
      </c>
      <c r="U6" s="4">
        <v>592</v>
      </c>
      <c r="V6" s="4">
        <v>608</v>
      </c>
      <c r="W6" s="2">
        <v>762</v>
      </c>
      <c r="X6" s="2">
        <v>783</v>
      </c>
      <c r="Y6" s="2">
        <v>795</v>
      </c>
      <c r="Z6" s="2">
        <f>+Y8</f>
        <v>817</v>
      </c>
      <c r="AA6" s="2">
        <f>+Z8</f>
        <v>838</v>
      </c>
      <c r="AB6" s="2">
        <f>+AA8</f>
        <v>853</v>
      </c>
      <c r="AD6" s="2">
        <v>741</v>
      </c>
      <c r="AE6" s="2">
        <v>746</v>
      </c>
      <c r="AF6" s="2">
        <v>749</v>
      </c>
      <c r="AG6" s="2">
        <v>750</v>
      </c>
      <c r="AI6" s="2">
        <v>762</v>
      </c>
      <c r="AJ6" s="2">
        <v>768</v>
      </c>
      <c r="AK6" s="2">
        <v>770</v>
      </c>
      <c r="AL6" s="2">
        <v>773</v>
      </c>
      <c r="AN6" s="2">
        <v>783</v>
      </c>
      <c r="AO6" s="2">
        <f>+AN8</f>
        <v>785</v>
      </c>
      <c r="AP6" s="2">
        <f t="shared" ref="AP6:AQ6" si="0">+AO8</f>
        <v>785</v>
      </c>
      <c r="AQ6" s="2">
        <f t="shared" si="0"/>
        <v>787</v>
      </c>
      <c r="AS6" s="2">
        <v>795</v>
      </c>
      <c r="AT6" s="2">
        <f>+AS8</f>
        <v>803</v>
      </c>
      <c r="AU6" s="2">
        <f t="shared" ref="AU6" si="1">+AT8</f>
        <v>804</v>
      </c>
      <c r="AV6" s="2">
        <f t="shared" ref="AV6" si="2">+AU8</f>
        <v>809</v>
      </c>
      <c r="AX6" s="2">
        <v>817</v>
      </c>
      <c r="AY6" s="2">
        <f>+AX8</f>
        <v>828</v>
      </c>
      <c r="AZ6" s="2">
        <f t="shared" ref="AZ6" si="3">+AY8</f>
        <v>830</v>
      </c>
      <c r="BA6" s="2">
        <f t="shared" ref="BA6" si="4">+AZ8</f>
        <v>830</v>
      </c>
      <c r="BC6" s="2">
        <v>838</v>
      </c>
      <c r="BD6" s="2">
        <f>+BC8</f>
        <v>847</v>
      </c>
      <c r="BE6" s="2">
        <f t="shared" ref="BE6" si="5">+BD8</f>
        <v>849</v>
      </c>
      <c r="BF6" s="2">
        <f t="shared" ref="BF6" si="6">+BE8</f>
        <v>851</v>
      </c>
    </row>
    <row r="7" spans="1:58" s="2" customFormat="1" ht="21.95" customHeight="1" x14ac:dyDescent="0.25">
      <c r="A7" s="4" t="s">
        <v>42</v>
      </c>
      <c r="B7" s="4">
        <v>30</v>
      </c>
      <c r="C7" s="4">
        <v>21</v>
      </c>
      <c r="D7" s="4">
        <v>19</v>
      </c>
      <c r="E7" s="4">
        <v>12</v>
      </c>
      <c r="F7" s="4">
        <v>9</v>
      </c>
      <c r="G7" s="4">
        <v>17</v>
      </c>
      <c r="H7" s="4">
        <v>14</v>
      </c>
      <c r="I7" s="4">
        <v>21</v>
      </c>
      <c r="J7" s="4">
        <v>32</v>
      </c>
      <c r="K7" s="4">
        <v>29</v>
      </c>
      <c r="L7" s="4">
        <v>23</v>
      </c>
      <c r="M7" s="4">
        <v>20</v>
      </c>
      <c r="N7" s="4">
        <v>16</v>
      </c>
      <c r="O7" s="4">
        <v>25</v>
      </c>
      <c r="P7" s="4">
        <v>30</v>
      </c>
      <c r="Q7" s="4">
        <v>24</v>
      </c>
      <c r="R7" s="4">
        <v>15</v>
      </c>
      <c r="S7" s="4">
        <v>13</v>
      </c>
      <c r="T7" s="4">
        <v>20</v>
      </c>
      <c r="U7" s="4">
        <v>16</v>
      </c>
      <c r="V7" s="4">
        <v>26</v>
      </c>
      <c r="W7" s="2">
        <v>21</v>
      </c>
      <c r="X7" s="2">
        <v>12</v>
      </c>
      <c r="Y7" s="2">
        <v>22</v>
      </c>
      <c r="Z7" s="2">
        <f>SUM(AX7:BA7)</f>
        <v>21</v>
      </c>
      <c r="AA7" s="2">
        <f>SUM(BC7:BF7)</f>
        <v>15</v>
      </c>
      <c r="AB7" s="2">
        <v>10</v>
      </c>
      <c r="AD7" s="2">
        <v>5</v>
      </c>
      <c r="AE7" s="2">
        <v>3</v>
      </c>
      <c r="AF7" s="2">
        <v>1</v>
      </c>
      <c r="AG7" s="2">
        <v>12</v>
      </c>
      <c r="AI7" s="2">
        <v>6</v>
      </c>
      <c r="AJ7" s="2">
        <v>2</v>
      </c>
      <c r="AK7" s="2">
        <v>3</v>
      </c>
      <c r="AL7" s="2">
        <v>10</v>
      </c>
      <c r="AN7" s="2">
        <v>2</v>
      </c>
      <c r="AO7" s="2">
        <v>0</v>
      </c>
      <c r="AP7" s="2">
        <v>2</v>
      </c>
      <c r="AQ7" s="2">
        <v>8</v>
      </c>
      <c r="AS7" s="2">
        <v>8</v>
      </c>
      <c r="AT7" s="2">
        <v>1</v>
      </c>
      <c r="AU7" s="2">
        <v>5</v>
      </c>
      <c r="AV7" s="2">
        <v>8</v>
      </c>
      <c r="AX7" s="2">
        <v>11</v>
      </c>
      <c r="AY7" s="2">
        <v>2</v>
      </c>
      <c r="AZ7" s="2">
        <v>0</v>
      </c>
      <c r="BA7" s="2">
        <v>8</v>
      </c>
      <c r="BC7" s="2">
        <v>9</v>
      </c>
      <c r="BD7" s="2">
        <v>2</v>
      </c>
      <c r="BE7" s="2">
        <v>2</v>
      </c>
      <c r="BF7" s="2">
        <v>2</v>
      </c>
    </row>
    <row r="8" spans="1:58" s="2" customFormat="1" ht="21.95" customHeight="1" x14ac:dyDescent="0.25">
      <c r="A8" s="4" t="s">
        <v>43</v>
      </c>
      <c r="B8" s="4">
        <f t="shared" ref="B8:X8" si="7">SUM(B6:B7)</f>
        <v>200</v>
      </c>
      <c r="C8" s="4">
        <f t="shared" si="7"/>
        <v>221</v>
      </c>
      <c r="D8" s="4">
        <f t="shared" si="7"/>
        <v>240</v>
      </c>
      <c r="E8" s="4">
        <f t="shared" si="7"/>
        <v>252</v>
      </c>
      <c r="F8" s="4">
        <f t="shared" si="7"/>
        <v>261</v>
      </c>
      <c r="G8" s="4">
        <f t="shared" si="7"/>
        <v>278</v>
      </c>
      <c r="H8" s="4">
        <f t="shared" si="7"/>
        <v>292</v>
      </c>
      <c r="I8" s="4">
        <f t="shared" si="7"/>
        <v>313</v>
      </c>
      <c r="J8" s="4">
        <f t="shared" si="7"/>
        <v>345</v>
      </c>
      <c r="K8" s="4">
        <f t="shared" si="7"/>
        <v>374</v>
      </c>
      <c r="L8" s="4">
        <f t="shared" si="7"/>
        <v>397</v>
      </c>
      <c r="M8" s="4">
        <f t="shared" si="7"/>
        <v>417</v>
      </c>
      <c r="N8" s="4">
        <f t="shared" si="7"/>
        <v>433</v>
      </c>
      <c r="O8" s="4">
        <f t="shared" si="7"/>
        <v>458</v>
      </c>
      <c r="P8" s="4">
        <f t="shared" si="7"/>
        <v>488</v>
      </c>
      <c r="Q8" s="4">
        <f t="shared" si="7"/>
        <v>512</v>
      </c>
      <c r="R8" s="4">
        <f t="shared" si="7"/>
        <v>527</v>
      </c>
      <c r="S8" s="4">
        <f t="shared" si="7"/>
        <v>540</v>
      </c>
      <c r="T8" s="4">
        <f t="shared" si="7"/>
        <v>592</v>
      </c>
      <c r="U8" s="4">
        <f t="shared" si="7"/>
        <v>608</v>
      </c>
      <c r="V8" s="4">
        <f t="shared" si="7"/>
        <v>634</v>
      </c>
      <c r="W8" s="2">
        <f t="shared" si="7"/>
        <v>783</v>
      </c>
      <c r="X8" s="2">
        <f t="shared" si="7"/>
        <v>795</v>
      </c>
      <c r="Y8" s="2">
        <f t="shared" ref="Y8:Z8" si="8">SUM(Y6:Y7)</f>
        <v>817</v>
      </c>
      <c r="Z8" s="2">
        <f t="shared" si="8"/>
        <v>838</v>
      </c>
      <c r="AA8" s="2">
        <f t="shared" ref="AA8:AB8" si="9">SUM(AA6:AA7)</f>
        <v>853</v>
      </c>
      <c r="AB8" s="2">
        <f t="shared" si="9"/>
        <v>863</v>
      </c>
      <c r="AD8" s="2">
        <f t="shared" ref="AD8" si="10">SUM(AD6:AD7)</f>
        <v>746</v>
      </c>
      <c r="AE8" s="2">
        <f t="shared" ref="AE8" si="11">SUM(AE6:AE7)</f>
        <v>749</v>
      </c>
      <c r="AF8" s="2">
        <f t="shared" ref="AF8" si="12">SUM(AF6:AF7)</f>
        <v>750</v>
      </c>
      <c r="AG8" s="2">
        <f t="shared" ref="AG8" si="13">SUM(AG6:AG7)</f>
        <v>762</v>
      </c>
      <c r="AI8" s="2">
        <v>768</v>
      </c>
      <c r="AJ8" s="2">
        <v>770</v>
      </c>
      <c r="AK8" s="2">
        <v>773</v>
      </c>
      <c r="AL8" s="2">
        <v>783</v>
      </c>
      <c r="AN8" s="2">
        <f>SUM(AN6:AN7)</f>
        <v>785</v>
      </c>
      <c r="AO8" s="2">
        <f t="shared" ref="AO8:AQ8" si="14">SUM(AO6:AO7)</f>
        <v>785</v>
      </c>
      <c r="AP8" s="2">
        <f t="shared" si="14"/>
        <v>787</v>
      </c>
      <c r="AQ8" s="2">
        <f t="shared" si="14"/>
        <v>795</v>
      </c>
      <c r="AS8" s="2">
        <f>SUM(AS6:AS7)</f>
        <v>803</v>
      </c>
      <c r="AT8" s="2">
        <f t="shared" ref="AT8:AV8" si="15">SUM(AT6:AT7)</f>
        <v>804</v>
      </c>
      <c r="AU8" s="2">
        <f t="shared" si="15"/>
        <v>809</v>
      </c>
      <c r="AV8" s="2">
        <f t="shared" si="15"/>
        <v>817</v>
      </c>
      <c r="AX8" s="2">
        <f>SUM(AX6:AX7)</f>
        <v>828</v>
      </c>
      <c r="AY8" s="2">
        <f t="shared" ref="AY8:BA8" si="16">SUM(AY6:AY7)</f>
        <v>830</v>
      </c>
      <c r="AZ8" s="2">
        <f t="shared" si="16"/>
        <v>830</v>
      </c>
      <c r="BA8" s="2">
        <f t="shared" si="16"/>
        <v>838</v>
      </c>
      <c r="BC8" s="2">
        <f>SUM(BC6:BC7)</f>
        <v>847</v>
      </c>
      <c r="BD8" s="2">
        <f t="shared" ref="BD8:BF8" si="17">SUM(BD6:BD7)</f>
        <v>849</v>
      </c>
      <c r="BE8" s="2">
        <f t="shared" si="17"/>
        <v>851</v>
      </c>
      <c r="BF8" s="2">
        <f t="shared" si="17"/>
        <v>853</v>
      </c>
    </row>
    <row r="9" spans="1:58" s="2" customFormat="1" ht="21.9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58" s="6" customFormat="1" ht="21.95" customHeight="1" x14ac:dyDescent="0.25">
      <c r="A10" s="6" t="s">
        <v>40</v>
      </c>
      <c r="B10" s="6">
        <v>-0.03</v>
      </c>
      <c r="C10" s="6">
        <v>-0.03</v>
      </c>
      <c r="D10" s="6">
        <v>0.02</v>
      </c>
      <c r="E10" s="6">
        <v>0.05</v>
      </c>
      <c r="F10" s="6">
        <v>0.09</v>
      </c>
      <c r="G10" s="6">
        <v>0.08</v>
      </c>
      <c r="H10" s="6">
        <v>0.1</v>
      </c>
      <c r="I10" s="6">
        <v>0.11</v>
      </c>
      <c r="J10" s="6">
        <v>0.04</v>
      </c>
      <c r="K10" s="6">
        <v>0.06</v>
      </c>
      <c r="L10" s="6">
        <v>0.05</v>
      </c>
      <c r="M10" s="6">
        <v>0.1</v>
      </c>
      <c r="N10" s="6">
        <v>7.0000000000000007E-2</v>
      </c>
      <c r="O10" s="7">
        <v>0.08</v>
      </c>
      <c r="P10" s="8">
        <v>0.06</v>
      </c>
      <c r="Q10" s="8">
        <v>0.08</v>
      </c>
      <c r="R10" s="8">
        <v>-0.04</v>
      </c>
      <c r="S10" s="8">
        <v>7.0000000000000007E-2</v>
      </c>
      <c r="T10" s="8">
        <v>0.1</v>
      </c>
      <c r="U10" s="8">
        <v>7.0000000000000007E-2</v>
      </c>
      <c r="V10" s="8">
        <v>0.06</v>
      </c>
      <c r="W10" s="6">
        <v>6.0999999999999999E-2</v>
      </c>
      <c r="X10" s="6">
        <v>7.6999999999999999E-2</v>
      </c>
      <c r="Y10" s="6">
        <v>0.13400000000000001</v>
      </c>
      <c r="Z10" s="6">
        <f>AVERAGE(AX10:BA10)</f>
        <v>0.14499999999999999</v>
      </c>
      <c r="AA10" s="6">
        <f>AVERAGE(BC10:BF10)</f>
        <v>5.4000000000000006E-2</v>
      </c>
      <c r="AB10" s="6">
        <v>0.05</v>
      </c>
      <c r="AD10" s="6">
        <v>0.105</v>
      </c>
      <c r="AE10" s="6">
        <v>8.4000000000000005E-2</v>
      </c>
      <c r="AF10" s="6">
        <v>0.10199999999999999</v>
      </c>
      <c r="AG10" s="6">
        <v>9.5000000000000001E-2</v>
      </c>
      <c r="AI10" s="6">
        <v>8.7999999999999995E-2</v>
      </c>
      <c r="AJ10" s="6">
        <v>5.3999999999999999E-2</v>
      </c>
      <c r="AK10" s="6">
        <v>5.5E-2</v>
      </c>
      <c r="AL10" s="6">
        <v>5.0999999999999997E-2</v>
      </c>
      <c r="AN10" s="6">
        <v>4.2999999999999997E-2</v>
      </c>
      <c r="AO10" s="6">
        <v>8.8999999999999996E-2</v>
      </c>
      <c r="AP10" s="6">
        <v>4.8000000000000001E-2</v>
      </c>
      <c r="AQ10" s="6">
        <v>0.114</v>
      </c>
      <c r="AS10" s="6">
        <v>0.154</v>
      </c>
      <c r="AT10" s="6">
        <v>0.13</v>
      </c>
      <c r="AU10" s="6">
        <v>0.20599999999999999</v>
      </c>
      <c r="AV10" s="6">
        <v>0.155</v>
      </c>
      <c r="AX10" s="6">
        <v>0.15</v>
      </c>
      <c r="AY10" s="6">
        <v>0.14399999999999999</v>
      </c>
      <c r="AZ10" s="6">
        <v>0.14899999999999999</v>
      </c>
      <c r="BA10" s="6">
        <v>0.13700000000000001</v>
      </c>
      <c r="BC10" s="6">
        <v>6.6000000000000003E-2</v>
      </c>
      <c r="BD10" s="6">
        <v>0.05</v>
      </c>
      <c r="BE10" s="6">
        <v>0.05</v>
      </c>
      <c r="BF10" s="6">
        <v>0.05</v>
      </c>
    </row>
    <row r="11" spans="1:58" s="6" customFormat="1" ht="21.95" customHeight="1" x14ac:dyDescent="0.25">
      <c r="O11" s="7"/>
      <c r="P11" s="8"/>
      <c r="Q11" s="8"/>
      <c r="R11" s="8"/>
      <c r="S11" s="8"/>
      <c r="T11" s="8"/>
      <c r="U11" s="8"/>
      <c r="V11" s="8"/>
    </row>
    <row r="12" spans="1:58" s="6" customFormat="1" ht="21.95" customHeight="1" x14ac:dyDescent="0.25">
      <c r="A12" s="6" t="s">
        <v>48</v>
      </c>
      <c r="B12" s="28"/>
      <c r="C12" s="28">
        <f>+C14/(AVERAGE(B8:C8))</f>
        <v>76.774346793349167</v>
      </c>
      <c r="D12" s="28">
        <f t="shared" ref="D12:V12" si="18">+D14/(AVERAGE(C8:D8))</f>
        <v>77.683297180043382</v>
      </c>
      <c r="E12" s="28">
        <f t="shared" si="18"/>
        <v>78.105691056910572</v>
      </c>
      <c r="F12" s="28">
        <f t="shared" si="18"/>
        <v>83.758284600389857</v>
      </c>
      <c r="G12" s="28">
        <f t="shared" si="18"/>
        <v>88.423005565862709</v>
      </c>
      <c r="H12" s="28">
        <f t="shared" si="18"/>
        <v>94.652631578947364</v>
      </c>
      <c r="I12" s="28">
        <f t="shared" si="18"/>
        <v>104.53223140495868</v>
      </c>
      <c r="J12" s="28">
        <f t="shared" si="18"/>
        <v>103.75987841945289</v>
      </c>
      <c r="K12" s="28">
        <f t="shared" si="18"/>
        <v>105.68289290681503</v>
      </c>
      <c r="L12" s="28">
        <f t="shared" si="18"/>
        <v>108.15304798962387</v>
      </c>
      <c r="M12" s="28">
        <f t="shared" si="18"/>
        <v>115.83783783783784</v>
      </c>
      <c r="N12" s="28">
        <f t="shared" si="18"/>
        <v>122.06847058823529</v>
      </c>
      <c r="O12" s="28">
        <f t="shared" si="18"/>
        <v>132.35286195286196</v>
      </c>
      <c r="P12" s="28">
        <f t="shared" si="18"/>
        <v>133.37758985200844</v>
      </c>
      <c r="Q12" s="28">
        <f t="shared" si="18"/>
        <v>141.95400000000001</v>
      </c>
      <c r="R12" s="28">
        <f t="shared" si="18"/>
        <v>134.53128007699712</v>
      </c>
      <c r="S12" s="28">
        <f t="shared" si="18"/>
        <v>142.93345829428304</v>
      </c>
      <c r="T12" s="28">
        <f t="shared" si="18"/>
        <v>153.79505300353358</v>
      </c>
      <c r="U12" s="28">
        <f t="shared" si="18"/>
        <v>161.77000000000001</v>
      </c>
      <c r="V12" s="28">
        <f t="shared" si="18"/>
        <v>165.65217391304347</v>
      </c>
      <c r="W12" s="28">
        <f>+W14/(AVERAGE(W8:W8))</f>
        <v>190.74201787994892</v>
      </c>
      <c r="X12" s="28">
        <f>AVERAGE(AN12:AQ12)</f>
        <v>207.43789915058784</v>
      </c>
      <c r="Y12" s="28">
        <f>AVERAGE(AS12:AV12)</f>
        <v>238.57676840708501</v>
      </c>
      <c r="Z12" s="28">
        <f>AVERAGE(AX12:BA12)</f>
        <v>270.86565223537036</v>
      </c>
      <c r="AA12" s="28">
        <f>AVERAGE(BC12:BF12)</f>
        <v>285.37023819060397</v>
      </c>
      <c r="AB12" s="28">
        <f>+AA12*(1+AB10)</f>
        <v>299.63875010013419</v>
      </c>
      <c r="AC12" s="28"/>
      <c r="AD12" s="28">
        <v>167</v>
      </c>
      <c r="AE12" s="28">
        <f>+AE14/(AVERAGE(AD8:AE8))*4</f>
        <v>172.73043478260868</v>
      </c>
      <c r="AF12" s="28">
        <f>+AF14/(AVERAGE(AE8:AF8))*4</f>
        <v>168.77384923282187</v>
      </c>
      <c r="AG12" s="28">
        <f>+AG14/(AVERAGE(AF8:AG8))*4</f>
        <v>229.7037037037037</v>
      </c>
      <c r="AH12" s="28"/>
      <c r="AI12" s="28">
        <f>+AI14/(AVERAGE(AG8:AI8))*4</f>
        <v>179.40392156862745</v>
      </c>
      <c r="AJ12" s="28">
        <f>+AJ14/(AVERAGE(AI8:AJ8))*4</f>
        <v>180.11963589076723</v>
      </c>
      <c r="AK12" s="28">
        <f t="shared" ref="AK12:AL12" si="19">+AK14/(AVERAGE(AJ8:AK8))*4</f>
        <v>176.09332469215812</v>
      </c>
      <c r="AL12" s="28">
        <f t="shared" si="19"/>
        <v>238.80719794344472</v>
      </c>
      <c r="AN12" s="28">
        <f>+AN14/(AVERAGE(AL8:AN8))*4</f>
        <v>184.87755102040816</v>
      </c>
      <c r="AO12" s="28">
        <f>+AO14/(AVERAGE(AM8:AO8))*4</f>
        <v>194.93503184713376</v>
      </c>
      <c r="AP12" s="28">
        <f>+AP14/(AVERAGE(AN8:AP8))*4</f>
        <v>185.57997454391176</v>
      </c>
      <c r="AQ12" s="28">
        <f t="shared" ref="AQ12" si="20">+AQ14/(AVERAGE(AP8:AQ8))*4</f>
        <v>264.35903919089759</v>
      </c>
      <c r="AS12" s="28">
        <f>+AS14/(AVERAGE(AQ8:AS8))*4</f>
        <v>212</v>
      </c>
      <c r="AT12" s="28">
        <f>+AT14/(AVERAGE(AR8:AT8))*4</f>
        <v>218.48413192283758</v>
      </c>
      <c r="AU12" s="28">
        <f>+AU14/(AVERAGE(AS8:AU8))*4</f>
        <v>220.41059602649005</v>
      </c>
      <c r="AV12" s="28">
        <f>+AV14/(AVERAGE(AT8:AV8))*4</f>
        <v>303.41234567901233</v>
      </c>
      <c r="AX12" s="28">
        <f>+AX14/(AVERAGE(AV8:AX8))*4</f>
        <v>240.3258358662614</v>
      </c>
      <c r="AY12" s="28">
        <f t="shared" ref="AY12:AZ12" si="21">+AT12*(1+AY10)</f>
        <v>249.94584691972616</v>
      </c>
      <c r="AZ12" s="28">
        <f t="shared" si="21"/>
        <v>253.25177483443707</v>
      </c>
      <c r="BA12" s="28">
        <f>+BA14/(AVERAGE(AY8:BA8))*4</f>
        <v>339.93915132105684</v>
      </c>
      <c r="BC12" s="28">
        <f t="shared" ref="BC12:BD12" si="22">+AX12*(1+BC10)</f>
        <v>256.18734103343468</v>
      </c>
      <c r="BD12" s="28">
        <f t="shared" si="22"/>
        <v>262.44313926571249</v>
      </c>
      <c r="BE12" s="28">
        <f t="shared" ref="BE12" si="23">+AZ12*(1+BE10)</f>
        <v>265.91436357615896</v>
      </c>
      <c r="BF12" s="28">
        <f>+BA12*(1+BF10)</f>
        <v>356.9361088871097</v>
      </c>
    </row>
    <row r="13" spans="1:58" s="2" customFormat="1" ht="21.95" customHeight="1" x14ac:dyDescent="0.25"/>
    <row r="14" spans="1:58" s="9" customFormat="1" ht="21.95" customHeight="1" x14ac:dyDescent="0.25">
      <c r="A14" s="9" t="s">
        <v>44</v>
      </c>
      <c r="B14" s="9">
        <v>15155</v>
      </c>
      <c r="C14" s="9">
        <v>16161</v>
      </c>
      <c r="D14" s="9">
        <v>17906</v>
      </c>
      <c r="E14" s="9">
        <v>19214</v>
      </c>
      <c r="F14" s="9">
        <v>21484</v>
      </c>
      <c r="G14" s="9">
        <v>23830</v>
      </c>
      <c r="H14" s="9">
        <v>26976</v>
      </c>
      <c r="I14" s="9">
        <v>31621</v>
      </c>
      <c r="J14" s="9">
        <v>34137</v>
      </c>
      <c r="K14" s="9">
        <v>37993</v>
      </c>
      <c r="L14" s="9">
        <v>41693</v>
      </c>
      <c r="M14" s="9">
        <v>47146</v>
      </c>
      <c r="N14" s="9">
        <v>51879.1</v>
      </c>
      <c r="O14" s="9">
        <v>58963.199999999997</v>
      </c>
      <c r="P14" s="9">
        <v>63087.6</v>
      </c>
      <c r="Q14" s="9">
        <v>70977</v>
      </c>
      <c r="R14" s="9">
        <v>69889</v>
      </c>
      <c r="S14" s="9">
        <v>76255</v>
      </c>
      <c r="T14" s="9">
        <v>87048</v>
      </c>
      <c r="U14" s="9">
        <v>97062</v>
      </c>
      <c r="V14" s="9">
        <v>102870</v>
      </c>
      <c r="W14" s="9">
        <v>149351</v>
      </c>
      <c r="X14" s="9">
        <v>163220</v>
      </c>
      <c r="Y14" s="9">
        <v>192052</v>
      </c>
      <c r="Z14" s="9">
        <v>222730</v>
      </c>
      <c r="AA14" s="9">
        <f>SUM(BC14:BF14)</f>
        <v>241609.13897721918</v>
      </c>
      <c r="AB14" s="9">
        <f>AVERAGE(AA8:AB8)*(AB12)</f>
        <v>257090.04758591513</v>
      </c>
      <c r="AD14" s="9">
        <v>31117</v>
      </c>
      <c r="AE14" s="9">
        <v>32279</v>
      </c>
      <c r="AF14" s="9">
        <v>31624</v>
      </c>
      <c r="AG14" s="9">
        <v>43414</v>
      </c>
      <c r="AI14" s="9">
        <v>34311</v>
      </c>
      <c r="AJ14" s="9">
        <v>34628</v>
      </c>
      <c r="AK14" s="9">
        <v>33964</v>
      </c>
      <c r="AL14" s="9">
        <v>46448</v>
      </c>
      <c r="AN14" s="9">
        <v>36236</v>
      </c>
      <c r="AO14" s="9">
        <v>38256</v>
      </c>
      <c r="AP14" s="9">
        <v>36451</v>
      </c>
      <c r="AQ14" s="9">
        <v>52277</v>
      </c>
      <c r="AS14" s="9">
        <v>42347</v>
      </c>
      <c r="AT14" s="9">
        <v>43888</v>
      </c>
      <c r="AU14" s="9">
        <v>44376</v>
      </c>
      <c r="AV14" s="9">
        <v>61441</v>
      </c>
      <c r="AX14" s="9">
        <v>49417</v>
      </c>
      <c r="AY14" s="9">
        <v>50937</v>
      </c>
      <c r="AZ14" s="9">
        <v>51612</v>
      </c>
      <c r="BA14" s="9">
        <v>70764</v>
      </c>
      <c r="BC14" s="9">
        <v>53437</v>
      </c>
      <c r="BD14" s="9">
        <f t="shared" ref="BD14" si="24">(AVERAGE(BC8:BD8)*(BD12))/4</f>
        <v>55637.945524331051</v>
      </c>
      <c r="BE14" s="9">
        <f t="shared" ref="BE14" si="25">(AVERAGE(BD8:BE8)*(BE12))/4</f>
        <v>56506.802259933778</v>
      </c>
      <c r="BF14" s="9">
        <f t="shared" ref="BF14" si="26">(AVERAGE(BE8:BF8)*(BF12))/4</f>
        <v>76027.391192954368</v>
      </c>
    </row>
    <row r="15" spans="1:58" s="27" customFormat="1" ht="21.95" customHeight="1" x14ac:dyDescent="0.25">
      <c r="A15" s="27" t="s">
        <v>45</v>
      </c>
      <c r="B15" s="27">
        <v>309</v>
      </c>
      <c r="C15" s="27">
        <v>320</v>
      </c>
      <c r="D15" s="27">
        <v>341</v>
      </c>
      <c r="E15" s="27">
        <v>352</v>
      </c>
      <c r="F15" s="27">
        <v>390</v>
      </c>
      <c r="G15" s="27">
        <v>440</v>
      </c>
      <c r="H15" s="27">
        <v>480</v>
      </c>
      <c r="I15" s="27">
        <v>543</v>
      </c>
      <c r="J15" s="27">
        <v>660</v>
      </c>
      <c r="K15" s="27">
        <v>769</v>
      </c>
      <c r="L15" s="27">
        <v>853</v>
      </c>
      <c r="M15" s="27">
        <v>961</v>
      </c>
      <c r="N15" s="27">
        <v>1073.2</v>
      </c>
      <c r="O15" s="27">
        <v>1188</v>
      </c>
      <c r="P15" s="27">
        <v>1312.6</v>
      </c>
      <c r="Q15" s="27">
        <v>1506</v>
      </c>
      <c r="R15" s="27">
        <v>1533</v>
      </c>
      <c r="S15" s="27">
        <v>1691</v>
      </c>
      <c r="T15" s="27">
        <v>1867</v>
      </c>
      <c r="U15" s="27">
        <v>2075</v>
      </c>
      <c r="V15" s="27">
        <v>2286</v>
      </c>
      <c r="W15" s="27">
        <v>3352</v>
      </c>
      <c r="X15" s="27">
        <v>3541</v>
      </c>
      <c r="Y15" s="27">
        <v>3877</v>
      </c>
      <c r="Z15" s="27">
        <v>4224</v>
      </c>
      <c r="AA15" s="27">
        <f>SUM(BC15:BF15)</f>
        <v>4700</v>
      </c>
      <c r="AB15" s="27">
        <v>5000</v>
      </c>
      <c r="AD15" s="27">
        <v>692</v>
      </c>
      <c r="AE15" s="27">
        <v>716</v>
      </c>
      <c r="AF15" s="27">
        <v>737</v>
      </c>
      <c r="AG15" s="27">
        <v>997</v>
      </c>
      <c r="AI15" s="27">
        <v>758</v>
      </c>
      <c r="AJ15" s="27">
        <v>768</v>
      </c>
      <c r="AK15" s="27">
        <v>777</v>
      </c>
      <c r="AL15" s="27">
        <v>1050</v>
      </c>
      <c r="AN15" s="27">
        <v>804</v>
      </c>
      <c r="AO15" s="27">
        <v>816</v>
      </c>
      <c r="AP15" s="27">
        <v>815</v>
      </c>
      <c r="AQ15" s="27">
        <v>1106</v>
      </c>
      <c r="AS15" s="27">
        <v>861</v>
      </c>
      <c r="AT15" s="27">
        <v>881</v>
      </c>
      <c r="AU15" s="27">
        <v>901</v>
      </c>
      <c r="AV15" s="27">
        <v>1234</v>
      </c>
      <c r="AX15" s="27">
        <v>946</v>
      </c>
      <c r="AY15" s="27">
        <v>967</v>
      </c>
      <c r="AZ15" s="27">
        <v>984</v>
      </c>
      <c r="BA15" s="27">
        <v>1327</v>
      </c>
      <c r="BC15" s="27">
        <v>1000</v>
      </c>
      <c r="BD15" s="27">
        <v>1100</v>
      </c>
      <c r="BE15" s="27">
        <v>1200</v>
      </c>
      <c r="BF15" s="27">
        <v>1400</v>
      </c>
    </row>
    <row r="16" spans="1:58" s="9" customFormat="1" ht="21.95" customHeight="1" x14ac:dyDescent="0.25">
      <c r="B16" s="9">
        <f>SUM(B14:B15)</f>
        <v>15464</v>
      </c>
      <c r="C16" s="9">
        <f>SUM(C14:C15)</f>
        <v>16481</v>
      </c>
      <c r="D16" s="9">
        <f t="shared" ref="D16:I16" si="27">SUM(D14:D15)</f>
        <v>18247</v>
      </c>
      <c r="E16" s="9">
        <f t="shared" si="27"/>
        <v>19566</v>
      </c>
      <c r="F16" s="9">
        <f t="shared" si="27"/>
        <v>21874</v>
      </c>
      <c r="G16" s="9">
        <f t="shared" si="27"/>
        <v>24270</v>
      </c>
      <c r="H16" s="9">
        <f t="shared" si="27"/>
        <v>27456</v>
      </c>
      <c r="I16" s="9">
        <f t="shared" si="27"/>
        <v>32164</v>
      </c>
      <c r="J16" s="9">
        <f t="shared" ref="J16:X16" si="28">SUM(J14:J15)</f>
        <v>34797</v>
      </c>
      <c r="K16" s="9">
        <f t="shared" si="28"/>
        <v>38762</v>
      </c>
      <c r="L16" s="9">
        <f t="shared" si="28"/>
        <v>42546</v>
      </c>
      <c r="M16" s="9">
        <f t="shared" si="28"/>
        <v>48107</v>
      </c>
      <c r="N16" s="9">
        <f t="shared" si="28"/>
        <v>52952.299999999996</v>
      </c>
      <c r="O16" s="9">
        <f t="shared" si="28"/>
        <v>60151.199999999997</v>
      </c>
      <c r="P16" s="9">
        <f t="shared" si="28"/>
        <v>64400.2</v>
      </c>
      <c r="Q16" s="9">
        <f t="shared" si="28"/>
        <v>72483</v>
      </c>
      <c r="R16" s="9">
        <f t="shared" si="28"/>
        <v>71422</v>
      </c>
      <c r="S16" s="9">
        <f t="shared" si="28"/>
        <v>77946</v>
      </c>
      <c r="T16" s="9">
        <f t="shared" si="28"/>
        <v>88915</v>
      </c>
      <c r="U16" s="9">
        <f t="shared" si="28"/>
        <v>99137</v>
      </c>
      <c r="V16" s="9">
        <f t="shared" si="28"/>
        <v>105156</v>
      </c>
      <c r="W16" s="9">
        <f t="shared" si="28"/>
        <v>152703</v>
      </c>
      <c r="X16" s="9">
        <f t="shared" si="28"/>
        <v>166761</v>
      </c>
      <c r="Y16" s="9">
        <f t="shared" ref="Y16:AA16" si="29">SUM(Y14:Y15)</f>
        <v>195929</v>
      </c>
      <c r="Z16" s="9">
        <f t="shared" si="29"/>
        <v>226954</v>
      </c>
      <c r="AA16" s="9">
        <f t="shared" si="29"/>
        <v>246309.13897721918</v>
      </c>
      <c r="AB16" s="9">
        <f t="shared" ref="AB16" si="30">SUM(AB14:AB15)</f>
        <v>262090.04758591513</v>
      </c>
      <c r="AD16" s="9">
        <f t="shared" ref="AD16" si="31">SUM(AD14:AD15)</f>
        <v>31809</v>
      </c>
      <c r="AE16" s="9">
        <f t="shared" ref="AE16" si="32">SUM(AE14:AE15)</f>
        <v>32995</v>
      </c>
      <c r="AF16" s="9">
        <f t="shared" ref="AF16" si="33">SUM(AF14:AF15)</f>
        <v>32361</v>
      </c>
      <c r="AG16" s="9">
        <f t="shared" ref="AG16" si="34">SUM(AG14:AG15)</f>
        <v>44411</v>
      </c>
      <c r="AI16" s="9">
        <f t="shared" ref="AI16" si="35">SUM(AI14:AI15)</f>
        <v>35069</v>
      </c>
      <c r="AJ16" s="9">
        <f t="shared" ref="AJ16" si="36">SUM(AJ14:AJ15)</f>
        <v>35396</v>
      </c>
      <c r="AK16" s="9">
        <f t="shared" ref="AK16" si="37">SUM(AK14:AK15)</f>
        <v>34741</v>
      </c>
      <c r="AL16" s="9">
        <f t="shared" ref="AL16" si="38">SUM(AL14:AL15)</f>
        <v>47498</v>
      </c>
      <c r="AN16" s="9">
        <f t="shared" ref="AN16" si="39">SUM(AN14:AN15)</f>
        <v>37040</v>
      </c>
      <c r="AO16" s="9">
        <f t="shared" ref="AO16" si="40">SUM(AO14:AO15)</f>
        <v>39072</v>
      </c>
      <c r="AP16" s="9">
        <f t="shared" ref="AP16" si="41">SUM(AP14:AP15)</f>
        <v>37266</v>
      </c>
      <c r="AQ16" s="9">
        <f t="shared" ref="AQ16" si="42">SUM(AQ14:AQ15)</f>
        <v>53383</v>
      </c>
      <c r="AS16" s="9">
        <f t="shared" ref="AS16:AV16" si="43">SUM(AS14:AS15)</f>
        <v>43208</v>
      </c>
      <c r="AT16" s="9">
        <f t="shared" si="43"/>
        <v>44769</v>
      </c>
      <c r="AU16" s="9">
        <f t="shared" si="43"/>
        <v>45277</v>
      </c>
      <c r="AV16" s="9">
        <f t="shared" si="43"/>
        <v>62675</v>
      </c>
      <c r="AX16" s="9">
        <f t="shared" ref="AX16:AY16" si="44">SUM(AX14:AX15)</f>
        <v>50363</v>
      </c>
      <c r="AY16" s="9">
        <f t="shared" si="44"/>
        <v>51904</v>
      </c>
      <c r="AZ16" s="9">
        <f t="shared" ref="AZ16:BA16" si="45">SUM(AZ14:AZ15)</f>
        <v>52596</v>
      </c>
      <c r="BA16" s="9">
        <f t="shared" si="45"/>
        <v>72091</v>
      </c>
      <c r="BC16" s="9">
        <f t="shared" ref="BC16:BF16" si="46">SUM(BC14:BC15)</f>
        <v>54437</v>
      </c>
      <c r="BD16" s="9">
        <f t="shared" si="46"/>
        <v>56737.945524331051</v>
      </c>
      <c r="BE16" s="9">
        <f t="shared" si="46"/>
        <v>57706.802259933778</v>
      </c>
      <c r="BF16" s="9">
        <f t="shared" si="46"/>
        <v>77427.391192954368</v>
      </c>
    </row>
    <row r="17" spans="1:58" s="2" customFormat="1" ht="21.95" customHeight="1" x14ac:dyDescent="0.25">
      <c r="A17" s="2" t="s">
        <v>46</v>
      </c>
      <c r="B17" s="10">
        <v>13751</v>
      </c>
      <c r="C17" s="10">
        <v>14663</v>
      </c>
      <c r="D17" s="10">
        <v>16226</v>
      </c>
      <c r="E17" s="10">
        <v>17345</v>
      </c>
      <c r="F17" s="10">
        <v>19314</v>
      </c>
      <c r="G17" s="10">
        <v>21380</v>
      </c>
      <c r="H17" s="10">
        <v>24170</v>
      </c>
      <c r="I17" s="10">
        <v>28322</v>
      </c>
      <c r="J17" s="10">
        <v>30598</v>
      </c>
      <c r="K17" s="10">
        <v>33983</v>
      </c>
      <c r="L17" s="10">
        <v>37235</v>
      </c>
      <c r="M17" s="10">
        <v>42092</v>
      </c>
      <c r="N17" s="10">
        <v>46347</v>
      </c>
      <c r="O17" s="11">
        <v>52745.5</v>
      </c>
      <c r="P17" s="11">
        <v>56449.7</v>
      </c>
      <c r="Q17" s="11">
        <v>63503</v>
      </c>
      <c r="R17" s="11">
        <v>62335</v>
      </c>
      <c r="S17" s="11">
        <v>67995</v>
      </c>
      <c r="T17" s="11">
        <v>77739</v>
      </c>
      <c r="U17" s="11">
        <v>86823</v>
      </c>
      <c r="V17" s="11">
        <v>91948</v>
      </c>
      <c r="W17" s="2">
        <f>132886</f>
        <v>132886</v>
      </c>
      <c r="X17" s="27">
        <v>144939</v>
      </c>
      <c r="Y17" s="27">
        <v>170684</v>
      </c>
      <c r="Z17" s="27">
        <v>199382</v>
      </c>
      <c r="AA17" s="27">
        <f>SUM(BC17:BF17)</f>
        <v>215242.20368972508</v>
      </c>
      <c r="AB17" s="2">
        <f>+AB14-AB18</f>
        <v>228553.05230387856</v>
      </c>
      <c r="AD17" s="2">
        <v>27617</v>
      </c>
      <c r="AE17" s="2">
        <v>28733</v>
      </c>
      <c r="AF17" s="2">
        <v>28131</v>
      </c>
      <c r="AG17" s="2">
        <v>38671</v>
      </c>
      <c r="AI17" s="2">
        <f>30623</f>
        <v>30623</v>
      </c>
      <c r="AJ17" s="2">
        <v>30720</v>
      </c>
      <c r="AK17" s="2">
        <v>30233</v>
      </c>
      <c r="AL17" s="2">
        <f>41310</f>
        <v>41310</v>
      </c>
      <c r="AN17" s="2">
        <v>32233</v>
      </c>
      <c r="AO17" s="2">
        <v>34056</v>
      </c>
      <c r="AP17" s="2">
        <v>32249</v>
      </c>
      <c r="AQ17" s="2">
        <v>46401</v>
      </c>
      <c r="AS17" s="2">
        <v>37458</v>
      </c>
      <c r="AT17" s="2">
        <v>39078</v>
      </c>
      <c r="AU17" s="2">
        <v>39415</v>
      </c>
      <c r="AV17" s="2">
        <v>54733</v>
      </c>
      <c r="AX17" s="2">
        <v>43952</v>
      </c>
      <c r="AY17" s="2">
        <v>45517</v>
      </c>
      <c r="AZ17" s="2">
        <v>46355</v>
      </c>
      <c r="BA17" s="2">
        <v>63558</v>
      </c>
      <c r="BC17" s="2">
        <v>47769</v>
      </c>
      <c r="BD17" s="2">
        <f>+BD14-BD18</f>
        <v>49517.771516654633</v>
      </c>
      <c r="BE17" s="2">
        <f t="shared" ref="BE17:BF17" si="47">+BE14-BE18</f>
        <v>50291.054011341061</v>
      </c>
      <c r="BF17" s="2">
        <f t="shared" si="47"/>
        <v>67664.378161729386</v>
      </c>
    </row>
    <row r="18" spans="1:58" s="2" customFormat="1" ht="21.95" customHeight="1" x14ac:dyDescent="0.25">
      <c r="A18" s="2" t="s">
        <v>47</v>
      </c>
      <c r="B18" s="9">
        <f>+B14-B17</f>
        <v>1404</v>
      </c>
      <c r="C18" s="9">
        <f t="shared" ref="C18:L18" si="48">+C14-C17</f>
        <v>1498</v>
      </c>
      <c r="D18" s="9">
        <f t="shared" si="48"/>
        <v>1680</v>
      </c>
      <c r="E18" s="9">
        <f t="shared" si="48"/>
        <v>1869</v>
      </c>
      <c r="F18" s="9">
        <f t="shared" si="48"/>
        <v>2170</v>
      </c>
      <c r="G18" s="9">
        <f t="shared" si="48"/>
        <v>2450</v>
      </c>
      <c r="H18" s="9">
        <f t="shared" si="48"/>
        <v>2806</v>
      </c>
      <c r="I18" s="9">
        <f t="shared" si="48"/>
        <v>3299</v>
      </c>
      <c r="J18" s="9">
        <f t="shared" si="48"/>
        <v>3539</v>
      </c>
      <c r="K18" s="9">
        <f t="shared" si="48"/>
        <v>4010</v>
      </c>
      <c r="L18" s="9">
        <f t="shared" si="48"/>
        <v>4458</v>
      </c>
      <c r="M18" s="9">
        <f t="shared" ref="M18:V18" si="49">+M14-M17</f>
        <v>5054</v>
      </c>
      <c r="N18" s="9">
        <f t="shared" si="49"/>
        <v>5532.0999999999985</v>
      </c>
      <c r="O18" s="9">
        <f t="shared" si="49"/>
        <v>6217.6999999999971</v>
      </c>
      <c r="P18" s="9">
        <f t="shared" si="49"/>
        <v>6637.9000000000015</v>
      </c>
      <c r="Q18" s="9">
        <f t="shared" si="49"/>
        <v>7474</v>
      </c>
      <c r="R18" s="9">
        <f t="shared" si="49"/>
        <v>7554</v>
      </c>
      <c r="S18" s="9">
        <f t="shared" si="49"/>
        <v>8260</v>
      </c>
      <c r="T18" s="9">
        <f t="shared" si="49"/>
        <v>9309</v>
      </c>
      <c r="U18" s="9">
        <f t="shared" si="49"/>
        <v>10239</v>
      </c>
      <c r="V18" s="9">
        <f t="shared" si="49"/>
        <v>10922</v>
      </c>
      <c r="W18" s="9">
        <f t="shared" ref="W18:Z18" si="50">+W14-W17</f>
        <v>16465</v>
      </c>
      <c r="X18" s="9">
        <f t="shared" si="50"/>
        <v>18281</v>
      </c>
      <c r="Y18" s="9">
        <f t="shared" si="50"/>
        <v>21368</v>
      </c>
      <c r="Z18" s="9">
        <f t="shared" si="50"/>
        <v>23348</v>
      </c>
      <c r="AA18" s="9">
        <f t="shared" ref="AA18" si="51">+AA14-AA17</f>
        <v>26366.935287494096</v>
      </c>
      <c r="AB18" s="9">
        <f>+AB14*AB19</f>
        <v>28536.99528203658</v>
      </c>
      <c r="AC18" s="9"/>
      <c r="AD18" s="9">
        <f>+AD14-AD17</f>
        <v>3500</v>
      </c>
      <c r="AE18" s="9">
        <f t="shared" ref="AE18:AG18" si="52">+AE14-AE17</f>
        <v>3546</v>
      </c>
      <c r="AF18" s="9">
        <f t="shared" si="52"/>
        <v>3493</v>
      </c>
      <c r="AG18" s="9">
        <f t="shared" si="52"/>
        <v>4743</v>
      </c>
      <c r="AH18" s="9"/>
      <c r="AI18" s="9">
        <f>+AI14-AI17</f>
        <v>3688</v>
      </c>
      <c r="AJ18" s="9">
        <f t="shared" ref="AJ18" si="53">+AJ14-AJ17</f>
        <v>3908</v>
      </c>
      <c r="AK18" s="9">
        <f t="shared" ref="AK18" si="54">+AK14-AK17</f>
        <v>3731</v>
      </c>
      <c r="AL18" s="9">
        <f t="shared" ref="AL18:AN18" si="55">+AL14-AL17</f>
        <v>5138</v>
      </c>
      <c r="AN18" s="9">
        <f t="shared" si="55"/>
        <v>4003</v>
      </c>
      <c r="AO18" s="9">
        <f t="shared" ref="AO18:AP18" si="56">+AO14-AO17</f>
        <v>4200</v>
      </c>
      <c r="AP18" s="9">
        <f t="shared" si="56"/>
        <v>4202</v>
      </c>
      <c r="AQ18" s="9">
        <f t="shared" ref="AQ18" si="57">+AQ14-AQ17</f>
        <v>5876</v>
      </c>
      <c r="AS18" s="9">
        <f t="shared" ref="AS18:AT18" si="58">+AS14-AS17</f>
        <v>4889</v>
      </c>
      <c r="AT18" s="9">
        <f t="shared" si="58"/>
        <v>4810</v>
      </c>
      <c r="AU18" s="9">
        <f t="shared" ref="AU18:AV18" si="59">+AU14-AU17</f>
        <v>4961</v>
      </c>
      <c r="AV18" s="9">
        <f t="shared" si="59"/>
        <v>6708</v>
      </c>
      <c r="AX18" s="9">
        <f t="shared" ref="AX18:AY18" si="60">+AX14-AX17</f>
        <v>5465</v>
      </c>
      <c r="AY18" s="9">
        <f t="shared" si="60"/>
        <v>5420</v>
      </c>
      <c r="AZ18" s="9">
        <f t="shared" ref="AZ18:BA18" si="61">+AZ14-AZ17</f>
        <v>5257</v>
      </c>
      <c r="BA18" s="9">
        <f t="shared" si="61"/>
        <v>7206</v>
      </c>
      <c r="BC18" s="9">
        <f t="shared" ref="BC18" si="62">+BC14-BC17</f>
        <v>5668</v>
      </c>
      <c r="BD18" s="9">
        <f t="shared" ref="BD18:BE18" si="63">+BD14*BD19</f>
        <v>6120.1740076764154</v>
      </c>
      <c r="BE18" s="9">
        <f t="shared" si="63"/>
        <v>6215.7482485927158</v>
      </c>
      <c r="BF18" s="9">
        <f t="shared" ref="BF18" si="64">+BF14*BF19</f>
        <v>8363.0130312249803</v>
      </c>
    </row>
    <row r="19" spans="1:58" s="2" customFormat="1" ht="21.95" customHeight="1" x14ac:dyDescent="0.25">
      <c r="A19" s="2" t="s">
        <v>2</v>
      </c>
      <c r="B19" s="7">
        <f>+B18/B14</f>
        <v>9.2642692180798417E-2</v>
      </c>
      <c r="C19" s="7">
        <f t="shared" ref="C19:L19" si="65">+C18/C14</f>
        <v>9.2692283893323429E-2</v>
      </c>
      <c r="D19" s="7">
        <f t="shared" si="65"/>
        <v>9.382329945269742E-2</v>
      </c>
      <c r="E19" s="7">
        <f t="shared" si="65"/>
        <v>9.7272821900697415E-2</v>
      </c>
      <c r="F19" s="7">
        <f t="shared" si="65"/>
        <v>0.10100539936697077</v>
      </c>
      <c r="G19" s="7">
        <f t="shared" si="65"/>
        <v>0.10281158203944607</v>
      </c>
      <c r="H19" s="7">
        <f t="shared" si="65"/>
        <v>0.10401838671411626</v>
      </c>
      <c r="I19" s="7">
        <f t="shared" si="65"/>
        <v>0.10432940134720597</v>
      </c>
      <c r="J19" s="7">
        <f t="shared" si="65"/>
        <v>0.10367050414506254</v>
      </c>
      <c r="K19" s="7">
        <f t="shared" si="65"/>
        <v>0.10554575842918432</v>
      </c>
      <c r="L19" s="7">
        <f t="shared" si="65"/>
        <v>0.10692442376418104</v>
      </c>
      <c r="M19" s="7">
        <f t="shared" ref="M19:V19" si="66">+M18/M14</f>
        <v>0.10719891401179316</v>
      </c>
      <c r="N19" s="7">
        <f t="shared" si="66"/>
        <v>0.10663446358938375</v>
      </c>
      <c r="O19" s="7">
        <f t="shared" si="66"/>
        <v>0.10545051828937367</v>
      </c>
      <c r="P19" s="7">
        <f t="shared" si="66"/>
        <v>0.10521719006587668</v>
      </c>
      <c r="Q19" s="7">
        <f t="shared" si="66"/>
        <v>0.10530171745776801</v>
      </c>
      <c r="R19" s="7">
        <f t="shared" si="66"/>
        <v>0.10808567871911173</v>
      </c>
      <c r="S19" s="7">
        <f t="shared" si="66"/>
        <v>0.10832076585141957</v>
      </c>
      <c r="T19" s="7">
        <f t="shared" si="66"/>
        <v>0.10694099807003032</v>
      </c>
      <c r="U19" s="7">
        <f t="shared" si="66"/>
        <v>0.10548927489645793</v>
      </c>
      <c r="V19" s="7">
        <f t="shared" si="66"/>
        <v>0.10617283950617284</v>
      </c>
      <c r="W19" s="7">
        <f t="shared" ref="W19:Z19" si="67">+W18/W14</f>
        <v>0.11024365421055099</v>
      </c>
      <c r="X19" s="7">
        <f t="shared" si="67"/>
        <v>0.11200220561205734</v>
      </c>
      <c r="Y19" s="7">
        <f t="shared" si="67"/>
        <v>0.11126153333472184</v>
      </c>
      <c r="Z19" s="7">
        <f t="shared" si="67"/>
        <v>0.10482647151259372</v>
      </c>
      <c r="AA19" s="7">
        <f t="shared" ref="AA19" si="68">+AA18/AA14</f>
        <v>0.10913053785593839</v>
      </c>
      <c r="AB19" s="7">
        <v>0.111</v>
      </c>
      <c r="AC19" s="7"/>
      <c r="AD19" s="7">
        <f>+AD18/AD14</f>
        <v>0.11247870938715172</v>
      </c>
      <c r="AE19" s="7">
        <f t="shared" ref="AE19:AG19" si="69">+AE18/AE14</f>
        <v>0.1098547042969113</v>
      </c>
      <c r="AF19" s="7">
        <f t="shared" si="69"/>
        <v>0.11045408550467999</v>
      </c>
      <c r="AG19" s="7">
        <f t="shared" si="69"/>
        <v>0.10925047219790851</v>
      </c>
      <c r="AH19" s="7"/>
      <c r="AI19" s="7">
        <f>+AI18/AI14</f>
        <v>0.10748739471306579</v>
      </c>
      <c r="AJ19" s="7">
        <f t="shared" ref="AJ19" si="70">+AJ18/AJ14</f>
        <v>0.11285664779946863</v>
      </c>
      <c r="AK19" s="7">
        <f t="shared" ref="AK19" si="71">+AK18/AK14</f>
        <v>0.10985160758450124</v>
      </c>
      <c r="AL19" s="7">
        <f t="shared" ref="AL19" si="72">+AL18/AL14</f>
        <v>0.11061832586978987</v>
      </c>
      <c r="AN19" s="7">
        <f t="shared" ref="AN19:AO19" si="73">+AN18/AN14</f>
        <v>0.11047025057953416</v>
      </c>
      <c r="AO19" s="7">
        <f t="shared" si="73"/>
        <v>0.10978670012547051</v>
      </c>
      <c r="AP19" s="7">
        <f t="shared" ref="AP19:AQ19" si="74">+AP18/AP14</f>
        <v>0.11527804449809333</v>
      </c>
      <c r="AQ19" s="7">
        <f t="shared" si="74"/>
        <v>0.11240124720240259</v>
      </c>
      <c r="AS19" s="7">
        <f t="shared" ref="AS19:AT19" si="75">+AS18/AS14</f>
        <v>0.11545091742036036</v>
      </c>
      <c r="AT19" s="7">
        <f t="shared" si="75"/>
        <v>0.10959715639810426</v>
      </c>
      <c r="AU19" s="7">
        <f t="shared" ref="AU19:AV19" si="76">+AU18/AU14</f>
        <v>0.11179466378222462</v>
      </c>
      <c r="AV19" s="7">
        <f t="shared" si="76"/>
        <v>0.10917791051577937</v>
      </c>
      <c r="AX19" s="7">
        <f t="shared" ref="AX19:AY19" si="77">+AX18/AX14</f>
        <v>0.1105894732581905</v>
      </c>
      <c r="AY19" s="7">
        <f t="shared" si="77"/>
        <v>0.106405952451067</v>
      </c>
      <c r="AZ19" s="7">
        <f t="shared" ref="AZ19:BA19" si="78">+AZ18/AZ14</f>
        <v>0.10185615748275595</v>
      </c>
      <c r="BA19" s="7">
        <f t="shared" si="78"/>
        <v>0.10183143971510938</v>
      </c>
      <c r="BC19" s="7">
        <f t="shared" ref="BC19" si="79">+BC18/BC14</f>
        <v>0.1060688287141868</v>
      </c>
      <c r="BD19" s="7">
        <v>0.11</v>
      </c>
      <c r="BE19" s="7">
        <v>0.11</v>
      </c>
      <c r="BF19" s="7">
        <v>0.11</v>
      </c>
    </row>
    <row r="20" spans="1:58" s="2" customFormat="1" ht="21.95" customHeight="1" x14ac:dyDescent="0.25">
      <c r="A20" s="2" t="s">
        <v>32</v>
      </c>
      <c r="B20" s="2">
        <v>1315</v>
      </c>
      <c r="C20" s="2">
        <v>1426</v>
      </c>
      <c r="D20" s="2">
        <v>1556</v>
      </c>
      <c r="E20" s="10">
        <v>1691</v>
      </c>
      <c r="F20" s="10">
        <v>1877</v>
      </c>
      <c r="G20" s="10">
        <v>2070</v>
      </c>
      <c r="H20" s="10">
        <v>2338</v>
      </c>
      <c r="I20" s="10">
        <v>2756</v>
      </c>
      <c r="J20" s="10">
        <v>3129</v>
      </c>
      <c r="K20" s="10">
        <v>3576</v>
      </c>
      <c r="L20" s="10">
        <v>4097</v>
      </c>
      <c r="M20" s="10">
        <v>4598</v>
      </c>
      <c r="N20" s="10">
        <v>5061.3</v>
      </c>
      <c r="O20" s="11">
        <v>5732.1</v>
      </c>
      <c r="P20" s="11">
        <v>6273.1</v>
      </c>
      <c r="Q20" s="11">
        <v>6954</v>
      </c>
      <c r="R20" s="11">
        <v>7252</v>
      </c>
      <c r="S20" s="11">
        <v>7840</v>
      </c>
      <c r="T20" s="11">
        <v>8691</v>
      </c>
      <c r="U20" s="11">
        <v>9518</v>
      </c>
      <c r="V20" s="11">
        <v>10104</v>
      </c>
      <c r="W20" s="2">
        <f>14994+86-123</f>
        <v>14957</v>
      </c>
      <c r="X20" s="2">
        <v>16387</v>
      </c>
      <c r="Y20" s="27">
        <v>18537</v>
      </c>
      <c r="Z20" s="27">
        <v>19779</v>
      </c>
      <c r="AA20" s="27">
        <f>SUM(BC20:BF20)</f>
        <v>22517</v>
      </c>
      <c r="AB20" s="2">
        <v>24000</v>
      </c>
      <c r="AD20" s="2">
        <f>3224+17</f>
        <v>3241</v>
      </c>
      <c r="AE20" s="2">
        <f>3234+12</f>
        <v>3246</v>
      </c>
      <c r="AF20" s="2">
        <v>3155</v>
      </c>
      <c r="AG20" s="2">
        <f>4263+31</f>
        <v>4294</v>
      </c>
      <c r="AI20" s="2">
        <f>3475+22</f>
        <v>3497</v>
      </c>
      <c r="AJ20" s="2">
        <f>3464+9</f>
        <v>3473</v>
      </c>
      <c r="AK20" s="2">
        <f>3371+14</f>
        <v>3385</v>
      </c>
      <c r="AL20" s="2">
        <f>4684+41-123</f>
        <v>4602</v>
      </c>
      <c r="AN20" s="2">
        <f>3732+14</f>
        <v>3746</v>
      </c>
      <c r="AO20" s="2">
        <f>3743+7</f>
        <v>3750</v>
      </c>
      <c r="AP20" s="2">
        <f>3830+8</f>
        <v>3838</v>
      </c>
      <c r="AQ20" s="2">
        <f>5027+26</f>
        <v>5053</v>
      </c>
      <c r="AS20" s="2">
        <f>4298+22</f>
        <v>4320</v>
      </c>
      <c r="AT20" s="2">
        <f>4342+9</f>
        <v>4351</v>
      </c>
      <c r="AU20" s="2">
        <f>4189+10</f>
        <v>4199</v>
      </c>
      <c r="AV20" s="2">
        <f>5632+35</f>
        <v>5667</v>
      </c>
      <c r="AX20" s="2">
        <f>4690+28</f>
        <v>4718</v>
      </c>
      <c r="AY20" s="2">
        <v>4575</v>
      </c>
      <c r="AZ20" s="2">
        <v>4450</v>
      </c>
      <c r="BA20" s="2">
        <v>6036</v>
      </c>
      <c r="BC20" s="2">
        <v>4917</v>
      </c>
      <c r="BD20" s="2">
        <v>5200</v>
      </c>
      <c r="BE20" s="2">
        <v>5400</v>
      </c>
      <c r="BF20" s="2">
        <v>7000</v>
      </c>
    </row>
    <row r="21" spans="1:58" s="9" customFormat="1" ht="21.95" customHeight="1" x14ac:dyDescent="0.25">
      <c r="A21" s="9" t="s">
        <v>4</v>
      </c>
      <c r="B21" s="21">
        <f>+B15</f>
        <v>309</v>
      </c>
      <c r="C21" s="21">
        <f>+C15+C18-C20</f>
        <v>392</v>
      </c>
      <c r="D21" s="21">
        <f t="shared" ref="D21:V21" si="80">+D15+D18-D20</f>
        <v>465</v>
      </c>
      <c r="E21" s="21">
        <f t="shared" si="80"/>
        <v>530</v>
      </c>
      <c r="F21" s="21">
        <f t="shared" si="80"/>
        <v>683</v>
      </c>
      <c r="G21" s="21">
        <f t="shared" si="80"/>
        <v>820</v>
      </c>
      <c r="H21" s="21">
        <f t="shared" si="80"/>
        <v>948</v>
      </c>
      <c r="I21" s="21">
        <f t="shared" si="80"/>
        <v>1086</v>
      </c>
      <c r="J21" s="21">
        <f t="shared" si="80"/>
        <v>1070</v>
      </c>
      <c r="K21" s="21">
        <f t="shared" si="80"/>
        <v>1203</v>
      </c>
      <c r="L21" s="21">
        <f t="shared" si="80"/>
        <v>1214</v>
      </c>
      <c r="M21" s="21">
        <f t="shared" si="80"/>
        <v>1417</v>
      </c>
      <c r="N21" s="21">
        <f t="shared" si="80"/>
        <v>1543.9999999999982</v>
      </c>
      <c r="O21" s="21">
        <f t="shared" si="80"/>
        <v>1673.5999999999967</v>
      </c>
      <c r="P21" s="21">
        <f t="shared" si="80"/>
        <v>1677.4000000000015</v>
      </c>
      <c r="Q21" s="21">
        <f t="shared" si="80"/>
        <v>2026</v>
      </c>
      <c r="R21" s="21">
        <f t="shared" si="80"/>
        <v>1835</v>
      </c>
      <c r="S21" s="21">
        <f t="shared" si="80"/>
        <v>2111</v>
      </c>
      <c r="T21" s="21">
        <f t="shared" si="80"/>
        <v>2485</v>
      </c>
      <c r="U21" s="21">
        <f t="shared" si="80"/>
        <v>2796</v>
      </c>
      <c r="V21" s="21">
        <f t="shared" si="80"/>
        <v>3104</v>
      </c>
      <c r="W21" s="21">
        <f t="shared" ref="W21:X21" si="81">+W15+W18-W20</f>
        <v>4860</v>
      </c>
      <c r="X21" s="21">
        <f t="shared" si="81"/>
        <v>5435</v>
      </c>
      <c r="Y21" s="21">
        <f t="shared" ref="Y21:Z21" si="82">+Y15+Y18-Y20</f>
        <v>6708</v>
      </c>
      <c r="Z21" s="21">
        <f t="shared" si="82"/>
        <v>7793</v>
      </c>
      <c r="AA21" s="21">
        <f t="shared" ref="AA21:AB21" si="83">+AA15+AA18-AA20</f>
        <v>8549.935287494096</v>
      </c>
      <c r="AB21" s="21">
        <f t="shared" si="83"/>
        <v>9536.9952820365797</v>
      </c>
      <c r="AC21" s="21"/>
      <c r="AD21" s="21">
        <f t="shared" ref="AD21:AG21" si="84">+AD15+AD18-AD20</f>
        <v>951</v>
      </c>
      <c r="AE21" s="21">
        <f t="shared" si="84"/>
        <v>1016</v>
      </c>
      <c r="AF21" s="21">
        <f t="shared" si="84"/>
        <v>1075</v>
      </c>
      <c r="AG21" s="21">
        <f t="shared" si="84"/>
        <v>1446</v>
      </c>
      <c r="AH21" s="21"/>
      <c r="AI21" s="21">
        <f t="shared" ref="AI21:AL21" si="85">+AI15+AI18-AI20</f>
        <v>949</v>
      </c>
      <c r="AJ21" s="21">
        <f t="shared" si="85"/>
        <v>1203</v>
      </c>
      <c r="AK21" s="21">
        <f t="shared" si="85"/>
        <v>1123</v>
      </c>
      <c r="AL21" s="21">
        <f t="shared" si="85"/>
        <v>1586</v>
      </c>
      <c r="AN21" s="21">
        <f t="shared" ref="AN21:AQ21" si="86">+AN15+AN18-AN20</f>
        <v>1061</v>
      </c>
      <c r="AO21" s="21">
        <f t="shared" si="86"/>
        <v>1266</v>
      </c>
      <c r="AP21" s="21">
        <f t="shared" si="86"/>
        <v>1179</v>
      </c>
      <c r="AQ21" s="21">
        <f t="shared" si="86"/>
        <v>1929</v>
      </c>
      <c r="AS21" s="21">
        <f t="shared" ref="AS21:AU21" si="87">+AS15+AS18-AS20</f>
        <v>1430</v>
      </c>
      <c r="AT21" s="21">
        <f t="shared" si="87"/>
        <v>1340</v>
      </c>
      <c r="AU21" s="21">
        <f t="shared" si="87"/>
        <v>1663</v>
      </c>
      <c r="AV21" s="21">
        <f t="shared" ref="AV21" si="88">+AV15+AV18-AV20</f>
        <v>2275</v>
      </c>
      <c r="AX21" s="21">
        <f t="shared" ref="AX21:BA21" si="89">+AX15+AX18-AX20</f>
        <v>1693</v>
      </c>
      <c r="AY21" s="21">
        <f t="shared" si="89"/>
        <v>1812</v>
      </c>
      <c r="AZ21" s="21">
        <f t="shared" si="89"/>
        <v>1791</v>
      </c>
      <c r="BA21" s="21">
        <f t="shared" si="89"/>
        <v>2497</v>
      </c>
      <c r="BC21" s="21">
        <f t="shared" ref="BC21:BF21" si="90">+BC15+BC18-BC20</f>
        <v>1751</v>
      </c>
      <c r="BD21" s="21">
        <f t="shared" si="90"/>
        <v>2020.1740076764154</v>
      </c>
      <c r="BE21" s="21">
        <f t="shared" si="90"/>
        <v>2015.7482485927158</v>
      </c>
      <c r="BF21" s="21">
        <f t="shared" si="90"/>
        <v>2763.0130312249803</v>
      </c>
    </row>
    <row r="22" spans="1:58" s="2" customFormat="1" ht="21.95" customHeight="1" x14ac:dyDescent="0.25">
      <c r="A22" s="2" t="s">
        <v>34</v>
      </c>
      <c r="B22" s="7">
        <f>+B21/B14</f>
        <v>2.0389310458594524E-2</v>
      </c>
      <c r="C22" s="7">
        <f t="shared" ref="C22:L22" si="91">+C21/C14</f>
        <v>2.4255924757131366E-2</v>
      </c>
      <c r="D22" s="7">
        <f t="shared" si="91"/>
        <v>2.5968948955657323E-2</v>
      </c>
      <c r="E22" s="7">
        <f t="shared" si="91"/>
        <v>2.758405329447278E-2</v>
      </c>
      <c r="F22" s="7">
        <f t="shared" si="91"/>
        <v>3.1791100353751628E-2</v>
      </c>
      <c r="G22" s="7">
        <f t="shared" si="91"/>
        <v>3.4410407049937052E-2</v>
      </c>
      <c r="H22" s="7">
        <f t="shared" si="91"/>
        <v>3.5142348754448396E-2</v>
      </c>
      <c r="I22" s="7">
        <f t="shared" si="91"/>
        <v>3.4344264887258467E-2</v>
      </c>
      <c r="J22" s="7">
        <f t="shared" si="91"/>
        <v>3.1344289187684914E-2</v>
      </c>
      <c r="K22" s="7">
        <f t="shared" si="91"/>
        <v>3.1663727528755299E-2</v>
      </c>
      <c r="L22" s="7">
        <f t="shared" si="91"/>
        <v>2.9117597678267337E-2</v>
      </c>
      <c r="M22" s="7">
        <f t="shared" ref="M22:V22" si="92">+M21/M14</f>
        <v>3.0055572052772241E-2</v>
      </c>
      <c r="N22" s="7">
        <f t="shared" si="92"/>
        <v>2.9761503187217941E-2</v>
      </c>
      <c r="O22" s="7">
        <f t="shared" si="92"/>
        <v>2.8383805492239175E-2</v>
      </c>
      <c r="P22" s="7">
        <f t="shared" si="92"/>
        <v>2.6588426251751555E-2</v>
      </c>
      <c r="Q22" s="7">
        <f t="shared" si="92"/>
        <v>2.8544458063879848E-2</v>
      </c>
      <c r="R22" s="7">
        <f t="shared" si="92"/>
        <v>2.6255920101875833E-2</v>
      </c>
      <c r="S22" s="7">
        <f t="shared" si="92"/>
        <v>2.7683430594715102E-2</v>
      </c>
      <c r="T22" s="7">
        <f t="shared" si="92"/>
        <v>2.8547468063597096E-2</v>
      </c>
      <c r="U22" s="7">
        <f t="shared" si="92"/>
        <v>2.8806329974655376E-2</v>
      </c>
      <c r="V22" s="7">
        <f t="shared" si="92"/>
        <v>3.01740060270244E-2</v>
      </c>
      <c r="W22" s="7">
        <f t="shared" ref="W22:Y22" si="93">+W21/W14</f>
        <v>3.2540793165094305E-2</v>
      </c>
      <c r="X22" s="7">
        <f t="shared" si="93"/>
        <v>3.3298615365763999E-2</v>
      </c>
      <c r="Y22" s="7">
        <f t="shared" si="93"/>
        <v>3.492804032241268E-2</v>
      </c>
      <c r="Z22" s="7">
        <f t="shared" ref="Z22:AA22" si="94">+Z21/Z14</f>
        <v>3.4988551160598035E-2</v>
      </c>
      <c r="AA22" s="7">
        <f t="shared" si="94"/>
        <v>3.5387466400019961E-2</v>
      </c>
      <c r="AB22" s="7">
        <f t="shared" ref="AB22" si="95">+AB21/AB14</f>
        <v>3.709593339605835E-2</v>
      </c>
      <c r="AC22" s="7"/>
      <c r="AD22" s="7">
        <f>+AD21/AD14</f>
        <v>3.0562072179194651E-2</v>
      </c>
      <c r="AE22" s="7">
        <f t="shared" ref="AE22:AG22" si="96">+AE21/AE14</f>
        <v>3.147557235354255E-2</v>
      </c>
      <c r="AF22" s="7">
        <f t="shared" si="96"/>
        <v>3.3993169744497849E-2</v>
      </c>
      <c r="AG22" s="7">
        <f t="shared" si="96"/>
        <v>3.3307228083106835E-2</v>
      </c>
      <c r="AH22" s="7"/>
      <c r="AI22" s="7">
        <f>+AI21/AI14</f>
        <v>2.765876832502696E-2</v>
      </c>
      <c r="AJ22" s="7">
        <f t="shared" ref="AJ22" si="97">+AJ21/AJ14</f>
        <v>3.4740672288321589E-2</v>
      </c>
      <c r="AK22" s="7">
        <f t="shared" ref="AK22" si="98">+AK21/AK14</f>
        <v>3.3064421151807799E-2</v>
      </c>
      <c r="AL22" s="7">
        <f t="shared" ref="AL22" si="99">+AL21/AL14</f>
        <v>3.4145711333103686E-2</v>
      </c>
      <c r="AN22" s="7">
        <f>+AN21/AN14</f>
        <v>2.9280273760900762E-2</v>
      </c>
      <c r="AO22" s="7">
        <f t="shared" ref="AO22" si="100">+AO21/AO14</f>
        <v>3.3092848180677543E-2</v>
      </c>
      <c r="AP22" s="7">
        <f t="shared" ref="AP22" si="101">+AP21/AP14</f>
        <v>3.2344791638089489E-2</v>
      </c>
      <c r="AQ22" s="7">
        <f t="shared" ref="AQ22" si="102">+AQ21/AQ14</f>
        <v>3.6899592555043326E-2</v>
      </c>
      <c r="AS22" s="7">
        <f>+AS21/AS14</f>
        <v>3.3768625876685478E-2</v>
      </c>
      <c r="AT22" s="7">
        <f t="shared" ref="AT22:AU22" si="103">+AT21/AT14</f>
        <v>3.0532263944586219E-2</v>
      </c>
      <c r="AU22" s="7">
        <f t="shared" si="103"/>
        <v>3.7475211826212364E-2</v>
      </c>
      <c r="AV22" s="7">
        <f t="shared" ref="AV22" si="104">+AV21/AV14</f>
        <v>3.7027392132289512E-2</v>
      </c>
      <c r="AX22" s="7">
        <f>+AX21/AX14</f>
        <v>3.4259465366169535E-2</v>
      </c>
      <c r="AY22" s="7">
        <f t="shared" ref="AY22:BA22" si="105">+AY21/AY14</f>
        <v>3.5573355321279226E-2</v>
      </c>
      <c r="AZ22" s="7">
        <f t="shared" si="105"/>
        <v>3.4701232271564755E-2</v>
      </c>
      <c r="BA22" s="7">
        <f t="shared" si="105"/>
        <v>3.5286303770278672E-2</v>
      </c>
      <c r="BC22" s="7">
        <f>+BC21/BC14</f>
        <v>3.2767558059022775E-2</v>
      </c>
      <c r="BD22" s="7">
        <f t="shared" ref="BD22:BF22" si="106">+BD21/BD14</f>
        <v>3.6309284763093426E-2</v>
      </c>
      <c r="BE22" s="7">
        <f t="shared" si="106"/>
        <v>3.5672665377881142E-2</v>
      </c>
      <c r="BF22" s="7">
        <f t="shared" si="106"/>
        <v>3.6342336464137877E-2</v>
      </c>
    </row>
    <row r="23" spans="1:58" s="11" customFormat="1" ht="21.95" customHeight="1" x14ac:dyDescent="0.25">
      <c r="A23" s="11" t="s">
        <v>71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>
        <v>150</v>
      </c>
      <c r="X23" s="2">
        <v>160</v>
      </c>
      <c r="Y23" s="27">
        <v>171</v>
      </c>
      <c r="Z23" s="27">
        <v>158</v>
      </c>
      <c r="AA23" s="27">
        <f>SUM(BC23:BF23)</f>
        <v>154</v>
      </c>
      <c r="AB23" s="36">
        <v>160</v>
      </c>
      <c r="AC23" s="36"/>
      <c r="AD23" s="36">
        <v>37</v>
      </c>
      <c r="AE23" s="36">
        <v>37</v>
      </c>
      <c r="AF23" s="36">
        <v>37</v>
      </c>
      <c r="AG23" s="36">
        <v>48</v>
      </c>
      <c r="AH23" s="36"/>
      <c r="AI23" s="36">
        <v>36</v>
      </c>
      <c r="AJ23" s="36">
        <v>34</v>
      </c>
      <c r="AK23" s="36">
        <v>35</v>
      </c>
      <c r="AL23" s="36">
        <v>45</v>
      </c>
      <c r="AN23" s="36">
        <v>38</v>
      </c>
      <c r="AO23" s="36">
        <v>34</v>
      </c>
      <c r="AP23" s="36">
        <v>37</v>
      </c>
      <c r="AQ23" s="36">
        <v>51</v>
      </c>
      <c r="AS23" s="36">
        <v>39</v>
      </c>
      <c r="AT23" s="36">
        <v>40</v>
      </c>
      <c r="AU23" s="36">
        <v>40</v>
      </c>
      <c r="AV23" s="36">
        <v>52</v>
      </c>
      <c r="AX23" s="36">
        <v>39</v>
      </c>
      <c r="AY23" s="36">
        <v>36</v>
      </c>
      <c r="AZ23" s="36">
        <v>35</v>
      </c>
      <c r="BA23" s="36">
        <v>48</v>
      </c>
      <c r="BC23" s="36">
        <v>34</v>
      </c>
      <c r="BD23" s="36">
        <v>40</v>
      </c>
      <c r="BE23" s="36">
        <v>40</v>
      </c>
      <c r="BF23" s="36">
        <v>40</v>
      </c>
    </row>
    <row r="24" spans="1:58" s="11" customFormat="1" ht="21.95" customHeight="1" x14ac:dyDescent="0.25">
      <c r="A24" s="11" t="s">
        <v>6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>
        <v>178</v>
      </c>
      <c r="X24" s="2">
        <v>92</v>
      </c>
      <c r="Y24" s="27">
        <v>143</v>
      </c>
      <c r="Z24" s="27">
        <v>205</v>
      </c>
      <c r="AA24" s="27">
        <f>SUM(BC24:BF24)</f>
        <v>203</v>
      </c>
      <c r="AB24" s="36">
        <v>200</v>
      </c>
      <c r="AC24" s="36"/>
      <c r="AD24" s="36">
        <v>22</v>
      </c>
      <c r="AE24" s="36">
        <v>7</v>
      </c>
      <c r="AF24" s="36">
        <v>41</v>
      </c>
      <c r="AG24" s="36">
        <v>51</v>
      </c>
      <c r="AH24" s="36"/>
      <c r="AI24" s="36">
        <v>22</v>
      </c>
      <c r="AJ24" s="36">
        <v>46</v>
      </c>
      <c r="AK24" s="36">
        <v>36</v>
      </c>
      <c r="AL24" s="36">
        <v>74</v>
      </c>
      <c r="AN24" s="36">
        <v>35</v>
      </c>
      <c r="AO24" s="36">
        <v>45</v>
      </c>
      <c r="AP24" s="36">
        <v>21</v>
      </c>
      <c r="AQ24" s="36">
        <v>-9</v>
      </c>
      <c r="AS24" s="36">
        <v>29</v>
      </c>
      <c r="AT24" s="36">
        <v>19</v>
      </c>
      <c r="AU24" s="36">
        <v>27</v>
      </c>
      <c r="AV24" s="36">
        <v>68</v>
      </c>
      <c r="AX24" s="36">
        <v>42</v>
      </c>
      <c r="AY24" s="36">
        <v>25</v>
      </c>
      <c r="AZ24" s="36">
        <v>71</v>
      </c>
      <c r="BA24" s="36">
        <v>67</v>
      </c>
      <c r="BC24" s="36">
        <v>53</v>
      </c>
      <c r="BD24" s="36">
        <v>50</v>
      </c>
      <c r="BE24" s="36">
        <v>50</v>
      </c>
      <c r="BF24" s="36">
        <v>50</v>
      </c>
    </row>
    <row r="25" spans="1:58" s="2" customFormat="1" ht="21.95" customHeight="1" x14ac:dyDescent="0.25">
      <c r="A25" s="2" t="s">
        <v>72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21">
        <f t="shared" ref="W25:AD25" si="107">+W21-W23+W24</f>
        <v>4888</v>
      </c>
      <c r="X25" s="21">
        <f t="shared" si="107"/>
        <v>5367</v>
      </c>
      <c r="Y25" s="21">
        <f t="shared" si="107"/>
        <v>6680</v>
      </c>
      <c r="Z25" s="21">
        <f t="shared" ref="Z25:AA25" si="108">+Z21-Z23+Z24</f>
        <v>7840</v>
      </c>
      <c r="AA25" s="21">
        <f t="shared" si="108"/>
        <v>8598.935287494096</v>
      </c>
      <c r="AB25" s="21">
        <f t="shared" ref="AB25" si="109">+AB21-AB23+AB24</f>
        <v>9576.9952820365797</v>
      </c>
      <c r="AC25" s="7"/>
      <c r="AD25" s="21">
        <f t="shared" si="107"/>
        <v>936</v>
      </c>
      <c r="AE25" s="21">
        <f t="shared" ref="AE25" si="110">+AE21-AE23+AE24</f>
        <v>986</v>
      </c>
      <c r="AF25" s="21">
        <f t="shared" ref="AF25" si="111">+AF21-AF23+AF24</f>
        <v>1079</v>
      </c>
      <c r="AG25" s="21">
        <f t="shared" ref="AG25" si="112">+AG21-AG23+AG24</f>
        <v>1449</v>
      </c>
      <c r="AH25" s="7"/>
      <c r="AI25" s="21">
        <f t="shared" ref="AI25" si="113">+AI21-AI23+AI24</f>
        <v>935</v>
      </c>
      <c r="AJ25" s="21">
        <f t="shared" ref="AJ25" si="114">+AJ21-AJ23+AJ24</f>
        <v>1215</v>
      </c>
      <c r="AK25" s="21">
        <f t="shared" ref="AK25" si="115">+AK21-AK23+AK24</f>
        <v>1124</v>
      </c>
      <c r="AL25" s="21">
        <f t="shared" ref="AL25" si="116">+AL21-AL23+AL24</f>
        <v>1615</v>
      </c>
      <c r="AN25" s="21">
        <f t="shared" ref="AN25" si="117">+AN21-AN23+AN24</f>
        <v>1058</v>
      </c>
      <c r="AO25" s="21">
        <f t="shared" ref="AO25" si="118">+AO21-AO23+AO24</f>
        <v>1277</v>
      </c>
      <c r="AP25" s="21">
        <f t="shared" ref="AP25" si="119">+AP21-AP23+AP24</f>
        <v>1163</v>
      </c>
      <c r="AQ25" s="21">
        <f t="shared" ref="AQ25" si="120">+AQ21-AQ23+AQ24</f>
        <v>1869</v>
      </c>
      <c r="AS25" s="21">
        <f t="shared" ref="AS25:AV25" si="121">+AS21-AS23+AS24</f>
        <v>1420</v>
      </c>
      <c r="AT25" s="21">
        <f t="shared" si="121"/>
        <v>1319</v>
      </c>
      <c r="AU25" s="21">
        <f t="shared" si="121"/>
        <v>1650</v>
      </c>
      <c r="AV25" s="21">
        <f t="shared" si="121"/>
        <v>2291</v>
      </c>
      <c r="AX25" s="21">
        <f t="shared" ref="AX25:BA25" si="122">+AX21-AX23+AX24</f>
        <v>1696</v>
      </c>
      <c r="AY25" s="21">
        <f t="shared" si="122"/>
        <v>1801</v>
      </c>
      <c r="AZ25" s="21">
        <f t="shared" si="122"/>
        <v>1827</v>
      </c>
      <c r="BA25" s="21">
        <f t="shared" si="122"/>
        <v>2516</v>
      </c>
      <c r="BC25" s="21">
        <f t="shared" ref="BC25:BF25" si="123">+BC21-BC23+BC24</f>
        <v>1770</v>
      </c>
      <c r="BD25" s="21">
        <f t="shared" si="123"/>
        <v>2030.1740076764154</v>
      </c>
      <c r="BE25" s="21">
        <f t="shared" si="123"/>
        <v>2025.7482485927158</v>
      </c>
      <c r="BF25" s="21">
        <f t="shared" si="123"/>
        <v>2773.0130312249803</v>
      </c>
    </row>
    <row r="26" spans="1:58" s="11" customFormat="1" ht="21.95" customHeight="1" x14ac:dyDescent="0.25">
      <c r="A26" s="11" t="s">
        <v>73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>
        <f>1061+27</f>
        <v>1088</v>
      </c>
      <c r="X26" s="2">
        <v>1308</v>
      </c>
      <c r="Y26" s="27">
        <v>1601</v>
      </c>
      <c r="Z26" s="27">
        <v>1925</v>
      </c>
      <c r="AA26" s="27">
        <f>SUM(BC26:BF26)</f>
        <v>2113.2338218735276</v>
      </c>
      <c r="AB26" s="36">
        <f>+AB25*AB27</f>
        <v>2346.3638440989621</v>
      </c>
      <c r="AC26" s="36"/>
      <c r="AD26" s="36">
        <v>285</v>
      </c>
      <c r="AE26" s="36">
        <v>273</v>
      </c>
      <c r="AF26" s="36">
        <v>309</v>
      </c>
      <c r="AG26" s="36">
        <v>396</v>
      </c>
      <c r="AH26" s="36"/>
      <c r="AI26" s="36">
        <v>158</v>
      </c>
      <c r="AJ26" s="36">
        <v>314</v>
      </c>
      <c r="AK26" s="36">
        <v>207</v>
      </c>
      <c r="AL26" s="36">
        <f>382+27</f>
        <v>409</v>
      </c>
      <c r="AN26" s="36">
        <v>202</v>
      </c>
      <c r="AO26" s="36">
        <v>330</v>
      </c>
      <c r="AP26" s="36">
        <v>311</v>
      </c>
      <c r="AQ26" s="36">
        <v>465</v>
      </c>
      <c r="AS26" s="36">
        <v>239</v>
      </c>
      <c r="AT26" s="36">
        <v>348</v>
      </c>
      <c r="AU26" s="36">
        <v>417</v>
      </c>
      <c r="AV26" s="36">
        <v>597</v>
      </c>
      <c r="AX26" s="36">
        <v>351</v>
      </c>
      <c r="AY26" s="9">
        <v>481</v>
      </c>
      <c r="AZ26" s="36">
        <v>455</v>
      </c>
      <c r="BA26" s="36">
        <v>638</v>
      </c>
      <c r="BC26" s="36">
        <v>406</v>
      </c>
      <c r="BD26" s="36">
        <f t="shared" ref="BD26:BE26" si="124">+BD25*BD27</f>
        <v>507.54350191910385</v>
      </c>
      <c r="BE26" s="36">
        <f t="shared" si="124"/>
        <v>506.43706214817894</v>
      </c>
      <c r="BF26" s="36">
        <f t="shared" ref="BF26" si="125">+BF25*BF27</f>
        <v>693.25325780624507</v>
      </c>
    </row>
    <row r="27" spans="1:58" s="11" customFormat="1" ht="21.95" customHeight="1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7">
        <f t="shared" ref="W27:AA27" si="126">+W26/W25</f>
        <v>0.22258592471358429</v>
      </c>
      <c r="X27" s="7">
        <f t="shared" si="126"/>
        <v>0.2437115707098938</v>
      </c>
      <c r="Y27" s="7">
        <f t="shared" si="126"/>
        <v>0.23967065868263474</v>
      </c>
      <c r="Z27" s="7">
        <f t="shared" si="126"/>
        <v>0.24553571428571427</v>
      </c>
      <c r="AA27" s="7">
        <f t="shared" si="126"/>
        <v>0.24575528844215397</v>
      </c>
      <c r="AB27" s="7">
        <v>0.245</v>
      </c>
      <c r="AC27" s="36"/>
      <c r="AD27" s="7">
        <f t="shared" ref="AD27" si="127">+AD26/AD25</f>
        <v>0.30448717948717946</v>
      </c>
      <c r="AE27" s="7">
        <f t="shared" ref="AE27" si="128">+AE26/AE25</f>
        <v>0.27687626774847868</v>
      </c>
      <c r="AF27" s="7">
        <f t="shared" ref="AF27" si="129">+AF26/AF25</f>
        <v>0.28637627432808155</v>
      </c>
      <c r="AG27" s="7">
        <f t="shared" ref="AG27" si="130">+AG26/AG25</f>
        <v>0.27329192546583853</v>
      </c>
      <c r="AH27" s="36"/>
      <c r="AI27" s="7">
        <f t="shared" ref="AI27" si="131">+AI26/AI25</f>
        <v>0.16898395721925133</v>
      </c>
      <c r="AJ27" s="7">
        <f t="shared" ref="AJ27" si="132">+AJ26/AJ25</f>
        <v>0.25843621399176953</v>
      </c>
      <c r="AK27" s="7">
        <f t="shared" ref="AK27" si="133">+AK26/AK25</f>
        <v>0.18416370106761565</v>
      </c>
      <c r="AL27" s="7">
        <f t="shared" ref="AL27:AO27" si="134">+AL26/AL25</f>
        <v>0.25325077399380808</v>
      </c>
      <c r="AN27" s="7">
        <f t="shared" si="134"/>
        <v>0.19092627599243855</v>
      </c>
      <c r="AO27" s="7">
        <f t="shared" si="134"/>
        <v>0.25841816758026626</v>
      </c>
      <c r="AP27" s="7">
        <f t="shared" ref="AP27:AQ27" si="135">+AP26/AP25</f>
        <v>0.26741186586414445</v>
      </c>
      <c r="AQ27" s="7">
        <f t="shared" si="135"/>
        <v>0.24879614767255218</v>
      </c>
      <c r="AS27" s="7">
        <f t="shared" ref="AS27:AV27" si="136">+AS26/AS25</f>
        <v>0.16830985915492958</v>
      </c>
      <c r="AT27" s="7">
        <f t="shared" si="136"/>
        <v>0.26383623957543595</v>
      </c>
      <c r="AU27" s="7">
        <f t="shared" si="136"/>
        <v>0.25272727272727274</v>
      </c>
      <c r="AV27" s="7">
        <f t="shared" si="136"/>
        <v>0.26058489742470536</v>
      </c>
      <c r="AX27" s="7">
        <f t="shared" ref="AX27" si="137">+AX26/AX25</f>
        <v>0.20695754716981132</v>
      </c>
      <c r="AY27" s="7">
        <f t="shared" ref="AY27:BC27" si="138">+AY26/AY25</f>
        <v>0.26707384786229871</v>
      </c>
      <c r="AZ27" s="7">
        <f t="shared" si="138"/>
        <v>0.24904214559386972</v>
      </c>
      <c r="BA27" s="7">
        <f t="shared" si="138"/>
        <v>0.25357710651828297</v>
      </c>
      <c r="BC27" s="7">
        <f t="shared" si="138"/>
        <v>0.22937853107344633</v>
      </c>
      <c r="BD27" s="7">
        <v>0.25</v>
      </c>
      <c r="BE27" s="7">
        <v>0.25</v>
      </c>
      <c r="BF27" s="7">
        <v>0.25</v>
      </c>
    </row>
    <row r="28" spans="1:58" s="9" customFormat="1" ht="21.95" customHeight="1" x14ac:dyDescent="0.25">
      <c r="A28" s="9" t="s">
        <v>74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>
        <f t="shared" ref="W28:AD28" si="139">+W25-W26</f>
        <v>3800</v>
      </c>
      <c r="X28" s="21">
        <f t="shared" si="139"/>
        <v>4059</v>
      </c>
      <c r="Y28" s="21">
        <f t="shared" si="139"/>
        <v>5079</v>
      </c>
      <c r="Z28" s="21">
        <f t="shared" ref="Z28:AA28" si="140">+Z25-Z26</f>
        <v>5915</v>
      </c>
      <c r="AA28" s="21">
        <f t="shared" si="140"/>
        <v>6485.7014656205683</v>
      </c>
      <c r="AB28" s="21">
        <f t="shared" ref="AB28" si="141">+AB25-AB26</f>
        <v>7230.6314379376181</v>
      </c>
      <c r="AC28" s="21"/>
      <c r="AD28" s="21">
        <f t="shared" si="139"/>
        <v>651</v>
      </c>
      <c r="AE28" s="21">
        <f t="shared" ref="AE28" si="142">+AE25-AE26</f>
        <v>713</v>
      </c>
      <c r="AF28" s="21">
        <f t="shared" ref="AF28" si="143">+AF25-AF26</f>
        <v>770</v>
      </c>
      <c r="AG28" s="21">
        <f t="shared" ref="AG28" si="144">+AG25-AG26</f>
        <v>1053</v>
      </c>
      <c r="AH28" s="21"/>
      <c r="AI28" s="21">
        <f t="shared" ref="AI28" si="145">+AI25-AI26</f>
        <v>777</v>
      </c>
      <c r="AJ28" s="21">
        <f t="shared" ref="AJ28" si="146">+AJ25-AJ26</f>
        <v>901</v>
      </c>
      <c r="AK28" s="21">
        <f t="shared" ref="AK28" si="147">+AK25-AK26</f>
        <v>917</v>
      </c>
      <c r="AL28" s="21">
        <f t="shared" ref="AL28" si="148">+AL25-AL26</f>
        <v>1206</v>
      </c>
      <c r="AN28" s="21">
        <f t="shared" ref="AN28" si="149">+AN25-AN26</f>
        <v>856</v>
      </c>
      <c r="AO28" s="21">
        <f t="shared" ref="AO28:AP28" si="150">+AO25-AO26</f>
        <v>947</v>
      </c>
      <c r="AP28" s="21">
        <f t="shared" si="150"/>
        <v>852</v>
      </c>
      <c r="AQ28" s="21">
        <f t="shared" ref="AQ28" si="151">+AQ25-AQ26</f>
        <v>1404</v>
      </c>
      <c r="AS28" s="21">
        <f t="shared" ref="AS28:AV28" si="152">+AS25-AS26</f>
        <v>1181</v>
      </c>
      <c r="AT28" s="21">
        <f t="shared" si="152"/>
        <v>971</v>
      </c>
      <c r="AU28" s="21">
        <f t="shared" si="152"/>
        <v>1233</v>
      </c>
      <c r="AV28" s="21">
        <f t="shared" si="152"/>
        <v>1694</v>
      </c>
      <c r="AX28" s="21">
        <f t="shared" ref="AX28:BA28" si="153">+AX25-AX26</f>
        <v>1345</v>
      </c>
      <c r="AY28" s="21">
        <f t="shared" si="153"/>
        <v>1320</v>
      </c>
      <c r="AZ28" s="21">
        <f t="shared" si="153"/>
        <v>1372</v>
      </c>
      <c r="BA28" s="21">
        <f t="shared" si="153"/>
        <v>1878</v>
      </c>
      <c r="BC28" s="21">
        <f t="shared" ref="BC28:BF28" si="154">+BC25-BC26</f>
        <v>1364</v>
      </c>
      <c r="BD28" s="21">
        <f t="shared" si="154"/>
        <v>1522.6305057573115</v>
      </c>
      <c r="BE28" s="21">
        <f t="shared" si="154"/>
        <v>1519.3111864445368</v>
      </c>
      <c r="BF28" s="21">
        <f t="shared" si="154"/>
        <v>2079.7597734187352</v>
      </c>
    </row>
    <row r="29" spans="1:58" s="11" customFormat="1" ht="21.95" customHeight="1" x14ac:dyDescent="0.25">
      <c r="A29" s="11" t="s">
        <v>75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>
        <v>-45</v>
      </c>
      <c r="X29" s="11">
        <v>-57</v>
      </c>
      <c r="Y29" s="11">
        <v>-72</v>
      </c>
      <c r="Z29" s="11">
        <v>-71</v>
      </c>
      <c r="AA29" s="11">
        <f>SUM(BC29:BF29)</f>
        <v>-50</v>
      </c>
      <c r="AB29" s="36">
        <v>-80</v>
      </c>
      <c r="AC29" s="36"/>
      <c r="AD29" s="36">
        <v>-11</v>
      </c>
      <c r="AE29" s="36">
        <v>-12</v>
      </c>
      <c r="AF29" s="36">
        <v>-12</v>
      </c>
      <c r="AG29" s="36">
        <v>-10</v>
      </c>
      <c r="AH29" s="36"/>
      <c r="AI29" s="36">
        <v>-10</v>
      </c>
      <c r="AJ29" s="36">
        <v>-12</v>
      </c>
      <c r="AK29" s="36">
        <v>-10</v>
      </c>
      <c r="AL29" s="36">
        <v>-13</v>
      </c>
      <c r="AN29" s="36">
        <v>-12</v>
      </c>
      <c r="AO29" s="36">
        <v>-16</v>
      </c>
      <c r="AP29" s="36">
        <v>-14</v>
      </c>
      <c r="AQ29" s="36">
        <v>-15</v>
      </c>
      <c r="AS29" s="36">
        <v>-15</v>
      </c>
      <c r="AT29" s="36">
        <v>-20</v>
      </c>
      <c r="AU29" s="36">
        <v>-13</v>
      </c>
      <c r="AV29" s="36">
        <v>-24</v>
      </c>
      <c r="AX29" s="36">
        <v>-21</v>
      </c>
      <c r="AY29" s="36">
        <v>-21</v>
      </c>
      <c r="AZ29" s="36">
        <v>-19</v>
      </c>
      <c r="BA29" s="36">
        <v>-10</v>
      </c>
      <c r="BC29" s="36">
        <v>0</v>
      </c>
      <c r="BD29" s="36">
        <v>-20</v>
      </c>
      <c r="BE29" s="36">
        <v>-20</v>
      </c>
      <c r="BF29" s="36">
        <v>-10</v>
      </c>
    </row>
    <row r="30" spans="1:58" s="9" customFormat="1" ht="21.95" customHeight="1" x14ac:dyDescent="0.25">
      <c r="A30" s="9" t="s">
        <v>76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>
        <f t="shared" ref="W30:AD30" si="155">SUM(W28:W29)</f>
        <v>3755</v>
      </c>
      <c r="X30" s="21">
        <f t="shared" si="155"/>
        <v>4002</v>
      </c>
      <c r="Y30" s="21">
        <f t="shared" si="155"/>
        <v>5007</v>
      </c>
      <c r="Z30" s="21">
        <f t="shared" ref="Z30:AA30" si="156">SUM(Z28:Z29)</f>
        <v>5844</v>
      </c>
      <c r="AA30" s="21">
        <f t="shared" si="156"/>
        <v>6435.7014656205683</v>
      </c>
      <c r="AB30" s="21">
        <f t="shared" ref="AB30" si="157">SUM(AB28:AB29)</f>
        <v>7150.6314379376181</v>
      </c>
      <c r="AC30" s="21"/>
      <c r="AD30" s="21">
        <f t="shared" si="155"/>
        <v>640</v>
      </c>
      <c r="AE30" s="21">
        <f t="shared" ref="AE30" si="158">SUM(AE28:AE29)</f>
        <v>701</v>
      </c>
      <c r="AF30" s="21">
        <f t="shared" ref="AF30" si="159">SUM(AF28:AF29)</f>
        <v>758</v>
      </c>
      <c r="AG30" s="21">
        <f t="shared" ref="AG30" si="160">SUM(AG28:AG29)</f>
        <v>1043</v>
      </c>
      <c r="AH30" s="21"/>
      <c r="AI30" s="21">
        <f t="shared" ref="AI30" si="161">SUM(AI28:AI29)</f>
        <v>767</v>
      </c>
      <c r="AJ30" s="21">
        <f t="shared" ref="AJ30" si="162">SUM(AJ28:AJ29)</f>
        <v>889</v>
      </c>
      <c r="AK30" s="21">
        <f t="shared" ref="AK30" si="163">SUM(AK28:AK29)</f>
        <v>907</v>
      </c>
      <c r="AL30" s="21">
        <f t="shared" ref="AL30" si="164">SUM(AL28:AL29)</f>
        <v>1193</v>
      </c>
      <c r="AN30" s="21">
        <f t="shared" ref="AN30" si="165">SUM(AN28:AN29)</f>
        <v>844</v>
      </c>
      <c r="AO30" s="21">
        <f t="shared" ref="AO30" si="166">SUM(AO28:AO29)</f>
        <v>931</v>
      </c>
      <c r="AP30" s="21">
        <f t="shared" ref="AP30" si="167">SUM(AP28:AP29)</f>
        <v>838</v>
      </c>
      <c r="AQ30" s="21">
        <f t="shared" ref="AQ30" si="168">SUM(AQ28:AQ29)</f>
        <v>1389</v>
      </c>
      <c r="AS30" s="21">
        <f t="shared" ref="AS30:AV30" si="169">SUM(AS28:AS29)</f>
        <v>1166</v>
      </c>
      <c r="AT30" s="21">
        <f t="shared" si="169"/>
        <v>951</v>
      </c>
      <c r="AU30" s="21">
        <f t="shared" si="169"/>
        <v>1220</v>
      </c>
      <c r="AV30" s="21">
        <f t="shared" si="169"/>
        <v>1670</v>
      </c>
      <c r="AX30" s="21">
        <f t="shared" ref="AX30:BA30" si="170">SUM(AX28:AX29)</f>
        <v>1324</v>
      </c>
      <c r="AY30" s="21">
        <f t="shared" si="170"/>
        <v>1299</v>
      </c>
      <c r="AZ30" s="21">
        <f t="shared" si="170"/>
        <v>1353</v>
      </c>
      <c r="BA30" s="21">
        <f t="shared" si="170"/>
        <v>1868</v>
      </c>
      <c r="BC30" s="21">
        <f t="shared" ref="BC30:BF30" si="171">SUM(BC28:BC29)</f>
        <v>1364</v>
      </c>
      <c r="BD30" s="21">
        <f t="shared" si="171"/>
        <v>1502.6305057573115</v>
      </c>
      <c r="BE30" s="21">
        <f t="shared" si="171"/>
        <v>1499.3111864445368</v>
      </c>
      <c r="BF30" s="21">
        <f t="shared" si="171"/>
        <v>2069.7597734187352</v>
      </c>
    </row>
    <row r="31" spans="1:58" s="2" customFormat="1" ht="21.95" customHeight="1" x14ac:dyDescent="0.25">
      <c r="A31" s="2" t="s">
        <v>77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37">
        <f>+W30/W32</f>
        <v>8.4782117859561978</v>
      </c>
      <c r="X31" s="37">
        <f t="shared" ref="X31:AD31" si="172">+X30/X32</f>
        <v>9.0155440414507773</v>
      </c>
      <c r="Y31" s="37">
        <f t="shared" si="172"/>
        <v>11.269412559081701</v>
      </c>
      <c r="Z31" s="37">
        <f t="shared" ref="Z31:AA31" si="173">+Z30/Z32</f>
        <v>13.138489208633093</v>
      </c>
      <c r="AA31" s="37">
        <f t="shared" si="173"/>
        <v>14.560410555702644</v>
      </c>
      <c r="AB31" s="37">
        <f t="shared" ref="AB31" si="174">+AB30/AB32</f>
        <v>16.17789918085434</v>
      </c>
      <c r="AC31" s="7"/>
      <c r="AD31" s="37">
        <f t="shared" si="172"/>
        <v>1.4515763211612611</v>
      </c>
      <c r="AE31" s="37">
        <f t="shared" ref="AE31" si="175">+AE30/AE32</f>
        <v>1.587409420289855</v>
      </c>
      <c r="AF31" s="37">
        <f t="shared" ref="AF31" si="176">+AF30/AF32</f>
        <v>1.7160968983472946</v>
      </c>
      <c r="AG31" s="37">
        <f t="shared" ref="AG31" si="177">+AG30/AG32</f>
        <v>2.3575949367088609</v>
      </c>
      <c r="AH31" s="7"/>
      <c r="AI31" s="37">
        <f t="shared" ref="AI31" si="178">+AI30/AI32</f>
        <v>1.7325502597695956</v>
      </c>
      <c r="AJ31" s="37">
        <f t="shared" ref="AJ31" si="179">+AJ30/AJ32</f>
        <v>2.0099479990956364</v>
      </c>
      <c r="AK31" s="37">
        <f t="shared" ref="AK31" si="180">+AK30/AK32</f>
        <v>2.0492544057840036</v>
      </c>
      <c r="AL31" s="37">
        <f t="shared" ref="AL31" si="181">+AL30/AL32</f>
        <v>2.6905728461885432</v>
      </c>
      <c r="AN31" s="37">
        <f t="shared" ref="AN31" si="182">+AN30/AN32</f>
        <v>1.9021861618210503</v>
      </c>
      <c r="AO31" s="37">
        <f t="shared" ref="AO31" si="183">+AO30/AO32</f>
        <v>2.0982645931935995</v>
      </c>
      <c r="AP31" s="37">
        <f t="shared" ref="AP31" si="184">+AP30/AP32</f>
        <v>1.8878125703987385</v>
      </c>
      <c r="AQ31" s="37">
        <f t="shared" ref="AQ31" si="185">+AQ30/AQ32</f>
        <v>3.1269698334083746</v>
      </c>
      <c r="AS31" s="37">
        <f t="shared" ref="AS31:AV31" si="186">+AS30/AS32</f>
        <v>2.6237623762376239</v>
      </c>
      <c r="AT31" s="37">
        <f t="shared" si="186"/>
        <v>2.1394825646794149</v>
      </c>
      <c r="AU31" s="37">
        <f t="shared" si="186"/>
        <v>2.7471290249943703</v>
      </c>
      <c r="AV31" s="37">
        <f t="shared" si="186"/>
        <v>3.7578757875787581</v>
      </c>
      <c r="AX31" s="37">
        <f t="shared" ref="AX31:BA31" si="187">+AX30/AX32</f>
        <v>2.9779577147998197</v>
      </c>
      <c r="AY31" s="37">
        <f t="shared" si="187"/>
        <v>2.9197572488199599</v>
      </c>
      <c r="AZ31" s="37">
        <f t="shared" si="187"/>
        <v>3.041132838840189</v>
      </c>
      <c r="BA31" s="37">
        <f t="shared" si="187"/>
        <v>4.2005846638183044</v>
      </c>
      <c r="BC31" s="37">
        <f t="shared" ref="BC31:BF31" si="188">+BC30/BC32</f>
        <v>3.0686164229471316</v>
      </c>
      <c r="BD31" s="37">
        <f t="shared" si="188"/>
        <v>3.3919424509194394</v>
      </c>
      <c r="BE31" s="37">
        <f t="shared" si="188"/>
        <v>3.3921067566618479</v>
      </c>
      <c r="BF31" s="37">
        <f t="shared" si="188"/>
        <v>4.6827144194994013</v>
      </c>
    </row>
    <row r="32" spans="1:58" s="13" customFormat="1" ht="21.95" customHeight="1" x14ac:dyDescent="0.25">
      <c r="A32" s="13" t="s">
        <v>33</v>
      </c>
      <c r="B32" s="10">
        <v>480.3</v>
      </c>
      <c r="C32" s="10">
        <v>438.7</v>
      </c>
      <c r="D32" s="10">
        <v>447.2</v>
      </c>
      <c r="E32" s="10">
        <v>435.8</v>
      </c>
      <c r="F32" s="10">
        <v>449.3</v>
      </c>
      <c r="G32" s="10">
        <v>463.4</v>
      </c>
      <c r="H32" s="10">
        <v>471.1</v>
      </c>
      <c r="I32" s="10">
        <v>475.7</v>
      </c>
      <c r="J32" s="10">
        <v>475.8</v>
      </c>
      <c r="K32" s="10">
        <v>479.3</v>
      </c>
      <c r="L32" s="10">
        <v>479.3</v>
      </c>
      <c r="M32" s="10">
        <v>485.5</v>
      </c>
      <c r="N32" s="10">
        <v>492</v>
      </c>
      <c r="O32" s="10">
        <v>480.3</v>
      </c>
      <c r="P32" s="10">
        <v>457.6</v>
      </c>
      <c r="Q32" s="10">
        <v>444.2</v>
      </c>
      <c r="R32" s="10">
        <v>440.5</v>
      </c>
      <c r="S32" s="10">
        <v>446</v>
      </c>
      <c r="T32" s="10">
        <v>443.1</v>
      </c>
      <c r="U32" s="10">
        <v>439.4</v>
      </c>
      <c r="V32" s="10">
        <v>440.5</v>
      </c>
      <c r="W32" s="27">
        <v>442.9</v>
      </c>
      <c r="X32" s="27">
        <v>443.9</v>
      </c>
      <c r="Y32" s="27">
        <v>444.3</v>
      </c>
      <c r="Z32" s="27">
        <v>444.8</v>
      </c>
      <c r="AA32" s="27">
        <v>442</v>
      </c>
      <c r="AB32" s="27">
        <v>442</v>
      </c>
      <c r="AC32" s="27"/>
      <c r="AD32" s="27">
        <v>440.9</v>
      </c>
      <c r="AE32" s="27">
        <v>441.6</v>
      </c>
      <c r="AF32" s="27">
        <v>441.7</v>
      </c>
      <c r="AG32" s="27">
        <v>442.4</v>
      </c>
      <c r="AH32" s="27"/>
      <c r="AI32" s="27">
        <v>442.7</v>
      </c>
      <c r="AJ32" s="27">
        <v>442.3</v>
      </c>
      <c r="AK32" s="27">
        <v>442.6</v>
      </c>
      <c r="AL32" s="27">
        <v>443.4</v>
      </c>
      <c r="AN32" s="5">
        <v>443.7</v>
      </c>
      <c r="AO32" s="5">
        <v>443.7</v>
      </c>
      <c r="AP32" s="5">
        <v>443.9</v>
      </c>
      <c r="AQ32" s="5">
        <v>444.2</v>
      </c>
      <c r="AS32" s="5">
        <v>444.4</v>
      </c>
      <c r="AT32" s="5">
        <v>444.5</v>
      </c>
      <c r="AU32" s="5">
        <v>444.1</v>
      </c>
      <c r="AV32" s="5">
        <v>444.4</v>
      </c>
      <c r="AX32" s="5">
        <v>444.6</v>
      </c>
      <c r="AY32" s="5">
        <v>444.9</v>
      </c>
      <c r="AZ32" s="5">
        <v>444.9</v>
      </c>
      <c r="BA32" s="5">
        <v>444.7</v>
      </c>
      <c r="BC32" s="5">
        <v>444.5</v>
      </c>
      <c r="BD32" s="5">
        <v>443</v>
      </c>
      <c r="BE32" s="5">
        <v>442</v>
      </c>
      <c r="BF32" s="5">
        <v>442</v>
      </c>
    </row>
    <row r="33" spans="1:58" s="13" customFormat="1" ht="21.9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58" s="50" customFormat="1" ht="21.95" customHeight="1" x14ac:dyDescent="0.25">
      <c r="A34" s="53" t="s">
        <v>309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58" s="13" customFormat="1" ht="21.95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58" s="13" customFormat="1" ht="21.95" customHeight="1" x14ac:dyDescent="0.25">
      <c r="A36" s="13" t="s">
        <v>40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7">
        <f t="shared" ref="W36:Y36" si="189">+W10</f>
        <v>6.0999999999999999E-2</v>
      </c>
      <c r="X36" s="7">
        <f t="shared" si="189"/>
        <v>7.6999999999999999E-2</v>
      </c>
      <c r="Y36" s="7">
        <f t="shared" si="189"/>
        <v>0.13400000000000001</v>
      </c>
      <c r="Z36" s="7">
        <f t="shared" ref="Z36:AA36" si="190">+Z10</f>
        <v>0.14499999999999999</v>
      </c>
      <c r="AA36" s="7">
        <f t="shared" si="190"/>
        <v>5.4000000000000006E-2</v>
      </c>
      <c r="AB36" s="7">
        <f t="shared" ref="AB36" si="191">+AB10</f>
        <v>0.05</v>
      </c>
      <c r="AI36" s="7">
        <f t="shared" ref="AI36" si="192">+AI10</f>
        <v>8.7999999999999995E-2</v>
      </c>
      <c r="AJ36" s="7">
        <f t="shared" ref="AJ36:AL36" si="193">+AJ10</f>
        <v>5.3999999999999999E-2</v>
      </c>
      <c r="AK36" s="7">
        <f t="shared" si="193"/>
        <v>5.5E-2</v>
      </c>
      <c r="AL36" s="7">
        <f t="shared" si="193"/>
        <v>5.0999999999999997E-2</v>
      </c>
      <c r="AN36" s="7">
        <f t="shared" ref="AN36:AQ36" si="194">+AN10</f>
        <v>4.2999999999999997E-2</v>
      </c>
      <c r="AO36" s="7">
        <f t="shared" si="194"/>
        <v>8.8999999999999996E-2</v>
      </c>
      <c r="AP36" s="7">
        <f t="shared" si="194"/>
        <v>4.8000000000000001E-2</v>
      </c>
      <c r="AQ36" s="7">
        <f t="shared" si="194"/>
        <v>0.114</v>
      </c>
      <c r="AS36" s="7">
        <f t="shared" ref="AS36:AV36" si="195">+AS10</f>
        <v>0.154</v>
      </c>
      <c r="AT36" s="7">
        <f t="shared" si="195"/>
        <v>0.13</v>
      </c>
      <c r="AU36" s="7">
        <f t="shared" si="195"/>
        <v>0.20599999999999999</v>
      </c>
      <c r="AV36" s="7">
        <f t="shared" si="195"/>
        <v>0.155</v>
      </c>
      <c r="AX36" s="7">
        <f t="shared" ref="AX36:BA36" si="196">+AX10</f>
        <v>0.15</v>
      </c>
      <c r="AY36" s="7">
        <f t="shared" si="196"/>
        <v>0.14399999999999999</v>
      </c>
      <c r="AZ36" s="7">
        <f t="shared" si="196"/>
        <v>0.14899999999999999</v>
      </c>
      <c r="BA36" s="7">
        <f t="shared" si="196"/>
        <v>0.13700000000000001</v>
      </c>
      <c r="BC36" s="7">
        <f t="shared" ref="BC36:BF36" si="197">+BC10</f>
        <v>6.6000000000000003E-2</v>
      </c>
      <c r="BD36" s="7">
        <f t="shared" si="197"/>
        <v>0.05</v>
      </c>
      <c r="BE36" s="7">
        <f t="shared" si="197"/>
        <v>0.05</v>
      </c>
      <c r="BF36" s="7">
        <f t="shared" si="197"/>
        <v>0.05</v>
      </c>
    </row>
    <row r="37" spans="1:58" s="13" customFormat="1" ht="21.95" customHeight="1" x14ac:dyDescent="0.25">
      <c r="A37" s="13" t="s">
        <v>80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7" t="e">
        <f>+W8/#REF!-1</f>
        <v>#REF!</v>
      </c>
      <c r="X37" s="7">
        <f>+X8/W8-1</f>
        <v>1.5325670498084198E-2</v>
      </c>
      <c r="Y37" s="7">
        <f t="shared" ref="Y37:AB37" si="198">+Y8/X8-1</f>
        <v>2.7672955974842761E-2</v>
      </c>
      <c r="Z37" s="7">
        <f t="shared" si="198"/>
        <v>2.5703794369644983E-2</v>
      </c>
      <c r="AA37" s="7">
        <f t="shared" si="198"/>
        <v>1.7899761336515496E-2</v>
      </c>
      <c r="AB37" s="7">
        <f t="shared" si="198"/>
        <v>1.1723329425556761E-2</v>
      </c>
      <c r="AI37" s="7">
        <f>+AI8/AD8-1</f>
        <v>2.9490616621983934E-2</v>
      </c>
      <c r="AJ37" s="7">
        <f t="shared" ref="AJ37:AL37" si="199">+AJ8/AE8-1</f>
        <v>2.8037383177569986E-2</v>
      </c>
      <c r="AK37" s="7">
        <f t="shared" si="199"/>
        <v>3.066666666666662E-2</v>
      </c>
      <c r="AL37" s="7">
        <f t="shared" si="199"/>
        <v>2.7559055118110187E-2</v>
      </c>
      <c r="AN37" s="7">
        <f>+AN8/AI8-1</f>
        <v>2.2135416666666741E-2</v>
      </c>
      <c r="AO37" s="7">
        <f t="shared" ref="AO37" si="200">+AO8/AJ8-1</f>
        <v>1.9480519480519431E-2</v>
      </c>
      <c r="AP37" s="7">
        <f t="shared" ref="AP37" si="201">+AP8/AK8-1</f>
        <v>1.8111254851228997E-2</v>
      </c>
      <c r="AQ37" s="7">
        <f t="shared" ref="AQ37" si="202">+AQ8/AL8-1</f>
        <v>1.5325670498084198E-2</v>
      </c>
      <c r="AS37" s="7">
        <f>+AS8/AN8-1</f>
        <v>2.2929936305732479E-2</v>
      </c>
      <c r="AT37" s="7">
        <f t="shared" ref="AT37" si="203">+AT8/AO8-1</f>
        <v>2.420382165605095E-2</v>
      </c>
      <c r="AU37" s="7">
        <f t="shared" ref="AU37" si="204">+AU8/AP8-1</f>
        <v>2.7954256670902122E-2</v>
      </c>
      <c r="AV37" s="7">
        <f t="shared" ref="AV37" si="205">+AV8/AQ8-1</f>
        <v>2.7672955974842761E-2</v>
      </c>
      <c r="AX37" s="7">
        <f>+AX8/AS8-1</f>
        <v>3.1133250311332406E-2</v>
      </c>
      <c r="AY37" s="7">
        <f t="shared" ref="AY37" si="206">+AY8/AT8-1</f>
        <v>3.2338308457711351E-2</v>
      </c>
      <c r="AZ37" s="7">
        <f t="shared" ref="AZ37" si="207">+AZ8/AU8-1</f>
        <v>2.5957972805933149E-2</v>
      </c>
      <c r="BA37" s="7">
        <f t="shared" ref="BA37" si="208">+BA8/AV8-1</f>
        <v>2.5703794369644983E-2</v>
      </c>
      <c r="BC37" s="7">
        <f>+BC8/AX8-1</f>
        <v>2.2946859903381744E-2</v>
      </c>
      <c r="BD37" s="7">
        <f t="shared" ref="BD37" si="209">+BD8/AY8-1</f>
        <v>2.289156626506017E-2</v>
      </c>
      <c r="BE37" s="7">
        <f t="shared" ref="BE37" si="210">+BE8/AZ8-1</f>
        <v>2.5301204819277112E-2</v>
      </c>
      <c r="BF37" s="7">
        <f t="shared" ref="BF37" si="211">+BF8/BA8-1</f>
        <v>1.7899761336515496E-2</v>
      </c>
    </row>
    <row r="38" spans="1:58" s="13" customFormat="1" ht="21.9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58" s="13" customFormat="1" ht="21.95" customHeight="1" x14ac:dyDescent="0.25">
      <c r="A39" s="13" t="s">
        <v>44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7" t="e">
        <f>+W14/#REF!-1</f>
        <v>#REF!</v>
      </c>
      <c r="X39" s="7">
        <f t="shared" ref="X39:AB39" si="212">+X14/W14-1</f>
        <v>9.2861781976685709E-2</v>
      </c>
      <c r="Y39" s="7">
        <f t="shared" si="212"/>
        <v>0.17664501899277041</v>
      </c>
      <c r="Z39" s="7">
        <f t="shared" si="212"/>
        <v>0.15973798762835067</v>
      </c>
      <c r="AA39" s="7">
        <f t="shared" si="212"/>
        <v>8.476244321474069E-2</v>
      </c>
      <c r="AB39" s="7">
        <f t="shared" si="212"/>
        <v>6.4074184752405561E-2</v>
      </c>
      <c r="AI39" s="7">
        <f>+AI14/AD14-1</f>
        <v>0.10264485650930366</v>
      </c>
      <c r="AJ39" s="7">
        <f t="shared" ref="AJ39:AL39" si="213">+AJ14/AE14-1</f>
        <v>7.2771771120542672E-2</v>
      </c>
      <c r="AK39" s="7">
        <f t="shared" si="213"/>
        <v>7.3994434606627912E-2</v>
      </c>
      <c r="AL39" s="7">
        <f t="shared" si="213"/>
        <v>6.988529045929881E-2</v>
      </c>
      <c r="AN39" s="7">
        <f>+AN14/AI14-1</f>
        <v>5.6104456296814487E-2</v>
      </c>
      <c r="AO39" s="7">
        <f t="shared" ref="AO39:AO41" si="214">+AO14/AJ14-1</f>
        <v>0.10477070578722425</v>
      </c>
      <c r="AP39" s="7">
        <f t="shared" ref="AP39:AP41" si="215">+AP14/AK14-1</f>
        <v>7.3224590743139695E-2</v>
      </c>
      <c r="AQ39" s="7">
        <f t="shared" ref="AQ39:AQ41" si="216">+AQ14/AL14-1</f>
        <v>0.1254951774026869</v>
      </c>
      <c r="AS39" s="7">
        <f>+AS14/AN14-1</f>
        <v>0.16864444199138973</v>
      </c>
      <c r="AT39" s="7">
        <f t="shared" ref="AT39:AT41" si="217">+AT14/AO14-1</f>
        <v>0.14721873693015475</v>
      </c>
      <c r="AU39" s="7">
        <f t="shared" ref="AU39:AU41" si="218">+AU14/AP14-1</f>
        <v>0.21741516007791284</v>
      </c>
      <c r="AV39" s="7">
        <f t="shared" ref="AV39:AV41" si="219">+AV14/AQ14-1</f>
        <v>0.17529697572546254</v>
      </c>
      <c r="AX39" s="7">
        <f>+AX14/AS14-1</f>
        <v>0.1669539754882281</v>
      </c>
      <c r="AY39" s="7">
        <f t="shared" ref="AY39:AY41" si="220">+AY14/AT14-1</f>
        <v>0.16061337951148369</v>
      </c>
      <c r="AZ39" s="7">
        <f t="shared" ref="AZ39:AZ41" si="221">+AZ14/AU14-1</f>
        <v>0.16306111411573831</v>
      </c>
      <c r="BA39" s="7">
        <f t="shared" ref="BA39:BA41" si="222">+BA14/AV14-1</f>
        <v>0.15173906674696047</v>
      </c>
      <c r="BC39" s="7">
        <f>+BC14/AX14-1</f>
        <v>8.1348523787360572E-2</v>
      </c>
      <c r="BD39" s="7">
        <f t="shared" ref="BD39:BD41" si="223">+BD14/AY14-1</f>
        <v>9.2289406999451318E-2</v>
      </c>
      <c r="BE39" s="7">
        <f t="shared" ref="BE39:BE41" si="224">+BE14/AZ14-1</f>
        <v>9.4838453459152428E-2</v>
      </c>
      <c r="BF39" s="7">
        <f t="shared" ref="BF39:BF41" si="225">+BF14/BA14-1</f>
        <v>7.437950360288248E-2</v>
      </c>
    </row>
    <row r="40" spans="1:58" s="13" customFormat="1" ht="21.95" customHeight="1" x14ac:dyDescent="0.25">
      <c r="A40" s="13" t="s">
        <v>45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7" t="e">
        <f>+W15/#REF!-1</f>
        <v>#REF!</v>
      </c>
      <c r="X40" s="7">
        <f t="shared" ref="X40:AB40" si="226">+X15/W15-1</f>
        <v>5.6384248210023857E-2</v>
      </c>
      <c r="Y40" s="7">
        <f t="shared" si="226"/>
        <v>9.4888449590511126E-2</v>
      </c>
      <c r="Z40" s="7">
        <f t="shared" si="226"/>
        <v>8.9502192416817117E-2</v>
      </c>
      <c r="AA40" s="7">
        <f t="shared" si="226"/>
        <v>0.11268939393939403</v>
      </c>
      <c r="AB40" s="7">
        <f t="shared" si="226"/>
        <v>6.3829787234042534E-2</v>
      </c>
      <c r="AI40" s="7">
        <f>+AI15/AD15-1</f>
        <v>9.5375722543352692E-2</v>
      </c>
      <c r="AJ40" s="7">
        <f t="shared" ref="AJ40:AL40" si="227">+AJ15/AE15-1</f>
        <v>7.2625698324022325E-2</v>
      </c>
      <c r="AK40" s="7">
        <f t="shared" si="227"/>
        <v>5.4274084124830368E-2</v>
      </c>
      <c r="AL40" s="7">
        <f t="shared" si="227"/>
        <v>5.3159478435305996E-2</v>
      </c>
      <c r="AN40" s="7">
        <f>+AN15/AI15-1</f>
        <v>6.0686015831134643E-2</v>
      </c>
      <c r="AO40" s="7">
        <f t="shared" si="214"/>
        <v>6.25E-2</v>
      </c>
      <c r="AP40" s="7">
        <f t="shared" si="215"/>
        <v>4.8906048906048882E-2</v>
      </c>
      <c r="AQ40" s="7">
        <f t="shared" si="216"/>
        <v>5.3333333333333233E-2</v>
      </c>
      <c r="AS40" s="7">
        <f>+AS15/AN15-1</f>
        <v>7.0895522388059629E-2</v>
      </c>
      <c r="AT40" s="7">
        <f t="shared" si="217"/>
        <v>7.9656862745097978E-2</v>
      </c>
      <c r="AU40" s="7">
        <f t="shared" si="218"/>
        <v>0.10552147239263809</v>
      </c>
      <c r="AV40" s="7">
        <f t="shared" si="219"/>
        <v>0.11573236889692584</v>
      </c>
      <c r="AX40" s="7">
        <f>+AX15/AS15-1</f>
        <v>9.8722415795586604E-2</v>
      </c>
      <c r="AY40" s="7">
        <f t="shared" si="220"/>
        <v>9.7616345062429E-2</v>
      </c>
      <c r="AZ40" s="7">
        <f t="shared" si="221"/>
        <v>9.2119866814650342E-2</v>
      </c>
      <c r="BA40" s="7">
        <f t="shared" si="222"/>
        <v>7.5364667747163772E-2</v>
      </c>
      <c r="BC40" s="7">
        <f>+BC15/AX15-1</f>
        <v>5.7082452431289621E-2</v>
      </c>
      <c r="BD40" s="7">
        <f t="shared" si="223"/>
        <v>0.13753877973112716</v>
      </c>
      <c r="BE40" s="7">
        <f t="shared" si="224"/>
        <v>0.21951219512195119</v>
      </c>
      <c r="BF40" s="7">
        <f t="shared" si="225"/>
        <v>5.5011303692539482E-2</v>
      </c>
    </row>
    <row r="41" spans="1:58" s="13" customFormat="1" ht="21.95" customHeight="1" x14ac:dyDescent="0.25">
      <c r="A41" s="13" t="s">
        <v>79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7" t="e">
        <f>+W16/#REF!-1</f>
        <v>#REF!</v>
      </c>
      <c r="X41" s="7">
        <f t="shared" ref="X41:AB41" si="228">+X16/W16-1</f>
        <v>9.2061059704131587E-2</v>
      </c>
      <c r="Y41" s="7">
        <f t="shared" si="228"/>
        <v>0.17490900150514799</v>
      </c>
      <c r="Z41" s="7">
        <f t="shared" si="228"/>
        <v>0.15834817714580285</v>
      </c>
      <c r="AA41" s="7">
        <f t="shared" si="228"/>
        <v>8.5282211272853514E-2</v>
      </c>
      <c r="AB41" s="7">
        <f t="shared" si="228"/>
        <v>6.4069521229399129E-2</v>
      </c>
      <c r="AI41" s="7">
        <f>+AI16/AD16-1</f>
        <v>0.10248671759564898</v>
      </c>
      <c r="AJ41" s="7">
        <f t="shared" ref="AJ41:AL41" si="229">+AJ16/AE16-1</f>
        <v>7.276860130322782E-2</v>
      </c>
      <c r="AK41" s="7">
        <f t="shared" si="229"/>
        <v>7.3545316893791846E-2</v>
      </c>
      <c r="AL41" s="7">
        <f t="shared" si="229"/>
        <v>6.9509806129112173E-2</v>
      </c>
      <c r="AN41" s="7">
        <f>+AN16/AI16-1</f>
        <v>5.6203484559012251E-2</v>
      </c>
      <c r="AO41" s="7">
        <f t="shared" si="214"/>
        <v>0.10385354277319481</v>
      </c>
      <c r="AP41" s="7">
        <f t="shared" si="215"/>
        <v>7.2680694280533142E-2</v>
      </c>
      <c r="AQ41" s="7">
        <f t="shared" si="216"/>
        <v>0.12389995368226026</v>
      </c>
      <c r="AS41" s="7">
        <f>+AS16/AN16-1</f>
        <v>0.16652267818574518</v>
      </c>
      <c r="AT41" s="7">
        <f t="shared" si="217"/>
        <v>0.14580773955773951</v>
      </c>
      <c r="AU41" s="7">
        <f t="shared" si="218"/>
        <v>0.21496806740728824</v>
      </c>
      <c r="AV41" s="7">
        <f t="shared" si="219"/>
        <v>0.17406290392072377</v>
      </c>
      <c r="AX41" s="7">
        <f>+AX16/AS16-1</f>
        <v>0.16559433438252169</v>
      </c>
      <c r="AY41" s="7">
        <f t="shared" si="220"/>
        <v>0.15937367374745914</v>
      </c>
      <c r="AZ41" s="7">
        <f t="shared" si="221"/>
        <v>0.16164940256642435</v>
      </c>
      <c r="BA41" s="7">
        <f t="shared" si="222"/>
        <v>0.15023534104507386</v>
      </c>
      <c r="BC41" s="7">
        <f>+BC16/AX16-1</f>
        <v>8.0892718861068635E-2</v>
      </c>
      <c r="BD41" s="7">
        <f t="shared" si="223"/>
        <v>9.3132427642013127E-2</v>
      </c>
      <c r="BE41" s="7">
        <f t="shared" si="224"/>
        <v>9.7170930487751495E-2</v>
      </c>
      <c r="BF41" s="7">
        <f t="shared" si="225"/>
        <v>7.4022987515145688E-2</v>
      </c>
    </row>
    <row r="42" spans="1:58" s="13" customFormat="1" ht="21.95" customHeight="1" x14ac:dyDescent="0.25">
      <c r="A42" s="13" t="s">
        <v>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7" t="e">
        <f>+W21/#REF!-1</f>
        <v>#REF!</v>
      </c>
      <c r="X42" s="7">
        <f t="shared" ref="X42:AB42" si="230">+X21/W21-1</f>
        <v>0.11831275720164602</v>
      </c>
      <c r="Y42" s="7">
        <f t="shared" si="230"/>
        <v>0.23422263109475616</v>
      </c>
      <c r="Z42" s="7">
        <f t="shared" si="230"/>
        <v>0.16174716756112106</v>
      </c>
      <c r="AA42" s="7">
        <f t="shared" si="230"/>
        <v>9.7130153662786656E-2</v>
      </c>
      <c r="AB42" s="7">
        <f t="shared" si="230"/>
        <v>0.11544648717824169</v>
      </c>
      <c r="AI42" s="7">
        <f>+AI21/AD21-1</f>
        <v>-2.103049421661396E-3</v>
      </c>
      <c r="AJ42" s="7">
        <f t="shared" ref="AJ42:AL42" si="231">+AJ21/AE21-1</f>
        <v>0.18405511811023612</v>
      </c>
      <c r="AK42" s="7">
        <f t="shared" si="231"/>
        <v>4.4651162790697585E-2</v>
      </c>
      <c r="AL42" s="7">
        <f t="shared" si="231"/>
        <v>9.681881051175667E-2</v>
      </c>
      <c r="AN42" s="7">
        <f>+AN21/AI21-1</f>
        <v>0.11801896733403572</v>
      </c>
      <c r="AO42" s="7">
        <f t="shared" ref="AO42" si="232">+AO21/AJ21-1</f>
        <v>5.2369077306733125E-2</v>
      </c>
      <c r="AP42" s="7">
        <f t="shared" ref="AP42" si="233">+AP21/AK21-1</f>
        <v>4.9866429207479968E-2</v>
      </c>
      <c r="AQ42" s="7">
        <f t="shared" ref="AQ42" si="234">+AQ21/AL21-1</f>
        <v>0.21626733921815888</v>
      </c>
      <c r="AS42" s="7">
        <f>+AS21/AN21-1</f>
        <v>0.347785108388313</v>
      </c>
      <c r="AT42" s="7">
        <f t="shared" ref="AT42" si="235">+AT21/AO21-1</f>
        <v>5.8451816745655583E-2</v>
      </c>
      <c r="AU42" s="7">
        <f t="shared" ref="AU42" si="236">+AU21/AP21-1</f>
        <v>0.41051738761662415</v>
      </c>
      <c r="AV42" s="7">
        <f t="shared" ref="AV42" si="237">+AV21/AQ21-1</f>
        <v>0.17936754795230692</v>
      </c>
      <c r="AX42" s="7">
        <f>+AX21/AS21-1</f>
        <v>0.18391608391608383</v>
      </c>
      <c r="AY42" s="7">
        <f t="shared" ref="AY42" si="238">+AY21/AT21-1</f>
        <v>0.35223880597014934</v>
      </c>
      <c r="AZ42" s="7">
        <f t="shared" ref="AZ42" si="239">+AZ21/AU21-1</f>
        <v>7.6969332531569457E-2</v>
      </c>
      <c r="BA42" s="7">
        <f t="shared" ref="BA42" si="240">+BA21/AV21-1</f>
        <v>9.7582417582417591E-2</v>
      </c>
      <c r="BC42" s="7">
        <f>+BC21/AX21-1</f>
        <v>3.4258712344949815E-2</v>
      </c>
      <c r="BD42" s="7">
        <f t="shared" ref="BD42" si="241">+BD21/AY21-1</f>
        <v>0.11488631770221591</v>
      </c>
      <c r="BE42" s="7">
        <f t="shared" ref="BE42" si="242">+BE21/AZ21-1</f>
        <v>0.12548757598699933</v>
      </c>
      <c r="BF42" s="7">
        <f t="shared" ref="BF42" si="243">+BF21/BA21-1</f>
        <v>0.10653305215257514</v>
      </c>
    </row>
    <row r="43" spans="1:58" s="13" customFormat="1" ht="21.95" customHeight="1" x14ac:dyDescent="0.25">
      <c r="A43" s="13" t="s">
        <v>77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7" t="e">
        <f>+W31/#REF!-1</f>
        <v>#REF!</v>
      </c>
      <c r="X43" s="7">
        <f t="shared" ref="X43:AB43" si="244">+X31/W31-1</f>
        <v>6.3378017565525857E-2</v>
      </c>
      <c r="Y43" s="7">
        <f t="shared" si="244"/>
        <v>0.24999805971423461</v>
      </c>
      <c r="Z43" s="7">
        <f t="shared" si="244"/>
        <v>0.16585395554137872</v>
      </c>
      <c r="AA43" s="7">
        <f t="shared" si="244"/>
        <v>0.10822563572493782</v>
      </c>
      <c r="AB43" s="7">
        <f t="shared" si="244"/>
        <v>0.11108811931942397</v>
      </c>
      <c r="AI43" s="7">
        <f>+AI31/AD31-1</f>
        <v>0.19356470239439805</v>
      </c>
      <c r="AJ43" s="7">
        <f t="shared" ref="AJ43:AL43" si="245">+AJ31/AE31-1</f>
        <v>0.26618122168421254</v>
      </c>
      <c r="AK43" s="7">
        <f t="shared" si="245"/>
        <v>0.19413676917519052</v>
      </c>
      <c r="AL43" s="7">
        <f t="shared" si="245"/>
        <v>0.14123626764507335</v>
      </c>
      <c r="AN43" s="7">
        <f>+AN31/AI31-1</f>
        <v>9.7911100180155142E-2</v>
      </c>
      <c r="AO43" s="7">
        <f t="shared" ref="AO43" si="246">+AO31/AJ31-1</f>
        <v>4.3939740798120352E-2</v>
      </c>
      <c r="AP43" s="7">
        <f t="shared" ref="AP43" si="247">+AP31/AK31-1</f>
        <v>-7.8780767741475577E-2</v>
      </c>
      <c r="AQ43" s="7">
        <f t="shared" ref="AQ43" si="248">+AQ31/AL31-1</f>
        <v>0.16219482324666656</v>
      </c>
      <c r="AS43" s="7">
        <f>+AS31/AN31-1</f>
        <v>0.37934048144150911</v>
      </c>
      <c r="AT43" s="7">
        <f t="shared" ref="AT43" si="249">+AT31/AO31-1</f>
        <v>1.9643838827342996E-2</v>
      </c>
      <c r="AU43" s="7">
        <f t="shared" ref="AU43" si="250">+AU31/AP31-1</f>
        <v>0.45519161598448799</v>
      </c>
      <c r="AV43" s="7">
        <f t="shared" ref="AV43" si="251">+AV31/AQ31-1</f>
        <v>0.20176272486859914</v>
      </c>
      <c r="AX43" s="7">
        <f>+AX31/AS31-1</f>
        <v>0.13499520450861047</v>
      </c>
      <c r="AY43" s="7">
        <f t="shared" ref="AY43" si="252">+AY31/AT31-1</f>
        <v>0.36470252061038089</v>
      </c>
      <c r="AZ43" s="7">
        <f t="shared" ref="AZ43" si="253">+AZ31/AU31-1</f>
        <v>0.10702220797453132</v>
      </c>
      <c r="BA43" s="7">
        <f t="shared" ref="BA43" si="254">+BA31/AV31-1</f>
        <v>0.11780827820410433</v>
      </c>
      <c r="BC43" s="7">
        <f>+BC31/AX31-1</f>
        <v>3.044324897454298E-2</v>
      </c>
      <c r="BD43" s="7">
        <f t="shared" ref="BD43" si="255">+BD31/AY31-1</f>
        <v>0.16172070547656525</v>
      </c>
      <c r="BE43" s="7">
        <f t="shared" ref="BE43" si="256">+BE31/AZ31-1</f>
        <v>0.11540894016175618</v>
      </c>
      <c r="BF43" s="7">
        <f t="shared" ref="BF43" si="257">+BF31/BA31-1</f>
        <v>0.11477682138725043</v>
      </c>
    </row>
    <row r="44" spans="1:58" s="50" customFormat="1" ht="21.95" customHeight="1" x14ac:dyDescent="0.25">
      <c r="A44" s="53" t="s">
        <v>308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AA44" s="52"/>
      <c r="AB44" s="52"/>
    </row>
    <row r="45" spans="1:58" s="9" customFormat="1" ht="21.95" customHeight="1" x14ac:dyDescent="0.25">
      <c r="A45" s="9" t="s">
        <v>61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9">
        <v>3704</v>
      </c>
      <c r="X45" s="9">
        <v>4059</v>
      </c>
      <c r="Y45" s="9">
        <v>5079</v>
      </c>
      <c r="Z45" s="9">
        <v>5915</v>
      </c>
      <c r="AA45" s="9">
        <f>+AA28</f>
        <v>6485.7014656205683</v>
      </c>
      <c r="AB45" s="9">
        <f>+AB28</f>
        <v>7230.6314379376181</v>
      </c>
    </row>
    <row r="46" spans="1:58" s="11" customFormat="1" ht="21.95" customHeight="1" x14ac:dyDescent="0.25">
      <c r="A46" s="11" t="s">
        <v>49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11">
        <v>1492</v>
      </c>
      <c r="X46" s="11">
        <v>1645</v>
      </c>
      <c r="Y46" s="11">
        <v>1781</v>
      </c>
      <c r="Z46" s="11">
        <v>1900</v>
      </c>
      <c r="AA46" s="11">
        <v>2000</v>
      </c>
      <c r="AB46" s="11">
        <v>2100</v>
      </c>
    </row>
    <row r="47" spans="1:58" s="11" customFormat="1" ht="21.95" customHeight="1" x14ac:dyDescent="0.25">
      <c r="A47" s="11" t="s">
        <v>86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X47" s="11">
        <v>619</v>
      </c>
      <c r="Y47" s="38">
        <v>665</v>
      </c>
      <c r="Z47" s="11">
        <v>724</v>
      </c>
      <c r="AA47" s="11">
        <v>700</v>
      </c>
      <c r="AB47" s="11">
        <v>700</v>
      </c>
    </row>
    <row r="48" spans="1:58" s="11" customFormat="1" ht="21.95" customHeight="1" x14ac:dyDescent="0.25">
      <c r="A48" s="11" t="s">
        <v>62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11">
        <v>147</v>
      </c>
      <c r="X48" s="11">
        <v>104</v>
      </c>
      <c r="Y48" s="11">
        <v>59</v>
      </c>
      <c r="Z48" s="11">
        <v>-37</v>
      </c>
      <c r="AA48" s="11">
        <v>0</v>
      </c>
      <c r="AB48" s="11">
        <v>0</v>
      </c>
    </row>
    <row r="49" spans="1:28" s="11" customFormat="1" ht="21.95" customHeight="1" x14ac:dyDescent="0.25">
      <c r="A49" s="11" t="s">
        <v>6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1">
        <v>604</v>
      </c>
      <c r="X49" s="11">
        <f>194+42</f>
        <v>236</v>
      </c>
      <c r="Y49" s="11">
        <f>286+85</f>
        <v>371</v>
      </c>
      <c r="Z49" s="11">
        <f>377+76</f>
        <v>453</v>
      </c>
      <c r="AA49" s="11">
        <v>200</v>
      </c>
      <c r="AB49" s="11">
        <v>200</v>
      </c>
    </row>
    <row r="50" spans="1:28" s="11" customFormat="1" ht="21.95" customHeight="1" x14ac:dyDescent="0.25">
      <c r="A50" s="11" t="s">
        <v>63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11">
        <v>409</v>
      </c>
      <c r="X50" s="11">
        <f>-791+2261+728</f>
        <v>2198</v>
      </c>
      <c r="Y50" s="11">
        <f>-1892+1838+1057</f>
        <v>1003</v>
      </c>
      <c r="Z50" s="11">
        <f>-4003+1891+549</f>
        <v>-1563</v>
      </c>
      <c r="AA50" s="11">
        <f>+AA104</f>
        <v>422</v>
      </c>
      <c r="AB50" s="11">
        <f>+AB104</f>
        <v>800</v>
      </c>
    </row>
    <row r="51" spans="1:28" s="9" customFormat="1" ht="21.95" customHeight="1" x14ac:dyDescent="0.25">
      <c r="A51" s="9" t="s">
        <v>64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9">
        <f t="shared" ref="W51:Y51" si="258">SUM(W45:W50)</f>
        <v>6356</v>
      </c>
      <c r="X51" s="9">
        <f t="shared" si="258"/>
        <v>8861</v>
      </c>
      <c r="Y51" s="9">
        <f t="shared" si="258"/>
        <v>8958</v>
      </c>
      <c r="Z51" s="9">
        <f t="shared" ref="Z51:AA51" si="259">SUM(Z45:Z50)</f>
        <v>7392</v>
      </c>
      <c r="AA51" s="9">
        <f t="shared" si="259"/>
        <v>9807.7014656205683</v>
      </c>
      <c r="AB51" s="9">
        <f t="shared" ref="AB51" si="260">SUM(AB45:AB50)</f>
        <v>11030.631437937618</v>
      </c>
    </row>
    <row r="52" spans="1:28" s="11" customFormat="1" ht="21.95" customHeight="1" x14ac:dyDescent="0.25">
      <c r="A52" s="11" t="s">
        <v>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11">
        <v>2998</v>
      </c>
      <c r="X52" s="11">
        <v>2810</v>
      </c>
      <c r="Y52" s="11">
        <v>3588</v>
      </c>
      <c r="Z52" s="11">
        <v>3891</v>
      </c>
      <c r="AA52" s="11">
        <v>4000</v>
      </c>
      <c r="AB52" s="11">
        <v>4000</v>
      </c>
    </row>
    <row r="53" spans="1:28" s="9" customFormat="1" ht="21.95" customHeight="1" x14ac:dyDescent="0.25">
      <c r="A53" s="9" t="s">
        <v>65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9">
        <f t="shared" ref="W53:Y53" si="261">+W51-W52</f>
        <v>3358</v>
      </c>
      <c r="X53" s="9">
        <f t="shared" si="261"/>
        <v>6051</v>
      </c>
      <c r="Y53" s="9">
        <f t="shared" si="261"/>
        <v>5370</v>
      </c>
      <c r="Z53" s="9">
        <f t="shared" ref="Z53:AA53" si="262">+Z51-Z52</f>
        <v>3501</v>
      </c>
      <c r="AA53" s="9">
        <f t="shared" si="262"/>
        <v>5807.7014656205683</v>
      </c>
      <c r="AB53" s="9">
        <f t="shared" ref="AB53" si="263">+AB51-AB52</f>
        <v>7030.6314379376181</v>
      </c>
    </row>
    <row r="54" spans="1:28" s="34" customFormat="1" ht="21.95" customHeight="1" x14ac:dyDescent="0.25">
      <c r="A54" s="34" t="s">
        <v>66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4">
        <f t="shared" ref="W54:Y54" si="264">+W53/W32</f>
        <v>7.5818469180401902</v>
      </c>
      <c r="X54" s="34">
        <f t="shared" si="264"/>
        <v>13.631448524442442</v>
      </c>
      <c r="Y54" s="34">
        <f t="shared" si="264"/>
        <v>12.086428089128967</v>
      </c>
      <c r="Z54" s="34">
        <f t="shared" ref="Z54:AA54" si="265">+Z53/Z32</f>
        <v>7.8709532374100721</v>
      </c>
      <c r="AA54" s="34">
        <f t="shared" si="265"/>
        <v>13.139596076064635</v>
      </c>
      <c r="AB54" s="34">
        <f t="shared" ref="AB54" si="266">+AB53/AB32</f>
        <v>15.906405968184655</v>
      </c>
    </row>
    <row r="55" spans="1:28" s="11" customFormat="1" ht="21.95" customHeight="1" x14ac:dyDescent="0.25">
      <c r="A55" s="11" t="s">
        <v>70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11">
        <v>0</v>
      </c>
      <c r="X55" s="11">
        <v>-1163</v>
      </c>
      <c r="Y55" s="11">
        <v>0</v>
      </c>
      <c r="Z55" s="11">
        <v>-842</v>
      </c>
      <c r="AA55" s="11">
        <v>0</v>
      </c>
      <c r="AB55" s="11">
        <v>0</v>
      </c>
    </row>
    <row r="56" spans="1:28" s="11" customFormat="1" ht="21.95" customHeight="1" x14ac:dyDescent="0.25">
      <c r="A56" s="11" t="s">
        <v>67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11">
        <v>-1038</v>
      </c>
      <c r="X56" s="11">
        <v>-1479</v>
      </c>
      <c r="Y56" s="11">
        <v>-5748</v>
      </c>
      <c r="Z56" s="11">
        <v>-1498</v>
      </c>
      <c r="AA56" s="11">
        <v>-1500</v>
      </c>
      <c r="AB56" s="11">
        <v>-1500</v>
      </c>
    </row>
    <row r="57" spans="1:28" s="11" customFormat="1" ht="21.95" customHeight="1" x14ac:dyDescent="0.25">
      <c r="A57" s="11" t="s">
        <v>68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11">
        <v>419</v>
      </c>
      <c r="X57" s="11">
        <f>3992-3200+137</f>
        <v>929</v>
      </c>
      <c r="Y57" s="11">
        <f>188+41-94</f>
        <v>135</v>
      </c>
      <c r="Z57" s="11">
        <v>-800</v>
      </c>
      <c r="AA57" s="11">
        <v>0</v>
      </c>
      <c r="AB57" s="11">
        <v>0</v>
      </c>
    </row>
    <row r="58" spans="1:28" s="11" customFormat="1" ht="21.95" customHeight="1" x14ac:dyDescent="0.25">
      <c r="A58" s="11" t="s">
        <v>87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Z58" s="11">
        <f>-1121+1145</f>
        <v>24</v>
      </c>
    </row>
    <row r="59" spans="1:28" s="11" customFormat="1" ht="21.95" customHeight="1" x14ac:dyDescent="0.25">
      <c r="A59" s="11" t="s">
        <v>78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11">
        <v>-519</v>
      </c>
      <c r="X59" s="11">
        <f>-330-196</f>
        <v>-526</v>
      </c>
      <c r="Y59" s="11">
        <v>-808</v>
      </c>
      <c r="Z59" s="11">
        <f>-363-439</f>
        <v>-802</v>
      </c>
      <c r="AA59" s="11">
        <v>-600</v>
      </c>
      <c r="AB59" s="11">
        <v>-600</v>
      </c>
    </row>
    <row r="60" spans="1:28" s="11" customFormat="1" ht="21.95" customHeight="1" x14ac:dyDescent="0.25">
      <c r="A60" s="11" t="s">
        <v>6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11">
        <v>109</v>
      </c>
      <c r="X60" s="11">
        <f>-1626+1678+30-71+70</f>
        <v>81</v>
      </c>
      <c r="Y60" s="11">
        <v>32</v>
      </c>
      <c r="Z60" s="11">
        <f>-48-208-133-249</f>
        <v>-638</v>
      </c>
      <c r="AA60" s="11">
        <v>0</v>
      </c>
      <c r="AB60" s="11">
        <v>0</v>
      </c>
    </row>
    <row r="61" spans="1:28" s="9" customFormat="1" ht="21.95" customHeight="1" x14ac:dyDescent="0.25">
      <c r="A61" s="9" t="s">
        <v>69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9">
        <f t="shared" ref="W61:Y61" si="267">+W53+W55+W56+W57+W59+W60</f>
        <v>2329</v>
      </c>
      <c r="X61" s="9">
        <f t="shared" si="267"/>
        <v>3893</v>
      </c>
      <c r="Y61" s="9">
        <f t="shared" si="267"/>
        <v>-1019</v>
      </c>
      <c r="Z61" s="9">
        <f>+Z53+Z55+Z56+Z57+Z58+Z59+Z60</f>
        <v>-1055</v>
      </c>
      <c r="AA61" s="9">
        <f t="shared" ref="AA61:AB61" si="268">+AA53+AA55+AA56+AA57+AA59+AA60</f>
        <v>3707.7014656205683</v>
      </c>
      <c r="AB61" s="9">
        <f t="shared" si="268"/>
        <v>4930.6314379376181</v>
      </c>
    </row>
    <row r="62" spans="1:28" s="50" customFormat="1" ht="21.95" customHeight="1" x14ac:dyDescent="0.25">
      <c r="A62" s="53" t="s">
        <v>312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 spans="1:28" s="9" customFormat="1" ht="21.95" hidden="1" customHeight="1" x14ac:dyDescent="0.25">
      <c r="A63" s="9" t="s">
        <v>35</v>
      </c>
      <c r="B63" s="22"/>
      <c r="C63" s="22"/>
      <c r="D63" s="22"/>
      <c r="E63" s="22">
        <v>426.4</v>
      </c>
      <c r="F63" s="22">
        <v>590.20000000000005</v>
      </c>
      <c r="G63" s="22">
        <v>737.6</v>
      </c>
      <c r="H63" s="22">
        <v>940.9</v>
      </c>
      <c r="I63" s="22">
        <v>1070.4000000000001</v>
      </c>
      <c r="J63" s="22">
        <v>1032.5999999999999</v>
      </c>
      <c r="K63" s="22">
        <v>1018.2</v>
      </c>
      <c r="L63" s="22">
        <v>1507.2</v>
      </c>
      <c r="M63" s="22">
        <v>2098.8000000000002</v>
      </c>
      <c r="N63" s="22">
        <v>1772.8</v>
      </c>
      <c r="O63" s="22">
        <v>1831.2</v>
      </c>
      <c r="P63" s="22">
        <v>2076.4</v>
      </c>
      <c r="Q63" s="22">
        <v>2206</v>
      </c>
      <c r="R63" s="22">
        <v>2092</v>
      </c>
      <c r="S63" s="22">
        <v>2780</v>
      </c>
      <c r="T63" s="22">
        <v>3198</v>
      </c>
      <c r="U63" s="22">
        <v>3057</v>
      </c>
      <c r="V63" s="22">
        <v>3437</v>
      </c>
      <c r="W63" s="9">
        <v>5774</v>
      </c>
      <c r="X63" s="9">
        <v>5774</v>
      </c>
      <c r="Y63" s="9">
        <v>5774</v>
      </c>
      <c r="Z63" s="9">
        <v>5774</v>
      </c>
      <c r="AA63" s="9">
        <v>5774</v>
      </c>
      <c r="AB63" s="9">
        <v>5774</v>
      </c>
    </row>
    <row r="64" spans="1:28" s="27" customFormat="1" ht="21.95" hidden="1" customHeight="1" x14ac:dyDescent="0.25">
      <c r="A64" s="27" t="s">
        <v>7</v>
      </c>
      <c r="B64" s="29"/>
      <c r="C64" s="29"/>
      <c r="D64" s="29"/>
      <c r="E64" s="29">
        <v>506.8</v>
      </c>
      <c r="F64" s="29">
        <v>553.4</v>
      </c>
      <c r="G64" s="29">
        <v>571.9</v>
      </c>
      <c r="H64" s="29">
        <v>787.9</v>
      </c>
      <c r="I64" s="29">
        <v>1228.4000000000001</v>
      </c>
      <c r="J64" s="29">
        <v>1447.5</v>
      </c>
      <c r="K64" s="29">
        <v>1038.5999999999999</v>
      </c>
      <c r="L64" s="29">
        <v>810.7</v>
      </c>
      <c r="M64" s="29">
        <v>705.6</v>
      </c>
      <c r="N64" s="29">
        <v>992.3</v>
      </c>
      <c r="O64" s="29">
        <v>1216.5</v>
      </c>
      <c r="P64" s="29">
        <v>1385.7</v>
      </c>
      <c r="Q64" s="29">
        <v>1599</v>
      </c>
      <c r="R64" s="29">
        <v>1250</v>
      </c>
      <c r="S64" s="29">
        <v>1055</v>
      </c>
      <c r="T64" s="29">
        <v>1290</v>
      </c>
      <c r="U64" s="29">
        <v>1480</v>
      </c>
      <c r="V64" s="29">
        <v>2083</v>
      </c>
      <c r="W64" s="27">
        <v>2969</v>
      </c>
      <c r="X64" s="27">
        <v>2969</v>
      </c>
      <c r="Y64" s="27">
        <v>2969</v>
      </c>
      <c r="Z64" s="27">
        <v>2969</v>
      </c>
      <c r="AA64" s="27">
        <v>2969</v>
      </c>
      <c r="AB64" s="27">
        <v>2969</v>
      </c>
    </row>
    <row r="65" spans="1:38" s="9" customFormat="1" ht="21.95" hidden="1" customHeight="1" x14ac:dyDescent="0.25">
      <c r="A65" s="9" t="s">
        <v>38</v>
      </c>
      <c r="B65" s="22"/>
      <c r="C65" s="22"/>
      <c r="D65" s="22"/>
      <c r="E65" s="22">
        <f>+E63-E64</f>
        <v>-80.400000000000034</v>
      </c>
      <c r="F65" s="22">
        <f>+F63-F64</f>
        <v>36.800000000000068</v>
      </c>
      <c r="G65" s="22">
        <f>+G63-G64</f>
        <v>165.70000000000005</v>
      </c>
      <c r="H65" s="22">
        <f t="shared" ref="H65:V65" si="269">+H63-H64</f>
        <v>153</v>
      </c>
      <c r="I65" s="22">
        <f t="shared" si="269"/>
        <v>-158</v>
      </c>
      <c r="J65" s="22">
        <f t="shared" si="269"/>
        <v>-414.90000000000009</v>
      </c>
      <c r="K65" s="22">
        <f t="shared" si="269"/>
        <v>-20.399999999999864</v>
      </c>
      <c r="L65" s="22">
        <f t="shared" si="269"/>
        <v>696.5</v>
      </c>
      <c r="M65" s="22">
        <f t="shared" si="269"/>
        <v>1393.2000000000003</v>
      </c>
      <c r="N65" s="22">
        <f t="shared" si="269"/>
        <v>780.5</v>
      </c>
      <c r="O65" s="22">
        <f t="shared" si="269"/>
        <v>614.70000000000005</v>
      </c>
      <c r="P65" s="22">
        <f t="shared" si="269"/>
        <v>690.7</v>
      </c>
      <c r="Q65" s="22">
        <f t="shared" si="269"/>
        <v>607</v>
      </c>
      <c r="R65" s="22">
        <f t="shared" si="269"/>
        <v>842</v>
      </c>
      <c r="S65" s="22">
        <f t="shared" si="269"/>
        <v>1725</v>
      </c>
      <c r="T65" s="22">
        <f t="shared" si="269"/>
        <v>1908</v>
      </c>
      <c r="U65" s="22">
        <f t="shared" si="269"/>
        <v>1577</v>
      </c>
      <c r="V65" s="22">
        <f t="shared" si="269"/>
        <v>1354</v>
      </c>
      <c r="W65" s="22">
        <f t="shared" ref="W65:X65" si="270">+W63-W64</f>
        <v>2805</v>
      </c>
      <c r="X65" s="22">
        <f t="shared" si="270"/>
        <v>2805</v>
      </c>
      <c r="Y65" s="22">
        <f t="shared" ref="Y65:Z65" si="271">+Y63-Y64</f>
        <v>2805</v>
      </c>
      <c r="Z65" s="22">
        <f t="shared" si="271"/>
        <v>2805</v>
      </c>
      <c r="AA65" s="22">
        <f t="shared" ref="AA65:AB65" si="272">+AA63-AA64</f>
        <v>2805</v>
      </c>
      <c r="AB65" s="22">
        <f t="shared" si="272"/>
        <v>2805</v>
      </c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 s="9" customFormat="1" ht="21.95" hidden="1" customHeight="1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s="28" customFormat="1" ht="21.95" hidden="1" customHeight="1" x14ac:dyDescent="0.25">
      <c r="A67" s="28" t="s">
        <v>49</v>
      </c>
      <c r="B67" s="30"/>
      <c r="C67" s="30"/>
      <c r="D67" s="30"/>
      <c r="E67" s="30">
        <v>161.80000000000001</v>
      </c>
      <c r="F67" s="30">
        <v>181.8</v>
      </c>
      <c r="G67" s="30">
        <v>196.3</v>
      </c>
      <c r="H67" s="30">
        <v>224.8</v>
      </c>
      <c r="I67" s="30">
        <v>254.4</v>
      </c>
      <c r="J67" s="30">
        <v>301.3</v>
      </c>
      <c r="K67" s="30">
        <v>341.8</v>
      </c>
      <c r="L67" s="30">
        <v>391.3</v>
      </c>
      <c r="M67" s="30">
        <v>440.7</v>
      </c>
      <c r="N67" s="30">
        <v>481.8</v>
      </c>
      <c r="O67" s="30">
        <v>515.29999999999995</v>
      </c>
      <c r="P67" s="30">
        <v>566.4</v>
      </c>
      <c r="Q67" s="30">
        <v>653</v>
      </c>
      <c r="R67" s="30">
        <v>728</v>
      </c>
      <c r="S67" s="30">
        <v>795</v>
      </c>
      <c r="T67" s="30">
        <v>855</v>
      </c>
      <c r="U67" s="30">
        <v>908</v>
      </c>
      <c r="V67" s="30">
        <v>946</v>
      </c>
      <c r="W67" s="30">
        <v>1437</v>
      </c>
      <c r="X67" s="30">
        <v>1437</v>
      </c>
      <c r="Y67" s="30">
        <v>1437</v>
      </c>
      <c r="Z67" s="30">
        <v>1437</v>
      </c>
      <c r="AA67" s="30">
        <v>1437</v>
      </c>
      <c r="AB67" s="30">
        <v>1437</v>
      </c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:38" s="9" customFormat="1" ht="21.95" hidden="1" customHeight="1" x14ac:dyDescent="0.25">
      <c r="A68" s="9" t="s">
        <v>0</v>
      </c>
      <c r="B68" s="22"/>
      <c r="C68" s="22"/>
      <c r="D68" s="22"/>
      <c r="E68" s="22">
        <f t="shared" ref="E68:Y68" si="273">+E21+E67</f>
        <v>691.8</v>
      </c>
      <c r="F68" s="22">
        <f t="shared" si="273"/>
        <v>864.8</v>
      </c>
      <c r="G68" s="22">
        <f t="shared" si="273"/>
        <v>1016.3</v>
      </c>
      <c r="H68" s="22">
        <f t="shared" si="273"/>
        <v>1172.8</v>
      </c>
      <c r="I68" s="22">
        <f t="shared" si="273"/>
        <v>1340.4</v>
      </c>
      <c r="J68" s="22">
        <f t="shared" si="273"/>
        <v>1371.3</v>
      </c>
      <c r="K68" s="22">
        <f t="shared" si="273"/>
        <v>1544.8</v>
      </c>
      <c r="L68" s="22">
        <f t="shared" si="273"/>
        <v>1605.3</v>
      </c>
      <c r="M68" s="22">
        <f t="shared" si="273"/>
        <v>1857.7</v>
      </c>
      <c r="N68" s="22">
        <f t="shared" si="273"/>
        <v>2025.7999999999981</v>
      </c>
      <c r="O68" s="22">
        <f t="shared" si="273"/>
        <v>2188.8999999999969</v>
      </c>
      <c r="P68" s="22">
        <f t="shared" si="273"/>
        <v>2243.8000000000015</v>
      </c>
      <c r="Q68" s="22">
        <f t="shared" si="273"/>
        <v>2679</v>
      </c>
      <c r="R68" s="22">
        <f t="shared" si="273"/>
        <v>2563</v>
      </c>
      <c r="S68" s="22">
        <f t="shared" si="273"/>
        <v>2906</v>
      </c>
      <c r="T68" s="22">
        <f t="shared" si="273"/>
        <v>3340</v>
      </c>
      <c r="U68" s="22">
        <f t="shared" si="273"/>
        <v>3704</v>
      </c>
      <c r="V68" s="22">
        <f t="shared" si="273"/>
        <v>4050</v>
      </c>
      <c r="W68" s="22">
        <f t="shared" si="273"/>
        <v>6297</v>
      </c>
      <c r="X68" s="22">
        <f t="shared" si="273"/>
        <v>6872</v>
      </c>
      <c r="Y68" s="22">
        <f t="shared" si="273"/>
        <v>8145</v>
      </c>
      <c r="Z68" s="22">
        <f t="shared" ref="Z68:AA68" si="274">+Z21+Z67</f>
        <v>9230</v>
      </c>
      <c r="AA68" s="22">
        <f t="shared" si="274"/>
        <v>9986.935287494096</v>
      </c>
      <c r="AB68" s="22">
        <f t="shared" ref="AB68" si="275">+AB21+AB67</f>
        <v>10973.99528203658</v>
      </c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1:38" s="9" customFormat="1" ht="21.95" hidden="1" customHeight="1" x14ac:dyDescent="0.25">
      <c r="A69" s="9" t="s">
        <v>55</v>
      </c>
      <c r="B69" s="22"/>
      <c r="C69" s="22"/>
      <c r="D69" s="22"/>
      <c r="E69" s="22"/>
      <c r="F69" s="7">
        <f>+F68/E68-1</f>
        <v>0.25007227522405318</v>
      </c>
      <c r="G69" s="7">
        <f>+G68/F68-1</f>
        <v>0.17518501387604068</v>
      </c>
      <c r="H69" s="7">
        <f t="shared" ref="H69:AB69" si="276">+H68/G68-1</f>
        <v>0.1539899635934272</v>
      </c>
      <c r="I69" s="7">
        <f t="shared" si="276"/>
        <v>0.14290586630286506</v>
      </c>
      <c r="J69" s="7">
        <f t="shared" si="276"/>
        <v>2.3052820053715228E-2</v>
      </c>
      <c r="K69" s="7">
        <f t="shared" si="276"/>
        <v>0.12652227813024131</v>
      </c>
      <c r="L69" s="7">
        <f t="shared" si="276"/>
        <v>3.9163645779388911E-2</v>
      </c>
      <c r="M69" s="7">
        <f t="shared" si="276"/>
        <v>0.15722917834672656</v>
      </c>
      <c r="N69" s="7">
        <f t="shared" si="276"/>
        <v>9.0488238143940469E-2</v>
      </c>
      <c r="O69" s="7">
        <f t="shared" si="276"/>
        <v>8.0511402902556428E-2</v>
      </c>
      <c r="P69" s="7">
        <f t="shared" si="276"/>
        <v>2.5081090958931407E-2</v>
      </c>
      <c r="Q69" s="7">
        <f t="shared" si="276"/>
        <v>0.19395668063107152</v>
      </c>
      <c r="R69" s="7">
        <f t="shared" si="276"/>
        <v>-4.3299738708473257E-2</v>
      </c>
      <c r="S69" s="7">
        <f t="shared" si="276"/>
        <v>0.13382754584471312</v>
      </c>
      <c r="T69" s="7">
        <f t="shared" si="276"/>
        <v>0.14934618031658631</v>
      </c>
      <c r="U69" s="7">
        <f t="shared" si="276"/>
        <v>0.10898203592814371</v>
      </c>
      <c r="V69" s="7">
        <f t="shared" si="276"/>
        <v>9.3412526997840084E-2</v>
      </c>
      <c r="W69" s="7" t="e">
        <f>+W68/#REF!-1</f>
        <v>#REF!</v>
      </c>
      <c r="X69" s="7">
        <f t="shared" si="276"/>
        <v>9.1313323804986579E-2</v>
      </c>
      <c r="Y69" s="7">
        <f t="shared" si="276"/>
        <v>0.18524447031431901</v>
      </c>
      <c r="Z69" s="7">
        <f t="shared" si="276"/>
        <v>0.13321055862492326</v>
      </c>
      <c r="AA69" s="7">
        <f t="shared" si="276"/>
        <v>8.2008156824929124E-2</v>
      </c>
      <c r="AB69" s="7">
        <f t="shared" si="276"/>
        <v>9.8835124703221755E-2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s="9" customFormat="1" ht="21.95" hidden="1" customHeight="1" x14ac:dyDescent="0.25">
      <c r="A70" s="9" t="s">
        <v>56</v>
      </c>
      <c r="B70" s="22"/>
      <c r="C70" s="22"/>
      <c r="D70" s="22"/>
      <c r="E70" s="22"/>
      <c r="F70" s="22"/>
      <c r="G70" s="31">
        <f>+G124</f>
        <v>0.13561592333716704</v>
      </c>
      <c r="H70" s="31">
        <f t="shared" ref="H70:V70" si="277">+H124</f>
        <v>0.14495429843813393</v>
      </c>
      <c r="I70" s="31">
        <f t="shared" si="277"/>
        <v>0.15133729131014065</v>
      </c>
      <c r="J70" s="31">
        <f t="shared" si="277"/>
        <v>0.12554140999897165</v>
      </c>
      <c r="K70" s="31">
        <f t="shared" si="277"/>
        <v>0.12299013152071886</v>
      </c>
      <c r="L70" s="31">
        <f t="shared" si="277"/>
        <v>0.11488912041005761</v>
      </c>
      <c r="M70" s="31">
        <f t="shared" si="277"/>
        <v>0.13938901857302344</v>
      </c>
      <c r="N70" s="31">
        <f t="shared" si="277"/>
        <v>0.16791082591167089</v>
      </c>
      <c r="O70" s="31">
        <f t="shared" si="277"/>
        <v>0.15208215148649237</v>
      </c>
      <c r="P70" s="31">
        <f t="shared" si="277"/>
        <v>0.14187600439820702</v>
      </c>
      <c r="Q70" s="31">
        <f t="shared" si="277"/>
        <v>0.15803612819347126</v>
      </c>
      <c r="R70" s="31">
        <f t="shared" si="277"/>
        <v>0.13107110960069357</v>
      </c>
      <c r="S70" s="31">
        <f t="shared" si="277"/>
        <v>0.15026957132824043</v>
      </c>
      <c r="T70" s="31">
        <f t="shared" si="277"/>
        <v>0.16902323202130259</v>
      </c>
      <c r="U70" s="31">
        <f t="shared" si="277"/>
        <v>0.17832902222420743</v>
      </c>
      <c r="V70" s="31">
        <f t="shared" si="277"/>
        <v>0.20629410748610758</v>
      </c>
      <c r="W70" s="31">
        <f t="shared" ref="W70:X70" si="278">+W124</f>
        <v>0.26204968829879183</v>
      </c>
      <c r="X70" s="31">
        <f t="shared" si="278"/>
        <v>0.2575455897989804</v>
      </c>
      <c r="Y70" s="31">
        <f t="shared" ref="Y70:Z70" si="279">+Y124</f>
        <v>0.28371981317591782</v>
      </c>
      <c r="Z70" s="31">
        <f t="shared" si="279"/>
        <v>0.29662438153376025</v>
      </c>
      <c r="AA70" s="31">
        <f t="shared" ref="AA70:AB70" si="280">+AA124</f>
        <v>0.29654849051569182</v>
      </c>
      <c r="AB70" s="31">
        <f t="shared" si="280"/>
        <v>0.32144783205078648</v>
      </c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1:38" s="9" customFormat="1" ht="21.95" hidden="1" customHeight="1" x14ac:dyDescent="0.25">
      <c r="A71" s="9" t="s">
        <v>5</v>
      </c>
      <c r="B71" s="22"/>
      <c r="C71" s="22"/>
      <c r="D71" s="22"/>
      <c r="E71" s="22"/>
      <c r="F71" s="22">
        <v>18</v>
      </c>
      <c r="G71" s="22">
        <v>28</v>
      </c>
      <c r="H71" s="22">
        <v>38</v>
      </c>
      <c r="I71" s="22">
        <v>35</v>
      </c>
      <c r="J71" s="22">
        <v>40</v>
      </c>
      <c r="K71" s="22">
        <v>35</v>
      </c>
      <c r="L71" s="22">
        <v>35</v>
      </c>
      <c r="M71" s="22">
        <v>41</v>
      </c>
      <c r="N71" s="22">
        <v>45</v>
      </c>
      <c r="O71" s="22">
        <v>52</v>
      </c>
      <c r="P71" s="22">
        <v>60</v>
      </c>
      <c r="Q71" s="22">
        <v>68</v>
      </c>
      <c r="R71" s="22">
        <v>56</v>
      </c>
      <c r="S71" s="22">
        <v>60</v>
      </c>
      <c r="T71" s="22">
        <v>80</v>
      </c>
      <c r="U71" s="22">
        <v>95</v>
      </c>
      <c r="V71" s="22">
        <v>118</v>
      </c>
      <c r="W71" s="9">
        <v>230</v>
      </c>
      <c r="X71" s="9">
        <v>230</v>
      </c>
      <c r="Y71" s="9">
        <v>230</v>
      </c>
      <c r="Z71" s="9">
        <v>230</v>
      </c>
      <c r="AA71" s="9">
        <v>230</v>
      </c>
      <c r="AB71" s="9">
        <v>230</v>
      </c>
    </row>
    <row r="72" spans="1:38" s="9" customFormat="1" ht="21.95" hidden="1" customHeight="1" x14ac:dyDescent="0.25">
      <c r="A72" s="9" t="s">
        <v>54</v>
      </c>
      <c r="B72" s="22"/>
      <c r="C72" s="22"/>
      <c r="D72" s="22"/>
      <c r="E72" s="30"/>
      <c r="F72" s="30">
        <f>+F95+F97-F81</f>
        <v>767</v>
      </c>
      <c r="G72" s="30">
        <f t="shared" ref="G72:V72" si="281">+G95+G97-G81</f>
        <v>568</v>
      </c>
      <c r="H72" s="30">
        <f t="shared" si="281"/>
        <v>478.29999999999995</v>
      </c>
      <c r="I72" s="30">
        <f t="shared" si="281"/>
        <v>275</v>
      </c>
      <c r="J72" s="30">
        <f t="shared" si="281"/>
        <v>451.4</v>
      </c>
      <c r="K72" s="30">
        <f t="shared" si="281"/>
        <v>508.89999999999986</v>
      </c>
      <c r="L72" s="30">
        <f t="shared" si="281"/>
        <v>-200.90000000000009</v>
      </c>
      <c r="M72" s="30">
        <f t="shared" si="281"/>
        <v>-1502.1999999999998</v>
      </c>
      <c r="N72" s="30">
        <f t="shared" si="281"/>
        <v>-1293.8999999999999</v>
      </c>
      <c r="O72" s="30">
        <f t="shared" si="281"/>
        <v>-945.60000000000014</v>
      </c>
      <c r="P72" s="30">
        <f t="shared" si="281"/>
        <v>-558</v>
      </c>
      <c r="Q72" s="30">
        <f t="shared" si="281"/>
        <v>-273</v>
      </c>
      <c r="R72" s="30">
        <f t="shared" si="281"/>
        <v>-854</v>
      </c>
      <c r="S72" s="30">
        <f t="shared" si="281"/>
        <v>-1047</v>
      </c>
      <c r="T72" s="30">
        <f t="shared" si="281"/>
        <v>-1856</v>
      </c>
      <c r="U72" s="30">
        <f t="shared" si="281"/>
        <v>-2146</v>
      </c>
      <c r="V72" s="30">
        <f t="shared" si="281"/>
        <v>354</v>
      </c>
      <c r="W72" s="30">
        <f t="shared" ref="W72:X72" si="282">+W95+W97-W81</f>
        <v>-1561</v>
      </c>
      <c r="X72" s="30">
        <f t="shared" si="282"/>
        <v>-4668</v>
      </c>
      <c r="Y72" s="30">
        <f t="shared" ref="Y72:Z72" si="283">+Y95+Y97-Y81</f>
        <v>-3767</v>
      </c>
      <c r="Z72" s="30">
        <f t="shared" si="283"/>
        <v>-3646</v>
      </c>
      <c r="AA72" s="30">
        <f t="shared" ref="AA72:AB72" si="284">+AA95+AA97-AA81</f>
        <v>-7354.7014656205683</v>
      </c>
      <c r="AB72" s="30">
        <f t="shared" si="284"/>
        <v>-12284.332903558185</v>
      </c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38" s="9" customFormat="1" ht="21.95" hidden="1" customHeight="1" x14ac:dyDescent="0.25">
      <c r="A73" s="9" t="s">
        <v>1</v>
      </c>
      <c r="B73" s="22"/>
      <c r="C73" s="22"/>
      <c r="D73" s="22"/>
      <c r="E73" s="22"/>
      <c r="F73" s="30">
        <f t="shared" ref="F73:Y73" si="285">+F32*F71</f>
        <v>8087.4000000000005</v>
      </c>
      <c r="G73" s="30">
        <f t="shared" si="285"/>
        <v>12975.199999999999</v>
      </c>
      <c r="H73" s="30">
        <f t="shared" si="285"/>
        <v>17901.8</v>
      </c>
      <c r="I73" s="30">
        <f t="shared" si="285"/>
        <v>16649.5</v>
      </c>
      <c r="J73" s="30">
        <f t="shared" si="285"/>
        <v>19032</v>
      </c>
      <c r="K73" s="30">
        <f t="shared" si="285"/>
        <v>16775.5</v>
      </c>
      <c r="L73" s="30">
        <f t="shared" si="285"/>
        <v>16775.5</v>
      </c>
      <c r="M73" s="30">
        <f t="shared" si="285"/>
        <v>19905.5</v>
      </c>
      <c r="N73" s="30">
        <f t="shared" si="285"/>
        <v>22140</v>
      </c>
      <c r="O73" s="30">
        <f t="shared" si="285"/>
        <v>24975.600000000002</v>
      </c>
      <c r="P73" s="30">
        <f t="shared" si="285"/>
        <v>27456</v>
      </c>
      <c r="Q73" s="30">
        <f t="shared" si="285"/>
        <v>30205.599999999999</v>
      </c>
      <c r="R73" s="30">
        <f t="shared" si="285"/>
        <v>24668</v>
      </c>
      <c r="S73" s="30">
        <f t="shared" si="285"/>
        <v>26760</v>
      </c>
      <c r="T73" s="30">
        <f t="shared" si="285"/>
        <v>35448</v>
      </c>
      <c r="U73" s="30">
        <f t="shared" si="285"/>
        <v>41743</v>
      </c>
      <c r="V73" s="30">
        <f t="shared" si="285"/>
        <v>51979</v>
      </c>
      <c r="W73" s="30">
        <f t="shared" si="285"/>
        <v>101867</v>
      </c>
      <c r="X73" s="30">
        <f t="shared" si="285"/>
        <v>102097</v>
      </c>
      <c r="Y73" s="30">
        <f t="shared" si="285"/>
        <v>102189</v>
      </c>
      <c r="Z73" s="30">
        <f t="shared" ref="Z73:AA73" si="286">+Z32*Z71</f>
        <v>102304</v>
      </c>
      <c r="AA73" s="30">
        <f t="shared" si="286"/>
        <v>101660</v>
      </c>
      <c r="AB73" s="30">
        <f t="shared" ref="AB73" si="287">+AB32*AB71</f>
        <v>101660</v>
      </c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:38" s="9" customFormat="1" ht="21.95" hidden="1" customHeight="1" x14ac:dyDescent="0.25">
      <c r="A74" s="9" t="s">
        <v>36</v>
      </c>
      <c r="F74" s="9">
        <f>+F72+F73</f>
        <v>8854.4000000000015</v>
      </c>
      <c r="G74" s="9">
        <f t="shared" ref="G74:V74" si="288">+G72+G73</f>
        <v>13543.199999999999</v>
      </c>
      <c r="H74" s="9">
        <f t="shared" si="288"/>
        <v>18380.099999999999</v>
      </c>
      <c r="I74" s="9">
        <f t="shared" si="288"/>
        <v>16924.5</v>
      </c>
      <c r="J74" s="9">
        <f t="shared" si="288"/>
        <v>19483.400000000001</v>
      </c>
      <c r="K74" s="9">
        <f t="shared" si="288"/>
        <v>17284.400000000001</v>
      </c>
      <c r="L74" s="9">
        <f t="shared" si="288"/>
        <v>16574.599999999999</v>
      </c>
      <c r="M74" s="9">
        <f t="shared" si="288"/>
        <v>18403.3</v>
      </c>
      <c r="N74" s="9">
        <f t="shared" si="288"/>
        <v>20846.099999999999</v>
      </c>
      <c r="O74" s="9">
        <f t="shared" si="288"/>
        <v>24030.000000000004</v>
      </c>
      <c r="P74" s="9">
        <f t="shared" si="288"/>
        <v>26898</v>
      </c>
      <c r="Q74" s="9">
        <f t="shared" si="288"/>
        <v>29932.6</v>
      </c>
      <c r="R74" s="9">
        <f t="shared" si="288"/>
        <v>23814</v>
      </c>
      <c r="S74" s="9">
        <f t="shared" si="288"/>
        <v>25713</v>
      </c>
      <c r="T74" s="9">
        <f t="shared" si="288"/>
        <v>33592</v>
      </c>
      <c r="U74" s="9">
        <f t="shared" si="288"/>
        <v>39597</v>
      </c>
      <c r="V74" s="9">
        <f t="shared" si="288"/>
        <v>52333</v>
      </c>
      <c r="W74" s="28">
        <f t="shared" ref="W74:X74" si="289">+W72+W73</f>
        <v>100306</v>
      </c>
      <c r="X74" s="28">
        <f t="shared" si="289"/>
        <v>97429</v>
      </c>
      <c r="Y74" s="28">
        <f t="shared" ref="Y74:Z74" si="290">+Y72+Y73</f>
        <v>98422</v>
      </c>
      <c r="Z74" s="28">
        <f t="shared" si="290"/>
        <v>98658</v>
      </c>
      <c r="AA74" s="28">
        <f t="shared" ref="AA74:AB74" si="291">+AA72+AA73</f>
        <v>94305.298534379428</v>
      </c>
      <c r="AB74" s="28">
        <f t="shared" si="291"/>
        <v>89375.667096441815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s="2" customFormat="1" ht="21.95" hidden="1" customHeight="1" x14ac:dyDescent="0.25">
      <c r="A75" s="2" t="s">
        <v>37</v>
      </c>
      <c r="B75" s="25"/>
      <c r="F75" s="25">
        <f>+F74/G68</f>
        <v>8.7123880743874853</v>
      </c>
      <c r="G75" s="25">
        <f t="shared" ref="G75:W75" si="292">+G74/H68</f>
        <v>11.54774897680764</v>
      </c>
      <c r="H75" s="25">
        <f t="shared" si="292"/>
        <v>13.712399283795881</v>
      </c>
      <c r="I75" s="25">
        <f t="shared" si="292"/>
        <v>12.341938306716255</v>
      </c>
      <c r="J75" s="25">
        <f t="shared" si="292"/>
        <v>12.612247540134646</v>
      </c>
      <c r="K75" s="25">
        <f t="shared" si="292"/>
        <v>10.767084034136923</v>
      </c>
      <c r="L75" s="25">
        <f t="shared" si="292"/>
        <v>8.9221079829897167</v>
      </c>
      <c r="M75" s="25">
        <f t="shared" si="292"/>
        <v>9.0844604600651682</v>
      </c>
      <c r="N75" s="25">
        <f t="shared" si="292"/>
        <v>9.5235506418749267</v>
      </c>
      <c r="O75" s="25">
        <f t="shared" si="292"/>
        <v>10.709510651573218</v>
      </c>
      <c r="P75" s="25">
        <f t="shared" si="292"/>
        <v>10.040313549832026</v>
      </c>
      <c r="Q75" s="25">
        <f t="shared" si="292"/>
        <v>11.678735856418259</v>
      </c>
      <c r="R75" s="25">
        <f t="shared" si="292"/>
        <v>8.1947694425326905</v>
      </c>
      <c r="S75" s="25">
        <f t="shared" si="292"/>
        <v>7.6985029940119762</v>
      </c>
      <c r="T75" s="25">
        <f t="shared" si="292"/>
        <v>9.069114470842333</v>
      </c>
      <c r="U75" s="25">
        <f t="shared" si="292"/>
        <v>9.7770370370370365</v>
      </c>
      <c r="V75" s="25" t="e">
        <f>+V74/#REF!</f>
        <v>#REF!</v>
      </c>
      <c r="W75" s="25">
        <f t="shared" si="292"/>
        <v>14.596332945285216</v>
      </c>
      <c r="X75" s="25" t="e">
        <f>+X74/AD68</f>
        <v>#DIV/0!</v>
      </c>
      <c r="Y75" s="25" t="e">
        <f>+Y74/AE68</f>
        <v>#DIV/0!</v>
      </c>
      <c r="Z75" s="25" t="e">
        <f>+Z74/AF68</f>
        <v>#DIV/0!</v>
      </c>
      <c r="AA75" s="25" t="e">
        <f>+AA74/AG68</f>
        <v>#DIV/0!</v>
      </c>
      <c r="AB75" s="25" t="e">
        <f>+AB74/AH68</f>
        <v>#DIV/0!</v>
      </c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s="2" customFormat="1" ht="21.95" hidden="1" customHeight="1" x14ac:dyDescent="0.25"/>
    <row r="77" spans="1:38" s="2" customFormat="1" ht="21.95" hidden="1" customHeight="1" x14ac:dyDescent="0.25">
      <c r="A77" s="16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5"/>
      <c r="V77" s="17"/>
    </row>
    <row r="78" spans="1:38" s="2" customFormat="1" ht="21.95" hidden="1" customHeight="1" x14ac:dyDescent="0.25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5"/>
      <c r="V78" s="17"/>
    </row>
    <row r="79" spans="1:38" s="2" customFormat="1" ht="21.95" customHeight="1" x14ac:dyDescent="0.25">
      <c r="A79" s="16" t="s">
        <v>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5"/>
      <c r="V79" s="17"/>
    </row>
    <row r="80" spans="1:38" s="2" customFormat="1" ht="21.95" customHeight="1" x14ac:dyDescent="0.25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5"/>
      <c r="V80" s="17"/>
    </row>
    <row r="81" spans="1:28" s="9" customFormat="1" ht="21.95" customHeight="1" x14ac:dyDescent="0.25">
      <c r="A81" s="9" t="s">
        <v>10</v>
      </c>
      <c r="F81" s="9">
        <v>175.5</v>
      </c>
      <c r="G81" s="9">
        <v>362</v>
      </c>
      <c r="H81" s="9">
        <v>440.6</v>
      </c>
      <c r="I81" s="9">
        <v>524.5</v>
      </c>
      <c r="J81" s="9">
        <v>602.6</v>
      </c>
      <c r="K81" s="9">
        <v>805.5</v>
      </c>
      <c r="L81" s="9">
        <v>1545.4</v>
      </c>
      <c r="M81" s="9">
        <v>2823.1</v>
      </c>
      <c r="N81" s="9">
        <v>2062.6</v>
      </c>
      <c r="O81" s="9">
        <v>1510.9</v>
      </c>
      <c r="P81" s="9">
        <v>2779.7</v>
      </c>
      <c r="Q81" s="9">
        <v>2619</v>
      </c>
      <c r="R81" s="9">
        <v>3157</v>
      </c>
      <c r="S81" s="9">
        <v>3214</v>
      </c>
      <c r="T81" s="9">
        <v>4009</v>
      </c>
      <c r="U81" s="9">
        <v>3528</v>
      </c>
      <c r="V81" s="9">
        <v>4644</v>
      </c>
      <c r="W81" s="9">
        <v>8384</v>
      </c>
      <c r="X81" s="9">
        <v>12277</v>
      </c>
      <c r="Y81" s="9">
        <v>11258</v>
      </c>
      <c r="Z81" s="9">
        <v>10203</v>
      </c>
      <c r="AA81" s="9">
        <f>+Z81+AA61</f>
        <v>13910.701465620568</v>
      </c>
      <c r="AB81" s="9">
        <f>+AA81+AB61</f>
        <v>18841.332903558185</v>
      </c>
    </row>
    <row r="82" spans="1:28" s="27" customFormat="1" ht="21.95" customHeight="1" x14ac:dyDescent="0.25">
      <c r="A82" s="27" t="s">
        <v>50</v>
      </c>
      <c r="F82" s="27">
        <v>0</v>
      </c>
      <c r="G82" s="27">
        <v>75.5</v>
      </c>
      <c r="H82" s="27">
        <v>256.7</v>
      </c>
      <c r="I82" s="27">
        <v>48</v>
      </c>
      <c r="J82" s="27">
        <v>5</v>
      </c>
      <c r="K82" s="27">
        <v>0</v>
      </c>
      <c r="L82" s="27">
        <v>0</v>
      </c>
      <c r="M82" s="27">
        <v>306.7</v>
      </c>
      <c r="N82" s="27">
        <v>1397.3</v>
      </c>
      <c r="O82" s="27">
        <v>1322.2</v>
      </c>
      <c r="P82" s="27">
        <v>575.79999999999995</v>
      </c>
      <c r="Q82" s="27">
        <v>656</v>
      </c>
      <c r="R82" s="27">
        <v>570</v>
      </c>
      <c r="S82" s="27">
        <v>1535</v>
      </c>
      <c r="T82" s="27">
        <v>1604</v>
      </c>
      <c r="U82" s="27">
        <v>1326</v>
      </c>
      <c r="V82" s="27">
        <v>1480</v>
      </c>
      <c r="W82" s="27">
        <v>1060</v>
      </c>
      <c r="X82" s="27">
        <v>1028</v>
      </c>
      <c r="Y82" s="27">
        <v>917</v>
      </c>
      <c r="Z82" s="27">
        <v>846</v>
      </c>
      <c r="AA82" s="27">
        <v>846</v>
      </c>
      <c r="AB82" s="27">
        <v>846</v>
      </c>
    </row>
    <row r="83" spans="1:28" s="11" customFormat="1" ht="21.95" customHeight="1" x14ac:dyDescent="0.25">
      <c r="A83" s="11" t="s">
        <v>11</v>
      </c>
      <c r="C83" s="24"/>
      <c r="D83" s="24"/>
      <c r="E83" s="24"/>
      <c r="F83" s="24">
        <v>147.1</v>
      </c>
      <c r="G83" s="24">
        <v>171.6</v>
      </c>
      <c r="H83" s="24">
        <v>168.6</v>
      </c>
      <c r="I83" s="24">
        <v>174.4</v>
      </c>
      <c r="J83" s="24">
        <v>324.8</v>
      </c>
      <c r="K83" s="24">
        <v>474.9</v>
      </c>
      <c r="L83" s="24">
        <v>556.1</v>
      </c>
      <c r="M83" s="24">
        <v>335.2</v>
      </c>
      <c r="N83" s="24">
        <v>400</v>
      </c>
      <c r="O83" s="24">
        <v>565.4</v>
      </c>
      <c r="P83" s="24">
        <v>762</v>
      </c>
      <c r="Q83" s="24">
        <v>748</v>
      </c>
      <c r="R83" s="24">
        <v>834</v>
      </c>
      <c r="S83" s="24">
        <v>884</v>
      </c>
      <c r="T83" s="24">
        <v>965</v>
      </c>
      <c r="U83" s="24">
        <v>1026</v>
      </c>
      <c r="V83" s="24">
        <v>1201</v>
      </c>
      <c r="W83" s="11">
        <v>1535</v>
      </c>
      <c r="X83" s="11">
        <v>1550</v>
      </c>
      <c r="Y83" s="11">
        <v>1803</v>
      </c>
      <c r="Z83" s="11">
        <v>2241</v>
      </c>
      <c r="AA83" s="11">
        <v>2300</v>
      </c>
      <c r="AB83" s="11">
        <v>2400</v>
      </c>
    </row>
    <row r="84" spans="1:28" s="11" customFormat="1" ht="21.95" customHeight="1" x14ac:dyDescent="0.25">
      <c r="A84" s="11" t="s">
        <v>12</v>
      </c>
      <c r="C84" s="24"/>
      <c r="D84" s="24"/>
      <c r="E84" s="24"/>
      <c r="F84" s="24">
        <v>1686.5</v>
      </c>
      <c r="G84" s="24">
        <v>1910.8</v>
      </c>
      <c r="H84" s="24">
        <v>2210.5</v>
      </c>
      <c r="I84" s="24">
        <v>2490.1</v>
      </c>
      <c r="J84" s="24">
        <v>2738.5</v>
      </c>
      <c r="K84" s="24">
        <v>3127.2</v>
      </c>
      <c r="L84" s="24">
        <v>3339.4</v>
      </c>
      <c r="M84" s="24">
        <v>3643.6</v>
      </c>
      <c r="N84" s="24">
        <v>4014.7</v>
      </c>
      <c r="O84" s="24">
        <v>4561.2</v>
      </c>
      <c r="P84" s="24">
        <v>4879.5</v>
      </c>
      <c r="Q84" s="24">
        <v>5039</v>
      </c>
      <c r="R84" s="24">
        <v>5405</v>
      </c>
      <c r="S84" s="24">
        <v>5638</v>
      </c>
      <c r="T84" s="24">
        <v>6638</v>
      </c>
      <c r="U84" s="24">
        <v>7096</v>
      </c>
      <c r="V84" s="24">
        <v>7894</v>
      </c>
      <c r="W84" s="11">
        <v>11395</v>
      </c>
      <c r="X84" s="11">
        <v>12242</v>
      </c>
      <c r="Y84" s="11">
        <v>14215</v>
      </c>
      <c r="Z84" s="11">
        <v>17907</v>
      </c>
      <c r="AA84" s="11">
        <v>18000</v>
      </c>
      <c r="AB84" s="11">
        <v>18500</v>
      </c>
    </row>
    <row r="85" spans="1:28" s="11" customFormat="1" ht="21.95" customHeight="1" x14ac:dyDescent="0.25">
      <c r="A85" s="11" t="s">
        <v>6</v>
      </c>
      <c r="C85" s="24"/>
      <c r="D85" s="24"/>
      <c r="E85" s="24"/>
      <c r="F85" s="24">
        <v>100.8</v>
      </c>
      <c r="G85" s="24">
        <v>108.3</v>
      </c>
      <c r="H85" s="24">
        <v>239.5</v>
      </c>
      <c r="I85" s="24">
        <v>233.1</v>
      </c>
      <c r="J85" s="24">
        <v>211.6</v>
      </c>
      <c r="K85" s="24">
        <v>222.9</v>
      </c>
      <c r="L85" s="24">
        <v>270.60000000000002</v>
      </c>
      <c r="M85" s="24">
        <v>160.5</v>
      </c>
      <c r="N85" s="24">
        <v>211.9</v>
      </c>
      <c r="O85" s="24">
        <v>272.39999999999998</v>
      </c>
      <c r="P85" s="24">
        <v>327.2</v>
      </c>
      <c r="Q85" s="24">
        <v>400</v>
      </c>
      <c r="R85" s="24">
        <v>371</v>
      </c>
      <c r="S85" s="24">
        <v>437</v>
      </c>
      <c r="T85" s="24">
        <v>490</v>
      </c>
      <c r="U85" s="24">
        <v>550</v>
      </c>
      <c r="V85" s="24">
        <v>621</v>
      </c>
      <c r="W85" s="11">
        <v>1111</v>
      </c>
      <c r="X85" s="11">
        <v>1023</v>
      </c>
      <c r="Y85" s="11">
        <v>1312</v>
      </c>
      <c r="Z85" s="11">
        <v>1499</v>
      </c>
      <c r="AA85" s="11">
        <v>1500</v>
      </c>
      <c r="AB85" s="11">
        <v>1600</v>
      </c>
    </row>
    <row r="86" spans="1:28" s="9" customFormat="1" ht="21.95" customHeight="1" x14ac:dyDescent="0.25">
      <c r="A86" s="9" t="s">
        <v>13</v>
      </c>
      <c r="C86" s="18"/>
      <c r="D86" s="18"/>
      <c r="E86" s="18"/>
      <c r="F86" s="18">
        <f>SUM(F81:F85)</f>
        <v>2109.9</v>
      </c>
      <c r="G86" s="18">
        <f>SUM(G81:G85)</f>
        <v>2628.2000000000003</v>
      </c>
      <c r="H86" s="18">
        <f>SUM(H81:H85)</f>
        <v>3315.9</v>
      </c>
      <c r="I86" s="18">
        <f>SUM(I81:I85)</f>
        <v>3470.1</v>
      </c>
      <c r="J86" s="18">
        <f>SUM(J81:J85)</f>
        <v>3882.5</v>
      </c>
      <c r="K86" s="18">
        <f t="shared" ref="K86:V86" si="293">SUM(K81:K85)</f>
        <v>4630.5</v>
      </c>
      <c r="L86" s="18">
        <f t="shared" si="293"/>
        <v>5711.5</v>
      </c>
      <c r="M86" s="18">
        <f t="shared" si="293"/>
        <v>7269.0999999999995</v>
      </c>
      <c r="N86" s="18">
        <f t="shared" si="293"/>
        <v>8086.4999999999991</v>
      </c>
      <c r="O86" s="18">
        <f t="shared" si="293"/>
        <v>8232.1</v>
      </c>
      <c r="P86" s="18">
        <f t="shared" si="293"/>
        <v>9324.2000000000007</v>
      </c>
      <c r="Q86" s="18">
        <f t="shared" si="293"/>
        <v>9462</v>
      </c>
      <c r="R86" s="18">
        <f t="shared" si="293"/>
        <v>10337</v>
      </c>
      <c r="S86" s="18">
        <f t="shared" si="293"/>
        <v>11708</v>
      </c>
      <c r="T86" s="18">
        <f t="shared" si="293"/>
        <v>13706</v>
      </c>
      <c r="U86" s="18">
        <f t="shared" si="293"/>
        <v>13526</v>
      </c>
      <c r="V86" s="18">
        <f t="shared" si="293"/>
        <v>15840</v>
      </c>
      <c r="W86" s="9">
        <f t="shared" ref="W86:X86" si="294">SUM(W81:W85)</f>
        <v>23485</v>
      </c>
      <c r="X86" s="9">
        <f t="shared" si="294"/>
        <v>28120</v>
      </c>
      <c r="Y86" s="9">
        <f t="shared" ref="Y86:Z86" si="295">SUM(Y81:Y85)</f>
        <v>29505</v>
      </c>
      <c r="Z86" s="9">
        <f t="shared" si="295"/>
        <v>32696</v>
      </c>
      <c r="AA86" s="9">
        <f t="shared" ref="AA86:AB86" si="296">SUM(AA81:AA85)</f>
        <v>36556.701465620572</v>
      </c>
      <c r="AB86" s="9">
        <f t="shared" si="296"/>
        <v>42187.332903558185</v>
      </c>
    </row>
    <row r="87" spans="1:28" s="11" customFormat="1" ht="21.95" customHeight="1" x14ac:dyDescent="0.25">
      <c r="A87" s="11" t="s">
        <v>14</v>
      </c>
      <c r="C87" s="24"/>
      <c r="D87" s="24"/>
      <c r="E87" s="24"/>
      <c r="F87" s="24">
        <v>3154.6</v>
      </c>
      <c r="G87" s="24">
        <v>3395.4</v>
      </c>
      <c r="H87" s="24">
        <v>3906.9</v>
      </c>
      <c r="I87" s="24">
        <v>4834.1000000000004</v>
      </c>
      <c r="J87" s="24">
        <v>5826.6</v>
      </c>
      <c r="K87" s="24">
        <v>6523.6</v>
      </c>
      <c r="L87" s="24">
        <v>6960</v>
      </c>
      <c r="M87" s="24">
        <v>7263.7</v>
      </c>
      <c r="N87" s="24">
        <v>7790.2</v>
      </c>
      <c r="O87" s="24">
        <v>8564.2999999999993</v>
      </c>
      <c r="P87" s="24">
        <v>9519.7999999999993</v>
      </c>
      <c r="Q87" s="24">
        <v>10355</v>
      </c>
      <c r="R87" s="24">
        <v>10900</v>
      </c>
      <c r="S87" s="24">
        <v>11314</v>
      </c>
      <c r="T87" s="24">
        <v>12432</v>
      </c>
      <c r="U87" s="24">
        <v>12961</v>
      </c>
      <c r="V87" s="24">
        <v>13881</v>
      </c>
      <c r="W87" s="11">
        <v>20890</v>
      </c>
      <c r="X87" s="11">
        <v>21807</v>
      </c>
      <c r="Y87" s="11">
        <v>23492</v>
      </c>
      <c r="Z87" s="11">
        <v>24646</v>
      </c>
      <c r="AA87" s="11">
        <v>26000</v>
      </c>
      <c r="AB87" s="11">
        <v>27000</v>
      </c>
    </row>
    <row r="88" spans="1:28" s="11" customFormat="1" ht="21.95" customHeight="1" x14ac:dyDescent="0.25">
      <c r="A88" s="11" t="s">
        <v>15</v>
      </c>
      <c r="C88" s="24"/>
      <c r="D88" s="24"/>
      <c r="E88" s="24"/>
      <c r="F88" s="24">
        <v>211.7</v>
      </c>
      <c r="G88" s="24">
        <v>236.2</v>
      </c>
      <c r="H88" s="24">
        <v>282.60000000000002</v>
      </c>
      <c r="I88" s="24">
        <v>329.7</v>
      </c>
      <c r="J88" s="24">
        <v>380.7</v>
      </c>
      <c r="K88" s="24">
        <v>466.1</v>
      </c>
      <c r="L88" s="24">
        <v>520.1</v>
      </c>
      <c r="M88" s="24">
        <v>559.79999999999995</v>
      </c>
      <c r="N88" s="24">
        <v>637</v>
      </c>
      <c r="O88" s="24">
        <v>698.7</v>
      </c>
      <c r="P88" s="24">
        <v>762.7</v>
      </c>
      <c r="Q88" s="24">
        <v>865</v>
      </c>
      <c r="R88" s="24">
        <v>742</v>
      </c>
      <c r="S88" s="24">
        <v>793</v>
      </c>
      <c r="T88" s="24">
        <v>623</v>
      </c>
      <c r="U88" s="24">
        <v>653</v>
      </c>
      <c r="V88" s="24">
        <v>562</v>
      </c>
      <c r="W88" s="11">
        <v>1025</v>
      </c>
      <c r="X88" s="11">
        <f>2788+2841</f>
        <v>5629</v>
      </c>
      <c r="Y88" s="11">
        <f>2890+3381</f>
        <v>6271</v>
      </c>
      <c r="Z88" s="11">
        <f>2774+4050</f>
        <v>6824</v>
      </c>
      <c r="AA88" s="11">
        <v>7000</v>
      </c>
      <c r="AB88" s="11">
        <v>7000</v>
      </c>
    </row>
    <row r="89" spans="1:28" s="9" customFormat="1" ht="21.95" customHeight="1" x14ac:dyDescent="0.25">
      <c r="A89" s="9" t="s">
        <v>16</v>
      </c>
      <c r="C89" s="18"/>
      <c r="D89" s="18"/>
      <c r="E89" s="18"/>
      <c r="F89" s="18">
        <f t="shared" ref="F89:X89" si="297">SUM(F86:F88)</f>
        <v>5476.2</v>
      </c>
      <c r="G89" s="18">
        <f t="shared" si="297"/>
        <v>6259.8</v>
      </c>
      <c r="H89" s="18">
        <f t="shared" si="297"/>
        <v>7505.4000000000005</v>
      </c>
      <c r="I89" s="18">
        <f t="shared" si="297"/>
        <v>8633.9000000000015</v>
      </c>
      <c r="J89" s="18">
        <f t="shared" si="297"/>
        <v>10089.800000000001</v>
      </c>
      <c r="K89" s="18">
        <f t="shared" si="297"/>
        <v>11620.2</v>
      </c>
      <c r="L89" s="18">
        <f t="shared" si="297"/>
        <v>13191.6</v>
      </c>
      <c r="M89" s="18">
        <f t="shared" si="297"/>
        <v>15092.599999999999</v>
      </c>
      <c r="N89" s="18">
        <f t="shared" si="297"/>
        <v>16513.699999999997</v>
      </c>
      <c r="O89" s="18">
        <f t="shared" si="297"/>
        <v>17495.100000000002</v>
      </c>
      <c r="P89" s="18">
        <f t="shared" si="297"/>
        <v>19606.7</v>
      </c>
      <c r="Q89" s="18">
        <f t="shared" si="297"/>
        <v>20682</v>
      </c>
      <c r="R89" s="18">
        <f t="shared" si="297"/>
        <v>21979</v>
      </c>
      <c r="S89" s="18">
        <f t="shared" si="297"/>
        <v>23815</v>
      </c>
      <c r="T89" s="18">
        <f t="shared" si="297"/>
        <v>26761</v>
      </c>
      <c r="U89" s="18">
        <f t="shared" si="297"/>
        <v>27140</v>
      </c>
      <c r="V89" s="18">
        <f t="shared" si="297"/>
        <v>30283</v>
      </c>
      <c r="W89" s="9">
        <f t="shared" si="297"/>
        <v>45400</v>
      </c>
      <c r="X89" s="9">
        <f t="shared" si="297"/>
        <v>55556</v>
      </c>
      <c r="Y89" s="9">
        <f t="shared" ref="Y89:Z89" si="298">SUM(Y86:Y88)</f>
        <v>59268</v>
      </c>
      <c r="Z89" s="9">
        <f t="shared" si="298"/>
        <v>64166</v>
      </c>
      <c r="AA89" s="9">
        <f t="shared" ref="AA89:AB89" si="299">SUM(AA86:AA88)</f>
        <v>69556.701465620572</v>
      </c>
      <c r="AB89" s="9">
        <f t="shared" si="299"/>
        <v>76187.332903558185</v>
      </c>
    </row>
    <row r="90" spans="1:28" s="2" customFormat="1" ht="21.95" customHeight="1" x14ac:dyDescent="0.25">
      <c r="A90" s="16"/>
      <c r="B90" s="1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8" s="2" customFormat="1" ht="21.95" customHeight="1" x14ac:dyDescent="0.25">
      <c r="A91" s="16" t="s">
        <v>17</v>
      </c>
      <c r="B91" s="1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8" s="2" customFormat="1" ht="21.95" customHeight="1" x14ac:dyDescent="0.25">
      <c r="A92" s="16"/>
      <c r="B92" s="1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8" s="9" customFormat="1" ht="21.95" customHeight="1" x14ac:dyDescent="0.25">
      <c r="A93" s="9" t="s">
        <v>18</v>
      </c>
      <c r="C93" s="18"/>
      <c r="D93" s="18"/>
      <c r="E93" s="18"/>
      <c r="F93" s="18">
        <v>1394.3</v>
      </c>
      <c r="G93" s="18">
        <v>1605.5</v>
      </c>
      <c r="H93" s="18">
        <v>1912.6</v>
      </c>
      <c r="I93" s="18">
        <v>2197.1</v>
      </c>
      <c r="J93" s="18">
        <v>2727.6</v>
      </c>
      <c r="K93" s="18">
        <v>2884.3</v>
      </c>
      <c r="L93" s="18">
        <v>3131.3</v>
      </c>
      <c r="M93" s="18">
        <v>3600.2</v>
      </c>
      <c r="N93" s="18">
        <v>4213.7</v>
      </c>
      <c r="O93" s="18">
        <v>4581.3999999999996</v>
      </c>
      <c r="P93" s="18">
        <v>5125</v>
      </c>
      <c r="Q93" s="18">
        <v>5225</v>
      </c>
      <c r="R93" s="18">
        <v>5450</v>
      </c>
      <c r="S93" s="18">
        <v>5947</v>
      </c>
      <c r="T93" s="18">
        <v>6544</v>
      </c>
      <c r="U93" s="18">
        <v>7303</v>
      </c>
      <c r="V93" s="18">
        <v>7872</v>
      </c>
      <c r="W93" s="9">
        <v>11679</v>
      </c>
      <c r="X93" s="9">
        <v>14172</v>
      </c>
      <c r="Y93" s="9">
        <v>16278</v>
      </c>
      <c r="Z93" s="9">
        <v>17848</v>
      </c>
      <c r="AA93" s="9">
        <v>18000</v>
      </c>
      <c r="AB93" s="9">
        <v>18500</v>
      </c>
    </row>
    <row r="94" spans="1:28" s="11" customFormat="1" ht="21.95" customHeight="1" x14ac:dyDescent="0.25">
      <c r="A94" s="11" t="s">
        <v>19</v>
      </c>
      <c r="C94" s="24"/>
      <c r="D94" s="24"/>
      <c r="E94" s="24"/>
      <c r="F94" s="24">
        <f>302.7+90.8+150.8</f>
        <v>544.29999999999995</v>
      </c>
      <c r="G94" s="24">
        <f>352.9+102.4+136.1</f>
        <v>591.4</v>
      </c>
      <c r="H94" s="24">
        <f>414.3+122.9+225.9+190.5</f>
        <v>953.6</v>
      </c>
      <c r="I94" s="24">
        <f>422.3+159.7+262.2+353.5</f>
        <v>1197.7</v>
      </c>
      <c r="J94" s="24">
        <f>483.5+152.9+322.6+231.1</f>
        <v>1190.0999999999999</v>
      </c>
      <c r="K94" s="24">
        <f>589.9+163.3+360.5+348</f>
        <v>1461.7</v>
      </c>
      <c r="L94" s="24">
        <f>734.3+207.4+401.4+482.3</f>
        <v>1825.3999999999999</v>
      </c>
      <c r="M94" s="24">
        <f>904.2+223+453.9+662.1</f>
        <v>2243.1999999999998</v>
      </c>
      <c r="N94" s="24">
        <f>1025.2+263.9+500.6+548</f>
        <v>2337.6999999999998</v>
      </c>
      <c r="O94" s="24">
        <f>1080.4+324.3+583.9+899.3</f>
        <v>2887.8999999999996</v>
      </c>
      <c r="P94" s="24">
        <f>1226.7+267.9+692.2+1156.3</f>
        <v>3343.1000000000004</v>
      </c>
      <c r="Q94" s="24">
        <f>1321+283+748+1157</f>
        <v>3509</v>
      </c>
      <c r="R94" s="24">
        <f>1418+302+824+1190</f>
        <v>3734</v>
      </c>
      <c r="S94" s="24">
        <f>1571+322+869+1328</f>
        <v>4090</v>
      </c>
      <c r="T94" s="24">
        <f>1758+602+335+938+973</f>
        <v>4606</v>
      </c>
      <c r="U94" s="24">
        <f>1832+661+397+965+1101</f>
        <v>4956</v>
      </c>
      <c r="V94" s="24">
        <f>2037+710+382+1167+1089</f>
        <v>5385</v>
      </c>
      <c r="W94" s="11">
        <v>9859</v>
      </c>
      <c r="X94" s="11">
        <f>3605+1393+1851+3728</f>
        <v>10577</v>
      </c>
      <c r="Y94" s="11">
        <f>4090+1671+2042+4561</f>
        <v>12364</v>
      </c>
      <c r="Z94" s="11">
        <f>4381+1911+2174+5611</f>
        <v>14077</v>
      </c>
      <c r="AA94" s="11">
        <v>14500</v>
      </c>
      <c r="AB94" s="11">
        <v>15500</v>
      </c>
    </row>
    <row r="95" spans="1:28" s="11" customFormat="1" ht="21.95" customHeight="1" x14ac:dyDescent="0.25">
      <c r="A95" s="11" t="s">
        <v>20</v>
      </c>
      <c r="C95" s="24"/>
      <c r="D95" s="24"/>
      <c r="E95" s="24"/>
      <c r="F95" s="24">
        <v>25.5</v>
      </c>
      <c r="G95" s="24">
        <v>0</v>
      </c>
      <c r="H95" s="24">
        <v>0</v>
      </c>
      <c r="I95" s="24">
        <v>9.5</v>
      </c>
      <c r="J95" s="24">
        <v>194.6</v>
      </c>
      <c r="K95" s="24">
        <v>103.8</v>
      </c>
      <c r="L95" s="24">
        <f>47+7.1</f>
        <v>54.1</v>
      </c>
      <c r="M95" s="24">
        <f>21.6+305.6</f>
        <v>327.20000000000005</v>
      </c>
      <c r="N95" s="24">
        <v>58</v>
      </c>
      <c r="O95" s="24">
        <f>41.4+308.5</f>
        <v>349.9</v>
      </c>
      <c r="P95" s="24">
        <f>53.8+59.9</f>
        <v>113.69999999999999</v>
      </c>
      <c r="Q95" s="24">
        <f>134+6</f>
        <v>140</v>
      </c>
      <c r="R95" s="24">
        <f>16+81</f>
        <v>97</v>
      </c>
      <c r="S95" s="24">
        <v>26</v>
      </c>
      <c r="T95" s="24">
        <v>900</v>
      </c>
      <c r="U95" s="24">
        <v>1</v>
      </c>
      <c r="V95" s="24">
        <v>0</v>
      </c>
      <c r="W95" s="11">
        <v>1699</v>
      </c>
      <c r="X95" s="11">
        <v>95</v>
      </c>
      <c r="Y95" s="11">
        <v>799</v>
      </c>
      <c r="Z95" s="11">
        <v>73</v>
      </c>
      <c r="AA95" s="11">
        <v>72</v>
      </c>
      <c r="AB95" s="11">
        <v>73</v>
      </c>
    </row>
    <row r="96" spans="1:28" s="9" customFormat="1" ht="21.95" customHeight="1" x14ac:dyDescent="0.25">
      <c r="A96" s="9" t="s">
        <v>21</v>
      </c>
      <c r="C96" s="18"/>
      <c r="D96" s="18"/>
      <c r="E96" s="18"/>
      <c r="F96" s="9">
        <f>SUM(F93:F95)</f>
        <v>1964.1</v>
      </c>
      <c r="G96" s="9">
        <f>SUM(G93:G95)</f>
        <v>2196.9</v>
      </c>
      <c r="H96" s="18">
        <f>SUM(H93:H95)</f>
        <v>2866.2</v>
      </c>
      <c r="I96" s="18">
        <f>SUM(I93:I95)</f>
        <v>3404.3</v>
      </c>
      <c r="J96" s="18">
        <f>SUM(J93:J95)</f>
        <v>4112.3</v>
      </c>
      <c r="K96" s="18">
        <f t="shared" ref="K96:V96" si="300">SUM(K93:K95)</f>
        <v>4449.8</v>
      </c>
      <c r="L96" s="18">
        <f t="shared" si="300"/>
        <v>5010.8</v>
      </c>
      <c r="M96" s="18">
        <f t="shared" si="300"/>
        <v>6170.5999999999995</v>
      </c>
      <c r="N96" s="18">
        <f t="shared" si="300"/>
        <v>6609.4</v>
      </c>
      <c r="O96" s="18">
        <f t="shared" si="300"/>
        <v>7819.1999999999989</v>
      </c>
      <c r="P96" s="18">
        <f t="shared" si="300"/>
        <v>8581.8000000000011</v>
      </c>
      <c r="Q96" s="18">
        <f t="shared" si="300"/>
        <v>8874</v>
      </c>
      <c r="R96" s="18">
        <f t="shared" si="300"/>
        <v>9281</v>
      </c>
      <c r="S96" s="18">
        <f t="shared" si="300"/>
        <v>10063</v>
      </c>
      <c r="T96" s="18">
        <f t="shared" si="300"/>
        <v>12050</v>
      </c>
      <c r="U96" s="18">
        <f t="shared" si="300"/>
        <v>12260</v>
      </c>
      <c r="V96" s="18">
        <f t="shared" si="300"/>
        <v>13257</v>
      </c>
      <c r="W96" s="9">
        <f t="shared" ref="W96:X96" si="301">SUM(W93:W95)</f>
        <v>23237</v>
      </c>
      <c r="X96" s="9">
        <f t="shared" si="301"/>
        <v>24844</v>
      </c>
      <c r="Y96" s="9">
        <f t="shared" ref="Y96:Z96" si="302">SUM(Y93:Y95)</f>
        <v>29441</v>
      </c>
      <c r="Z96" s="9">
        <f t="shared" si="302"/>
        <v>31998</v>
      </c>
      <c r="AA96" s="9">
        <f t="shared" ref="AA96:AB96" si="303">SUM(AA93:AA95)</f>
        <v>32572</v>
      </c>
      <c r="AB96" s="9">
        <f t="shared" si="303"/>
        <v>34073</v>
      </c>
    </row>
    <row r="97" spans="1:38" s="11" customFormat="1" ht="21.95" customHeight="1" x14ac:dyDescent="0.25">
      <c r="A97" s="11" t="s">
        <v>22</v>
      </c>
      <c r="C97" s="24"/>
      <c r="D97" s="24"/>
      <c r="E97" s="24"/>
      <c r="F97" s="24">
        <v>917</v>
      </c>
      <c r="G97" s="24">
        <v>930</v>
      </c>
      <c r="H97" s="24">
        <v>918.9</v>
      </c>
      <c r="I97" s="24">
        <v>790</v>
      </c>
      <c r="J97" s="24">
        <v>859.4</v>
      </c>
      <c r="K97" s="24">
        <v>1210.5999999999999</v>
      </c>
      <c r="L97" s="24">
        <v>1290.4000000000001</v>
      </c>
      <c r="M97" s="24">
        <v>993.7</v>
      </c>
      <c r="N97" s="24">
        <v>710.7</v>
      </c>
      <c r="O97" s="24">
        <v>215.4</v>
      </c>
      <c r="P97" s="24">
        <v>2108</v>
      </c>
      <c r="Q97" s="24">
        <v>2206</v>
      </c>
      <c r="R97" s="24">
        <v>2206</v>
      </c>
      <c r="S97" s="24">
        <v>2141</v>
      </c>
      <c r="T97" s="24">
        <v>1253</v>
      </c>
      <c r="U97" s="24">
        <v>1381</v>
      </c>
      <c r="V97" s="24">
        <v>4998</v>
      </c>
      <c r="W97" s="11">
        <v>5124</v>
      </c>
      <c r="X97" s="11">
        <v>7514</v>
      </c>
      <c r="Y97" s="11">
        <v>6692</v>
      </c>
      <c r="Z97" s="11">
        <v>6484</v>
      </c>
      <c r="AA97" s="11">
        <f>+Z97+AA57</f>
        <v>6484</v>
      </c>
      <c r="AB97" s="11">
        <f>+AA97+AB57</f>
        <v>6484</v>
      </c>
    </row>
    <row r="98" spans="1:38" s="11" customFormat="1" ht="21.95" customHeight="1" x14ac:dyDescent="0.25">
      <c r="A98" s="11" t="s">
        <v>23</v>
      </c>
      <c r="C98" s="24"/>
      <c r="D98" s="24"/>
      <c r="E98" s="24"/>
      <c r="F98" s="24">
        <f>39+88.2</f>
        <v>127.2</v>
      </c>
      <c r="G98" s="24">
        <f>61.5+105.5</f>
        <v>167</v>
      </c>
      <c r="H98" s="24">
        <f>67+120.8</f>
        <v>187.8</v>
      </c>
      <c r="I98" s="24">
        <f>90.1+108.9</f>
        <v>199</v>
      </c>
      <c r="J98" s="24">
        <f>119.4+115.8</f>
        <v>235.2</v>
      </c>
      <c r="K98" s="24">
        <f>145.9+119.7</f>
        <v>265.60000000000002</v>
      </c>
      <c r="L98" s="24">
        <v>336</v>
      </c>
      <c r="M98" s="24">
        <f>244.2+59.3</f>
        <v>303.5</v>
      </c>
      <c r="N98" s="24">
        <f>254.3+58.6</f>
        <v>312.90000000000003</v>
      </c>
      <c r="O98" s="24">
        <f>253.4+63.3</f>
        <v>316.7</v>
      </c>
      <c r="P98" s="24">
        <f>224.2+69.3</f>
        <v>293.5</v>
      </c>
      <c r="Q98" s="24">
        <f>328+82</f>
        <v>410</v>
      </c>
      <c r="R98" s="24">
        <f>388+86</f>
        <v>474</v>
      </c>
      <c r="S98" s="24">
        <v>681</v>
      </c>
      <c r="T98" s="24">
        <v>885</v>
      </c>
      <c r="U98" s="24">
        <v>981</v>
      </c>
      <c r="V98" s="24">
        <v>1016</v>
      </c>
      <c r="W98" s="11">
        <v>1455</v>
      </c>
      <c r="X98" s="11">
        <f>2558+1935</f>
        <v>4493</v>
      </c>
      <c r="Y98" s="11">
        <f>2642+2415</f>
        <v>5057</v>
      </c>
      <c r="Z98" s="11">
        <f>2482+2555</f>
        <v>5037</v>
      </c>
    </row>
    <row r="99" spans="1:38" s="11" customFormat="1" ht="21.95" customHeight="1" x14ac:dyDescent="0.25">
      <c r="A99" s="11" t="s">
        <v>24</v>
      </c>
      <c r="C99" s="24"/>
      <c r="D99" s="24"/>
      <c r="E99" s="24"/>
      <c r="F99" s="24">
        <v>2468.1</v>
      </c>
      <c r="G99" s="24">
        <v>2965.9</v>
      </c>
      <c r="H99" s="24">
        <v>3532.1</v>
      </c>
      <c r="I99" s="24">
        <v>4240.3</v>
      </c>
      <c r="J99" s="24">
        <v>4882.8999999999996</v>
      </c>
      <c r="K99" s="24">
        <v>5694.2</v>
      </c>
      <c r="L99" s="24">
        <v>6555</v>
      </c>
      <c r="M99" s="24">
        <v>7624.8</v>
      </c>
      <c r="N99" s="24">
        <v>8881.1</v>
      </c>
      <c r="O99" s="24">
        <v>9143.4</v>
      </c>
      <c r="P99" s="24">
        <v>8623.2999999999993</v>
      </c>
      <c r="Q99" s="24">
        <v>9192</v>
      </c>
      <c r="R99" s="24">
        <v>10018</v>
      </c>
      <c r="S99" s="24">
        <v>10930</v>
      </c>
      <c r="T99" s="24">
        <v>12573</v>
      </c>
      <c r="U99" s="24">
        <v>12518</v>
      </c>
      <c r="V99" s="24">
        <v>11012</v>
      </c>
      <c r="W99" s="11">
        <v>15584</v>
      </c>
      <c r="X99" s="11">
        <v>18705</v>
      </c>
      <c r="Y99" s="11">
        <v>18078</v>
      </c>
      <c r="Z99" s="11">
        <v>20647</v>
      </c>
    </row>
    <row r="100" spans="1:38" s="9" customFormat="1" ht="21.95" customHeight="1" x14ac:dyDescent="0.25">
      <c r="A100" s="9" t="s">
        <v>3</v>
      </c>
      <c r="C100" s="18"/>
      <c r="D100" s="18"/>
      <c r="E100" s="18"/>
      <c r="F100" s="18">
        <f>SUM(F96:F99)</f>
        <v>5476.4</v>
      </c>
      <c r="G100" s="18">
        <f>SUM(G96:G99)</f>
        <v>6259.8</v>
      </c>
      <c r="H100" s="18">
        <f>SUM(H96:H99)</f>
        <v>7505</v>
      </c>
      <c r="I100" s="18">
        <f>SUM(I96:I99)</f>
        <v>8633.6</v>
      </c>
      <c r="J100" s="18">
        <f>SUM(J96:J99)</f>
        <v>10089.799999999999</v>
      </c>
      <c r="K100" s="18">
        <f t="shared" ref="K100:V100" si="304">SUM(K96:K99)</f>
        <v>11620.2</v>
      </c>
      <c r="L100" s="18">
        <f t="shared" si="304"/>
        <v>13192.2</v>
      </c>
      <c r="M100" s="18">
        <f t="shared" si="304"/>
        <v>15092.599999999999</v>
      </c>
      <c r="N100" s="18">
        <f t="shared" si="304"/>
        <v>16514.099999999999</v>
      </c>
      <c r="O100" s="18">
        <f t="shared" si="304"/>
        <v>17494.699999999997</v>
      </c>
      <c r="P100" s="18">
        <f t="shared" si="304"/>
        <v>19606.599999999999</v>
      </c>
      <c r="Q100" s="18">
        <f t="shared" si="304"/>
        <v>20682</v>
      </c>
      <c r="R100" s="18">
        <f t="shared" si="304"/>
        <v>21979</v>
      </c>
      <c r="S100" s="18">
        <f t="shared" si="304"/>
        <v>23815</v>
      </c>
      <c r="T100" s="18">
        <f t="shared" si="304"/>
        <v>26761</v>
      </c>
      <c r="U100" s="18">
        <f t="shared" si="304"/>
        <v>27140</v>
      </c>
      <c r="V100" s="18">
        <f t="shared" si="304"/>
        <v>30283</v>
      </c>
      <c r="W100" s="18">
        <f t="shared" ref="W100:Z100" si="305">SUM(W96:W99)</f>
        <v>45400</v>
      </c>
      <c r="X100" s="18">
        <f t="shared" si="305"/>
        <v>55556</v>
      </c>
      <c r="Y100" s="18">
        <f t="shared" si="305"/>
        <v>59268</v>
      </c>
      <c r="Z100" s="18">
        <f t="shared" si="305"/>
        <v>64166</v>
      </c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 spans="1:38" s="2" customFormat="1" ht="21.95" customHeight="1" x14ac:dyDescent="0.25"/>
    <row r="102" spans="1:38" s="2" customFormat="1" ht="21.95" customHeight="1" x14ac:dyDescent="0.25">
      <c r="A102" s="2" t="s">
        <v>29</v>
      </c>
      <c r="X102" s="2">
        <f>+X86-X96-X81-X82+X95</f>
        <v>-9934</v>
      </c>
      <c r="Y102" s="2">
        <f t="shared" ref="Y102:Z102" si="306">+Y86-Y96-Y81-Y82+Y95</f>
        <v>-11312</v>
      </c>
      <c r="Z102" s="2">
        <f t="shared" si="306"/>
        <v>-10278</v>
      </c>
      <c r="AA102" s="2">
        <f t="shared" ref="AA102:AB102" si="307">+AA86-AA96-AA81-AA82+AA95</f>
        <v>-10699.999999999996</v>
      </c>
      <c r="AB102" s="2">
        <f t="shared" si="307"/>
        <v>-11500</v>
      </c>
    </row>
    <row r="103" spans="1:38" s="2" customFormat="1" ht="21.95" customHeight="1" x14ac:dyDescent="0.25">
      <c r="A103" s="2" t="s">
        <v>81</v>
      </c>
      <c r="AA103" s="2">
        <f>+Z102-AA102</f>
        <v>421.99999999999636</v>
      </c>
      <c r="AB103" s="2">
        <f>+AA102-AB102</f>
        <v>800.00000000000364</v>
      </c>
    </row>
    <row r="104" spans="1:38" s="2" customFormat="1" ht="21.95" customHeight="1" x14ac:dyDescent="0.25">
      <c r="A104" s="2" t="s">
        <v>81</v>
      </c>
      <c r="AA104" s="2">
        <v>422</v>
      </c>
      <c r="AB104" s="2">
        <v>800</v>
      </c>
    </row>
    <row r="105" spans="1:38" s="2" customFormat="1" ht="21.95" customHeight="1" x14ac:dyDescent="0.25"/>
    <row r="106" spans="1:38" s="2" customFormat="1" ht="21.95" customHeight="1" x14ac:dyDescent="0.25"/>
    <row r="107" spans="1:38" s="72" customFormat="1" ht="21.95" customHeight="1" x14ac:dyDescent="0.25">
      <c r="A107" s="72" t="s">
        <v>39</v>
      </c>
      <c r="B107" s="73"/>
      <c r="C107" s="73">
        <v>1994</v>
      </c>
      <c r="D107" s="73">
        <v>1995</v>
      </c>
      <c r="E107" s="73">
        <v>1996</v>
      </c>
      <c r="F107" s="73">
        <v>1997</v>
      </c>
      <c r="G107" s="73">
        <v>1998</v>
      </c>
      <c r="H107" s="73">
        <v>1999</v>
      </c>
      <c r="I107" s="73">
        <v>2000</v>
      </c>
      <c r="J107" s="73">
        <v>2001</v>
      </c>
      <c r="K107" s="73">
        <v>2002</v>
      </c>
      <c r="L107" s="73">
        <v>2003</v>
      </c>
      <c r="M107" s="73">
        <v>2004</v>
      </c>
      <c r="N107" s="73">
        <v>2005</v>
      </c>
      <c r="O107" s="73">
        <v>2006</v>
      </c>
      <c r="P107" s="73">
        <v>2007</v>
      </c>
      <c r="Q107" s="73">
        <v>2008</v>
      </c>
      <c r="R107" s="73">
        <v>2009</v>
      </c>
      <c r="S107" s="73">
        <v>2010</v>
      </c>
      <c r="T107" s="73">
        <v>2011</v>
      </c>
      <c r="U107" s="73">
        <v>2012</v>
      </c>
      <c r="V107" s="73">
        <v>2013</v>
      </c>
      <c r="W107" s="74">
        <v>2019</v>
      </c>
      <c r="X107" s="74">
        <v>2020</v>
      </c>
      <c r="Y107" s="74">
        <v>2021</v>
      </c>
      <c r="Z107" s="74">
        <v>2022</v>
      </c>
      <c r="AA107" s="74" t="s">
        <v>85</v>
      </c>
      <c r="AB107" s="74" t="s">
        <v>85</v>
      </c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</row>
    <row r="108" spans="1:38" s="2" customFormat="1" ht="21.9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38" s="9" customFormat="1" ht="21.95" customHeight="1" x14ac:dyDescent="0.25">
      <c r="A109" s="9" t="s">
        <v>25</v>
      </c>
      <c r="F109" s="9">
        <f t="shared" ref="F109:Y109" si="308">+F21</f>
        <v>683</v>
      </c>
      <c r="G109" s="9">
        <f t="shared" si="308"/>
        <v>820</v>
      </c>
      <c r="H109" s="9">
        <f t="shared" si="308"/>
        <v>948</v>
      </c>
      <c r="I109" s="9">
        <f t="shared" si="308"/>
        <v>1086</v>
      </c>
      <c r="J109" s="9">
        <f t="shared" si="308"/>
        <v>1070</v>
      </c>
      <c r="K109" s="9">
        <f t="shared" si="308"/>
        <v>1203</v>
      </c>
      <c r="L109" s="9">
        <f t="shared" si="308"/>
        <v>1214</v>
      </c>
      <c r="M109" s="9">
        <f t="shared" si="308"/>
        <v>1417</v>
      </c>
      <c r="N109" s="9">
        <f t="shared" si="308"/>
        <v>1543.9999999999982</v>
      </c>
      <c r="O109" s="9">
        <f t="shared" si="308"/>
        <v>1673.5999999999967</v>
      </c>
      <c r="P109" s="9">
        <f t="shared" si="308"/>
        <v>1677.4000000000015</v>
      </c>
      <c r="Q109" s="9">
        <f t="shared" si="308"/>
        <v>2026</v>
      </c>
      <c r="R109" s="9">
        <f t="shared" si="308"/>
        <v>1835</v>
      </c>
      <c r="S109" s="9">
        <f t="shared" si="308"/>
        <v>2111</v>
      </c>
      <c r="T109" s="9">
        <f t="shared" si="308"/>
        <v>2485</v>
      </c>
      <c r="U109" s="9">
        <f t="shared" si="308"/>
        <v>2796</v>
      </c>
      <c r="V109" s="9">
        <f t="shared" si="308"/>
        <v>3104</v>
      </c>
      <c r="W109" s="9">
        <f t="shared" si="308"/>
        <v>4860</v>
      </c>
      <c r="X109" s="9">
        <f t="shared" si="308"/>
        <v>5435</v>
      </c>
      <c r="Y109" s="9">
        <f t="shared" si="308"/>
        <v>6708</v>
      </c>
      <c r="Z109" s="9">
        <f t="shared" ref="Z109:AA109" si="309">+Z21</f>
        <v>7793</v>
      </c>
      <c r="AA109" s="9">
        <f t="shared" si="309"/>
        <v>8549.935287494096</v>
      </c>
      <c r="AB109" s="9">
        <f t="shared" ref="AB109" si="310">+AB21</f>
        <v>9536.9952820365797</v>
      </c>
    </row>
    <row r="110" spans="1:38" s="2" customFormat="1" ht="21.95" customHeight="1" x14ac:dyDescent="0.25">
      <c r="A110" s="16" t="s">
        <v>26</v>
      </c>
      <c r="B110" s="16"/>
      <c r="C110" s="20"/>
      <c r="D110" s="20"/>
      <c r="E110" s="20"/>
      <c r="F110" s="20">
        <f t="shared" ref="F110:X110" si="311">+F109*F115</f>
        <v>273.2</v>
      </c>
      <c r="G110" s="20">
        <f t="shared" si="311"/>
        <v>327.57180156657961</v>
      </c>
      <c r="H110" s="20">
        <f t="shared" si="311"/>
        <v>379.64144353899883</v>
      </c>
      <c r="I110" s="20">
        <f t="shared" si="311"/>
        <v>434.60646387832702</v>
      </c>
      <c r="J110" s="20">
        <f t="shared" si="311"/>
        <v>427.78664007976067</v>
      </c>
      <c r="K110" s="20">
        <f t="shared" si="311"/>
        <v>463.01757469244291</v>
      </c>
      <c r="L110" s="20">
        <f t="shared" si="311"/>
        <v>458.13298791019002</v>
      </c>
      <c r="M110" s="20">
        <f t="shared" si="311"/>
        <v>524.29</v>
      </c>
      <c r="N110" s="20">
        <f t="shared" si="311"/>
        <v>484.33156875403427</v>
      </c>
      <c r="O110" s="20">
        <f t="shared" si="311"/>
        <v>632.20986358866605</v>
      </c>
      <c r="P110" s="20">
        <f t="shared" si="311"/>
        <v>615.04666666666719</v>
      </c>
      <c r="Q110" s="20">
        <f t="shared" si="311"/>
        <v>725.67083541770887</v>
      </c>
      <c r="R110" s="20">
        <f t="shared" si="311"/>
        <v>672.33372228704786</v>
      </c>
      <c r="S110" s="20">
        <f t="shared" si="311"/>
        <v>751.28578383641673</v>
      </c>
      <c r="T110" s="20">
        <f t="shared" si="311"/>
        <v>876.99748216533771</v>
      </c>
      <c r="U110" s="20">
        <f t="shared" si="311"/>
        <v>1010.4806649801229</v>
      </c>
      <c r="V110" s="20">
        <f t="shared" si="311"/>
        <v>945.23531221162716</v>
      </c>
      <c r="W110" s="20">
        <f t="shared" si="311"/>
        <v>1081.7675941080197</v>
      </c>
      <c r="X110" s="20">
        <f t="shared" si="311"/>
        <v>1324.5723868082728</v>
      </c>
      <c r="Y110" s="20">
        <f t="shared" ref="Y110:Z110" si="312">+Y109*Y115</f>
        <v>1607.7107784431139</v>
      </c>
      <c r="Z110" s="20">
        <f t="shared" si="312"/>
        <v>1913.4598214285713</v>
      </c>
      <c r="AA110" s="20">
        <f t="shared" ref="AA110:AB110" si="313">+AA109*AA115</f>
        <v>2101.1918127398621</v>
      </c>
      <c r="AB110" s="20">
        <f t="shared" si="313"/>
        <v>2336.5638440989619</v>
      </c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 s="2" customFormat="1" ht="21.95" customHeight="1" x14ac:dyDescent="0.25">
      <c r="A111" s="16" t="s">
        <v>27</v>
      </c>
      <c r="B111" s="9"/>
      <c r="C111" s="9"/>
      <c r="D111" s="9"/>
      <c r="E111" s="9"/>
      <c r="F111" s="9">
        <f t="shared" ref="F111:X111" si="314">+F109-F110</f>
        <v>409.8</v>
      </c>
      <c r="G111" s="9">
        <f t="shared" si="314"/>
        <v>492.42819843342039</v>
      </c>
      <c r="H111" s="9">
        <f t="shared" si="314"/>
        <v>568.35855646100117</v>
      </c>
      <c r="I111" s="9">
        <f t="shared" si="314"/>
        <v>651.39353612167292</v>
      </c>
      <c r="J111" s="9">
        <f t="shared" si="314"/>
        <v>642.21335992023933</v>
      </c>
      <c r="K111" s="9">
        <f t="shared" si="314"/>
        <v>739.98242530755715</v>
      </c>
      <c r="L111" s="9">
        <f t="shared" si="314"/>
        <v>755.86701208981003</v>
      </c>
      <c r="M111" s="9">
        <f t="shared" si="314"/>
        <v>892.71</v>
      </c>
      <c r="N111" s="9">
        <f t="shared" si="314"/>
        <v>1059.6684312459638</v>
      </c>
      <c r="O111" s="9">
        <f t="shared" si="314"/>
        <v>1041.3901364113308</v>
      </c>
      <c r="P111" s="9">
        <f t="shared" si="314"/>
        <v>1062.3533333333344</v>
      </c>
      <c r="Q111" s="9">
        <f t="shared" si="314"/>
        <v>1300.329164582291</v>
      </c>
      <c r="R111" s="9">
        <f t="shared" si="314"/>
        <v>1162.6662777129523</v>
      </c>
      <c r="S111" s="9">
        <f t="shared" si="314"/>
        <v>1359.7142161635834</v>
      </c>
      <c r="T111" s="9">
        <f t="shared" si="314"/>
        <v>1608.0025178346623</v>
      </c>
      <c r="U111" s="9">
        <f t="shared" si="314"/>
        <v>1785.519335019877</v>
      </c>
      <c r="V111" s="9">
        <f t="shared" si="314"/>
        <v>2158.7646877883726</v>
      </c>
      <c r="W111" s="9">
        <f t="shared" si="314"/>
        <v>3778.2324058919803</v>
      </c>
      <c r="X111" s="9">
        <f t="shared" si="314"/>
        <v>4110.4276131917268</v>
      </c>
      <c r="Y111" s="9">
        <f t="shared" ref="Y111:Z111" si="315">+Y109-Y110</f>
        <v>5100.2892215568863</v>
      </c>
      <c r="Z111" s="9">
        <f t="shared" si="315"/>
        <v>5879.5401785714284</v>
      </c>
      <c r="AA111" s="9">
        <f t="shared" ref="AA111:AB111" si="316">+AA109-AA110</f>
        <v>6448.7434747542338</v>
      </c>
      <c r="AB111" s="9">
        <f t="shared" si="316"/>
        <v>7200.4314379376174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s="2" customFormat="1" ht="21.9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38" s="28" customFormat="1" ht="21.95" customHeight="1" x14ac:dyDescent="0.25">
      <c r="A113" s="28" t="s">
        <v>51</v>
      </c>
      <c r="B113" s="28">
        <v>133</v>
      </c>
      <c r="C113" s="28">
        <v>93</v>
      </c>
      <c r="D113" s="28">
        <v>151</v>
      </c>
      <c r="E113" s="28">
        <v>175</v>
      </c>
      <c r="F113" s="28">
        <v>208</v>
      </c>
      <c r="G113" s="28">
        <v>306</v>
      </c>
      <c r="H113" s="28">
        <v>344</v>
      </c>
      <c r="I113" s="28">
        <v>421</v>
      </c>
      <c r="J113" s="28">
        <v>401</v>
      </c>
      <c r="K113" s="28">
        <v>438</v>
      </c>
      <c r="L113" s="28">
        <v>437</v>
      </c>
      <c r="M113" s="28">
        <v>518</v>
      </c>
      <c r="N113" s="28">
        <v>485.9</v>
      </c>
      <c r="O113" s="28">
        <v>648</v>
      </c>
      <c r="P113" s="28">
        <v>627</v>
      </c>
      <c r="Q113" s="28">
        <v>716</v>
      </c>
      <c r="R113" s="28">
        <v>628</v>
      </c>
      <c r="S113" s="28">
        <v>731</v>
      </c>
      <c r="T113" s="28">
        <v>841</v>
      </c>
      <c r="U113" s="28">
        <v>1000</v>
      </c>
      <c r="V113" s="28">
        <v>990</v>
      </c>
      <c r="W113" s="28">
        <f t="shared" ref="W113:Y113" si="317">+W26</f>
        <v>1088</v>
      </c>
      <c r="X113" s="28">
        <f t="shared" si="317"/>
        <v>1308</v>
      </c>
      <c r="Y113" s="28">
        <f t="shared" si="317"/>
        <v>1601</v>
      </c>
      <c r="Z113" s="28">
        <f t="shared" ref="Z113:AA113" si="318">+Z26</f>
        <v>1925</v>
      </c>
      <c r="AA113" s="28">
        <f t="shared" si="318"/>
        <v>2113.2338218735276</v>
      </c>
      <c r="AB113" s="28">
        <f t="shared" ref="AB113" si="319">+AB26</f>
        <v>2346.3638440989621</v>
      </c>
    </row>
    <row r="114" spans="1:38" s="28" customFormat="1" ht="21.95" customHeight="1" x14ac:dyDescent="0.25">
      <c r="A114" s="28" t="s">
        <v>52</v>
      </c>
      <c r="B114" s="28">
        <v>336</v>
      </c>
      <c r="C114" s="28">
        <v>204</v>
      </c>
      <c r="D114" s="28">
        <v>368</v>
      </c>
      <c r="E114" s="28">
        <v>424</v>
      </c>
      <c r="F114" s="28">
        <v>520</v>
      </c>
      <c r="G114" s="28">
        <v>766</v>
      </c>
      <c r="H114" s="28">
        <v>859</v>
      </c>
      <c r="I114" s="28">
        <v>1052</v>
      </c>
      <c r="J114" s="28">
        <v>1003</v>
      </c>
      <c r="K114" s="28">
        <v>1138</v>
      </c>
      <c r="L114" s="28">
        <v>1158</v>
      </c>
      <c r="M114" s="28">
        <v>1400</v>
      </c>
      <c r="N114" s="28">
        <v>1549</v>
      </c>
      <c r="O114" s="28">
        <v>1715.4</v>
      </c>
      <c r="P114" s="28">
        <v>1710</v>
      </c>
      <c r="Q114" s="28">
        <v>1999</v>
      </c>
      <c r="R114" s="28">
        <v>1714</v>
      </c>
      <c r="S114" s="28">
        <v>2054</v>
      </c>
      <c r="T114" s="28">
        <v>2383</v>
      </c>
      <c r="U114" s="28">
        <v>2767</v>
      </c>
      <c r="V114" s="28">
        <v>3251</v>
      </c>
      <c r="W114" s="28">
        <f t="shared" ref="W114:Y114" si="320">+W25</f>
        <v>4888</v>
      </c>
      <c r="X114" s="28">
        <f t="shared" si="320"/>
        <v>5367</v>
      </c>
      <c r="Y114" s="28">
        <f t="shared" si="320"/>
        <v>6680</v>
      </c>
      <c r="Z114" s="28">
        <f t="shared" ref="Z114:AA114" si="321">+Z25</f>
        <v>7840</v>
      </c>
      <c r="AA114" s="28">
        <f t="shared" si="321"/>
        <v>8598.935287494096</v>
      </c>
      <c r="AB114" s="28">
        <f t="shared" ref="AB114" si="322">+AB25</f>
        <v>9576.9952820365797</v>
      </c>
    </row>
    <row r="115" spans="1:38" s="6" customFormat="1" ht="21.95" customHeight="1" x14ac:dyDescent="0.25">
      <c r="A115" s="6" t="s">
        <v>53</v>
      </c>
      <c r="B115" s="6">
        <f>+B113/B114</f>
        <v>0.39583333333333331</v>
      </c>
      <c r="C115" s="6">
        <f t="shared" ref="C115:I115" si="323">+C113/C114</f>
        <v>0.45588235294117646</v>
      </c>
      <c r="D115" s="6">
        <f t="shared" si="323"/>
        <v>0.41032608695652173</v>
      </c>
      <c r="E115" s="6">
        <f t="shared" si="323"/>
        <v>0.41273584905660377</v>
      </c>
      <c r="F115" s="6">
        <f t="shared" si="323"/>
        <v>0.4</v>
      </c>
      <c r="G115" s="6">
        <f t="shared" si="323"/>
        <v>0.39947780678851175</v>
      </c>
      <c r="H115" s="6">
        <f t="shared" si="323"/>
        <v>0.40046565774155995</v>
      </c>
      <c r="I115" s="6">
        <f t="shared" si="323"/>
        <v>0.40019011406844107</v>
      </c>
      <c r="J115" s="6">
        <f t="shared" ref="J115:X115" si="324">+J113/J114</f>
        <v>0.39980059820538383</v>
      </c>
      <c r="K115" s="6">
        <f t="shared" si="324"/>
        <v>0.38488576449912126</v>
      </c>
      <c r="L115" s="6">
        <f t="shared" si="324"/>
        <v>0.37737478411053543</v>
      </c>
      <c r="M115" s="6">
        <f t="shared" si="324"/>
        <v>0.37</v>
      </c>
      <c r="N115" s="6">
        <f t="shared" si="324"/>
        <v>0.31368624919302773</v>
      </c>
      <c r="O115" s="6">
        <f t="shared" si="324"/>
        <v>0.37775445960125914</v>
      </c>
      <c r="P115" s="6">
        <f t="shared" si="324"/>
        <v>0.36666666666666664</v>
      </c>
      <c r="Q115" s="6">
        <f t="shared" si="324"/>
        <v>0.3581790895447724</v>
      </c>
      <c r="R115" s="6">
        <f t="shared" si="324"/>
        <v>0.36639439906651111</v>
      </c>
      <c r="S115" s="6">
        <f t="shared" si="324"/>
        <v>0.35589094449853942</v>
      </c>
      <c r="T115" s="6">
        <f t="shared" si="324"/>
        <v>0.35291649181703733</v>
      </c>
      <c r="U115" s="6">
        <f t="shared" si="324"/>
        <v>0.36140224069389232</v>
      </c>
      <c r="V115" s="6">
        <f t="shared" si="324"/>
        <v>0.30452168563518917</v>
      </c>
      <c r="W115" s="6">
        <f>+W113/W114</f>
        <v>0.22258592471358429</v>
      </c>
      <c r="X115" s="6">
        <f t="shared" si="324"/>
        <v>0.2437115707098938</v>
      </c>
      <c r="Y115" s="6">
        <f t="shared" ref="Y115:Z115" si="325">+Y113/Y114</f>
        <v>0.23967065868263474</v>
      </c>
      <c r="Z115" s="6">
        <f t="shared" si="325"/>
        <v>0.24553571428571427</v>
      </c>
      <c r="AA115" s="6">
        <f t="shared" ref="AA115:AB115" si="326">+AA113/AA114</f>
        <v>0.24575528844215397</v>
      </c>
      <c r="AB115" s="6">
        <f t="shared" si="326"/>
        <v>0.245</v>
      </c>
    </row>
    <row r="116" spans="1:38" s="2" customFormat="1" ht="21.9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38" s="2" customFormat="1" ht="21.95" customHeight="1" x14ac:dyDescent="0.25">
      <c r="A117" s="16" t="s">
        <v>28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38" s="2" customFormat="1" ht="21.9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38" s="2" customFormat="1" ht="21.95" customHeight="1" x14ac:dyDescent="0.25">
      <c r="A119" s="16" t="s">
        <v>29</v>
      </c>
      <c r="B119" s="9"/>
      <c r="C119" s="9"/>
      <c r="D119" s="9"/>
      <c r="E119" s="9"/>
      <c r="F119" s="9">
        <f t="shared" ref="F119:W119" si="327">+F86-F96-F81-F82+F95</f>
        <v>-4.1999999999998181</v>
      </c>
      <c r="G119" s="9">
        <f t="shared" si="327"/>
        <v>-6.1999999999998181</v>
      </c>
      <c r="H119" s="9">
        <f t="shared" si="327"/>
        <v>-247.59999999999974</v>
      </c>
      <c r="I119" s="9">
        <f t="shared" si="327"/>
        <v>-497.20000000000027</v>
      </c>
      <c r="J119" s="9">
        <f t="shared" si="327"/>
        <v>-642.80000000000018</v>
      </c>
      <c r="K119" s="9">
        <f t="shared" si="327"/>
        <v>-521.00000000000023</v>
      </c>
      <c r="L119" s="9">
        <f t="shared" si="327"/>
        <v>-790.60000000000025</v>
      </c>
      <c r="M119" s="9">
        <f t="shared" si="327"/>
        <v>-1704.1</v>
      </c>
      <c r="N119" s="9">
        <f t="shared" si="327"/>
        <v>-1924.8000000000004</v>
      </c>
      <c r="O119" s="9">
        <f t="shared" si="327"/>
        <v>-2070.2999999999988</v>
      </c>
      <c r="P119" s="9">
        <f t="shared" si="327"/>
        <v>-2499.4000000000005</v>
      </c>
      <c r="Q119" s="9">
        <f t="shared" si="327"/>
        <v>-2547</v>
      </c>
      <c r="R119" s="9">
        <f t="shared" si="327"/>
        <v>-2574</v>
      </c>
      <c r="S119" s="9">
        <f t="shared" si="327"/>
        <v>-3078</v>
      </c>
      <c r="T119" s="9">
        <f t="shared" si="327"/>
        <v>-3057</v>
      </c>
      <c r="U119" s="9">
        <f t="shared" si="327"/>
        <v>-3587</v>
      </c>
      <c r="V119" s="9">
        <f t="shared" si="327"/>
        <v>-3541</v>
      </c>
      <c r="W119" s="9">
        <f t="shared" si="327"/>
        <v>-7497</v>
      </c>
      <c r="X119" s="9">
        <f>+X86-X96-X81-X82+X95</f>
        <v>-9934</v>
      </c>
      <c r="Y119" s="9">
        <f t="shared" ref="Y119:Z119" si="328">+Y86-Y96-Y81-Y82+Y95</f>
        <v>-11312</v>
      </c>
      <c r="Z119" s="9">
        <f t="shared" si="328"/>
        <v>-10278</v>
      </c>
      <c r="AA119" s="9">
        <f t="shared" ref="AA119:AB119" si="329">+AA86-AA96-AA81-AA82+AA95</f>
        <v>-10699.999999999996</v>
      </c>
      <c r="AB119" s="9">
        <f t="shared" si="329"/>
        <v>-11500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s="2" customFormat="1" ht="21.95" customHeight="1" x14ac:dyDescent="0.25">
      <c r="A120" s="16" t="s">
        <v>30</v>
      </c>
      <c r="B120" s="12"/>
      <c r="C120" s="12"/>
      <c r="D120" s="12"/>
      <c r="E120" s="12"/>
      <c r="F120" s="12">
        <f t="shared" ref="F120:P120" si="330">+F87</f>
        <v>3154.6</v>
      </c>
      <c r="G120" s="12">
        <f t="shared" si="330"/>
        <v>3395.4</v>
      </c>
      <c r="H120" s="12">
        <f t="shared" si="330"/>
        <v>3906.9</v>
      </c>
      <c r="I120" s="12">
        <f t="shared" si="330"/>
        <v>4834.1000000000004</v>
      </c>
      <c r="J120" s="12">
        <f t="shared" si="330"/>
        <v>5826.6</v>
      </c>
      <c r="K120" s="12">
        <f t="shared" si="330"/>
        <v>6523.6</v>
      </c>
      <c r="L120" s="12">
        <f t="shared" si="330"/>
        <v>6960</v>
      </c>
      <c r="M120" s="12">
        <f t="shared" si="330"/>
        <v>7263.7</v>
      </c>
      <c r="N120" s="12">
        <f t="shared" si="330"/>
        <v>7790.2</v>
      </c>
      <c r="O120" s="12">
        <f t="shared" si="330"/>
        <v>8564.2999999999993</v>
      </c>
      <c r="P120" s="12">
        <f t="shared" si="330"/>
        <v>9519.7999999999993</v>
      </c>
      <c r="Q120" s="12">
        <f t="shared" ref="Q120:V120" si="331">+Q87</f>
        <v>10355</v>
      </c>
      <c r="R120" s="12">
        <f t="shared" si="331"/>
        <v>10900</v>
      </c>
      <c r="S120" s="12">
        <f t="shared" si="331"/>
        <v>11314</v>
      </c>
      <c r="T120" s="12">
        <f t="shared" si="331"/>
        <v>12432</v>
      </c>
      <c r="U120" s="12">
        <f t="shared" si="331"/>
        <v>12961</v>
      </c>
      <c r="V120" s="12">
        <f t="shared" si="331"/>
        <v>13881</v>
      </c>
      <c r="W120" s="12">
        <f t="shared" ref="W120:X120" si="332">+W87</f>
        <v>20890</v>
      </c>
      <c r="X120" s="12">
        <f t="shared" si="332"/>
        <v>21807</v>
      </c>
      <c r="Y120" s="12">
        <f t="shared" ref="Y120:Z120" si="333">+Y87</f>
        <v>23492</v>
      </c>
      <c r="Z120" s="12">
        <f t="shared" si="333"/>
        <v>24646</v>
      </c>
      <c r="AA120" s="12">
        <f t="shared" ref="AA120:AB120" si="334">+AA87</f>
        <v>26000</v>
      </c>
      <c r="AB120" s="12">
        <f t="shared" si="334"/>
        <v>27000</v>
      </c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s="2" customFormat="1" ht="21.95" customHeight="1" x14ac:dyDescent="0.25">
      <c r="A121" s="16" t="s">
        <v>15</v>
      </c>
      <c r="B121" s="12"/>
      <c r="C121" s="12"/>
      <c r="D121" s="12"/>
      <c r="E121" s="12"/>
      <c r="F121" s="12">
        <f t="shared" ref="F121:P121" si="335">+F88</f>
        <v>211.7</v>
      </c>
      <c r="G121" s="12">
        <f t="shared" si="335"/>
        <v>236.2</v>
      </c>
      <c r="H121" s="12">
        <f t="shared" si="335"/>
        <v>282.60000000000002</v>
      </c>
      <c r="I121" s="12">
        <f t="shared" si="335"/>
        <v>329.7</v>
      </c>
      <c r="J121" s="12">
        <f t="shared" si="335"/>
        <v>380.7</v>
      </c>
      <c r="K121" s="12">
        <f t="shared" si="335"/>
        <v>466.1</v>
      </c>
      <c r="L121" s="12">
        <f t="shared" si="335"/>
        <v>520.1</v>
      </c>
      <c r="M121" s="12">
        <f t="shared" si="335"/>
        <v>559.79999999999995</v>
      </c>
      <c r="N121" s="12">
        <f t="shared" si="335"/>
        <v>637</v>
      </c>
      <c r="O121" s="12">
        <f t="shared" si="335"/>
        <v>698.7</v>
      </c>
      <c r="P121" s="12">
        <f t="shared" si="335"/>
        <v>762.7</v>
      </c>
      <c r="Q121" s="12">
        <f t="shared" ref="Q121:V121" si="336">+Q88</f>
        <v>865</v>
      </c>
      <c r="R121" s="12">
        <f t="shared" si="336"/>
        <v>742</v>
      </c>
      <c r="S121" s="12">
        <f t="shared" si="336"/>
        <v>793</v>
      </c>
      <c r="T121" s="12">
        <f t="shared" si="336"/>
        <v>623</v>
      </c>
      <c r="U121" s="12">
        <f t="shared" si="336"/>
        <v>653</v>
      </c>
      <c r="V121" s="12">
        <f t="shared" si="336"/>
        <v>562</v>
      </c>
      <c r="W121" s="12">
        <f t="shared" ref="W121:X121" si="337">+W88</f>
        <v>1025</v>
      </c>
      <c r="X121" s="12">
        <f t="shared" si="337"/>
        <v>5629</v>
      </c>
      <c r="Y121" s="12">
        <f t="shared" ref="Y121:Z121" si="338">+Y88</f>
        <v>6271</v>
      </c>
      <c r="Z121" s="12">
        <f t="shared" si="338"/>
        <v>6824</v>
      </c>
      <c r="AA121" s="12">
        <f t="shared" ref="AA121:AB121" si="339">+AA88</f>
        <v>7000</v>
      </c>
      <c r="AB121" s="12">
        <f t="shared" si="339"/>
        <v>7000</v>
      </c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s="2" customFormat="1" ht="21.95" customHeight="1" x14ac:dyDescent="0.25">
      <c r="A122" s="16" t="s">
        <v>3</v>
      </c>
      <c r="B122" s="9"/>
      <c r="C122" s="9"/>
      <c r="D122" s="9"/>
      <c r="E122" s="9"/>
      <c r="F122" s="9">
        <f>SUM(F119:F121)</f>
        <v>3362.1</v>
      </c>
      <c r="G122" s="9">
        <v>3900</v>
      </c>
      <c r="H122" s="9">
        <f t="shared" ref="H122:U122" si="340">SUM(H119:H121)</f>
        <v>3941.9</v>
      </c>
      <c r="I122" s="9">
        <f t="shared" si="340"/>
        <v>4666.5999999999995</v>
      </c>
      <c r="J122" s="9">
        <f t="shared" si="340"/>
        <v>5564.5</v>
      </c>
      <c r="K122" s="9">
        <f t="shared" si="340"/>
        <v>6468.7000000000007</v>
      </c>
      <c r="L122" s="9">
        <f t="shared" si="340"/>
        <v>6689.5</v>
      </c>
      <c r="M122" s="9">
        <f t="shared" si="340"/>
        <v>6119.4000000000005</v>
      </c>
      <c r="N122" s="9">
        <f t="shared" si="340"/>
        <v>6502.4</v>
      </c>
      <c r="O122" s="9">
        <f t="shared" si="340"/>
        <v>7192.7</v>
      </c>
      <c r="P122" s="9">
        <f t="shared" si="340"/>
        <v>7783.0999999999985</v>
      </c>
      <c r="Q122" s="9">
        <f t="shared" si="340"/>
        <v>8673</v>
      </c>
      <c r="R122" s="9">
        <f t="shared" si="340"/>
        <v>9068</v>
      </c>
      <c r="S122" s="9">
        <f t="shared" si="340"/>
        <v>9029</v>
      </c>
      <c r="T122" s="9">
        <f t="shared" si="340"/>
        <v>9998</v>
      </c>
      <c r="U122" s="9">
        <f t="shared" si="340"/>
        <v>10027</v>
      </c>
      <c r="V122" s="9">
        <f t="shared" ref="V122" si="341">SUM(V119:V121)</f>
        <v>10902</v>
      </c>
      <c r="W122" s="9">
        <f t="shared" ref="W122:X122" si="342">SUM(W119:W121)</f>
        <v>14418</v>
      </c>
      <c r="X122" s="9">
        <f t="shared" si="342"/>
        <v>17502</v>
      </c>
      <c r="Y122" s="9">
        <f t="shared" ref="Y122:Z122" si="343">SUM(Y119:Y121)</f>
        <v>18451</v>
      </c>
      <c r="Z122" s="9">
        <f t="shared" si="343"/>
        <v>21192</v>
      </c>
      <c r="AA122" s="9">
        <f t="shared" ref="AA122:AB122" si="344">SUM(AA119:AA121)</f>
        <v>22300.000000000004</v>
      </c>
      <c r="AB122" s="9">
        <f t="shared" si="344"/>
        <v>22500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s="2" customFormat="1" ht="21.9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spans="1:38" s="2" customFormat="1" ht="21.95" customHeight="1" x14ac:dyDescent="0.25">
      <c r="A124" s="16" t="s">
        <v>31</v>
      </c>
      <c r="B124" s="7"/>
      <c r="C124" s="7"/>
      <c r="D124" s="7"/>
      <c r="E124" s="7"/>
      <c r="F124" s="7"/>
      <c r="G124" s="7">
        <f>+G111/(AVERAGE(F122:G122))</f>
        <v>0.13561592333716704</v>
      </c>
      <c r="H124" s="7">
        <f>+H111/(AVERAGE(G122:H122))</f>
        <v>0.14495429843813393</v>
      </c>
      <c r="I124" s="7">
        <f>+I111/(AVERAGE(H122:I122))</f>
        <v>0.15133729131014065</v>
      </c>
      <c r="J124" s="7">
        <f t="shared" ref="J124:P124" si="345">+J111/(AVERAGE(I122:J122))</f>
        <v>0.12554140999897165</v>
      </c>
      <c r="K124" s="7">
        <f t="shared" si="345"/>
        <v>0.12299013152071886</v>
      </c>
      <c r="L124" s="7">
        <f t="shared" si="345"/>
        <v>0.11488912041005761</v>
      </c>
      <c r="M124" s="7">
        <f t="shared" si="345"/>
        <v>0.13938901857302344</v>
      </c>
      <c r="N124" s="7">
        <f t="shared" si="345"/>
        <v>0.16791082591167089</v>
      </c>
      <c r="O124" s="7">
        <f t="shared" si="345"/>
        <v>0.15208215148649237</v>
      </c>
      <c r="P124" s="7">
        <f t="shared" si="345"/>
        <v>0.14187600439820702</v>
      </c>
      <c r="Q124" s="7">
        <f t="shared" ref="Q124:U124" si="346">+Q111/(AVERAGE(P122:Q122))</f>
        <v>0.15803612819347126</v>
      </c>
      <c r="R124" s="7">
        <f t="shared" si="346"/>
        <v>0.13107110960069357</v>
      </c>
      <c r="S124" s="7">
        <f t="shared" si="346"/>
        <v>0.15026957132824043</v>
      </c>
      <c r="T124" s="7">
        <f t="shared" si="346"/>
        <v>0.16902323202130259</v>
      </c>
      <c r="U124" s="7">
        <f t="shared" si="346"/>
        <v>0.17832902222420743</v>
      </c>
      <c r="V124" s="7">
        <f t="shared" ref="V124:AB124" si="347">+V111/(AVERAGE(U122:V122))</f>
        <v>0.20629410748610758</v>
      </c>
      <c r="W124" s="7">
        <f>+W111/(AVERAGE(W122:W122))</f>
        <v>0.26204968829879183</v>
      </c>
      <c r="X124" s="7">
        <f t="shared" si="347"/>
        <v>0.2575455897989804</v>
      </c>
      <c r="Y124" s="7">
        <f t="shared" si="347"/>
        <v>0.28371981317591782</v>
      </c>
      <c r="Z124" s="7">
        <f t="shared" si="347"/>
        <v>0.29662438153376025</v>
      </c>
      <c r="AA124" s="7">
        <f t="shared" si="347"/>
        <v>0.29654849051569182</v>
      </c>
      <c r="AB124" s="7">
        <f t="shared" si="347"/>
        <v>0.32144783205078648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s="2" customFormat="1" ht="21.95" customHeight="1" x14ac:dyDescent="0.25">
      <c r="A125" s="16"/>
      <c r="B125" s="1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38" s="2" customFormat="1" ht="21.95" customHeight="1" x14ac:dyDescent="0.25"/>
    <row r="127" spans="1:38" s="2" customFormat="1" ht="21.95" customHeight="1" x14ac:dyDescent="0.25">
      <c r="A127" s="28" t="s">
        <v>49</v>
      </c>
      <c r="B127" s="30"/>
      <c r="C127" s="30"/>
      <c r="D127" s="30"/>
      <c r="E127" s="30">
        <v>161.80000000000001</v>
      </c>
      <c r="F127" s="30">
        <v>181.8</v>
      </c>
      <c r="G127" s="30">
        <v>196.3</v>
      </c>
      <c r="H127" s="30">
        <v>224.8</v>
      </c>
      <c r="I127" s="30">
        <v>254.4</v>
      </c>
      <c r="J127" s="30">
        <v>301.3</v>
      </c>
      <c r="K127" s="30">
        <v>341.8</v>
      </c>
      <c r="L127" s="30">
        <v>391.3</v>
      </c>
      <c r="M127" s="30">
        <v>440.7</v>
      </c>
      <c r="N127" s="30">
        <v>481.8</v>
      </c>
      <c r="O127" s="30">
        <v>515.29999999999995</v>
      </c>
      <c r="P127" s="30">
        <v>566.4</v>
      </c>
      <c r="Q127" s="30">
        <v>653</v>
      </c>
      <c r="R127" s="30">
        <v>728</v>
      </c>
      <c r="S127" s="30">
        <v>795</v>
      </c>
      <c r="T127" s="30">
        <v>855</v>
      </c>
      <c r="U127" s="30">
        <v>908</v>
      </c>
      <c r="V127" s="30">
        <v>946</v>
      </c>
      <c r="W127" s="30">
        <f t="shared" ref="W127:Y127" si="348">+W46</f>
        <v>1492</v>
      </c>
      <c r="X127" s="30">
        <f t="shared" si="348"/>
        <v>1645</v>
      </c>
      <c r="Y127" s="30">
        <f t="shared" si="348"/>
        <v>1781</v>
      </c>
      <c r="Z127" s="30">
        <f t="shared" ref="Z127:AA127" si="349">+Z46</f>
        <v>1900</v>
      </c>
      <c r="AA127" s="30">
        <f t="shared" si="349"/>
        <v>2000</v>
      </c>
      <c r="AB127" s="30">
        <f t="shared" ref="AB127" si="350">+AB46</f>
        <v>2100</v>
      </c>
    </row>
    <row r="128" spans="1:38" s="2" customFormat="1" ht="21.95" customHeight="1" x14ac:dyDescent="0.25">
      <c r="A128" s="9" t="s">
        <v>0</v>
      </c>
      <c r="B128" s="22"/>
      <c r="C128" s="22"/>
      <c r="D128" s="22"/>
      <c r="E128" s="22">
        <f>+E21+E127</f>
        <v>691.8</v>
      </c>
      <c r="F128" s="22">
        <f t="shared" ref="F128:Y128" si="351">+F21+F127</f>
        <v>864.8</v>
      </c>
      <c r="G128" s="22">
        <f t="shared" si="351"/>
        <v>1016.3</v>
      </c>
      <c r="H128" s="22">
        <f t="shared" si="351"/>
        <v>1172.8</v>
      </c>
      <c r="I128" s="22">
        <f t="shared" si="351"/>
        <v>1340.4</v>
      </c>
      <c r="J128" s="22">
        <f t="shared" si="351"/>
        <v>1371.3</v>
      </c>
      <c r="K128" s="22">
        <f t="shared" si="351"/>
        <v>1544.8</v>
      </c>
      <c r="L128" s="22">
        <f t="shared" si="351"/>
        <v>1605.3</v>
      </c>
      <c r="M128" s="22">
        <f t="shared" si="351"/>
        <v>1857.7</v>
      </c>
      <c r="N128" s="22">
        <f t="shared" si="351"/>
        <v>2025.7999999999981</v>
      </c>
      <c r="O128" s="22">
        <f t="shared" si="351"/>
        <v>2188.8999999999969</v>
      </c>
      <c r="P128" s="22">
        <f t="shared" si="351"/>
        <v>2243.8000000000015</v>
      </c>
      <c r="Q128" s="22">
        <f t="shared" si="351"/>
        <v>2679</v>
      </c>
      <c r="R128" s="22">
        <f t="shared" si="351"/>
        <v>2563</v>
      </c>
      <c r="S128" s="22">
        <f t="shared" si="351"/>
        <v>2906</v>
      </c>
      <c r="T128" s="22">
        <f t="shared" si="351"/>
        <v>3340</v>
      </c>
      <c r="U128" s="22">
        <f t="shared" si="351"/>
        <v>3704</v>
      </c>
      <c r="V128" s="22">
        <f t="shared" si="351"/>
        <v>4050</v>
      </c>
      <c r="W128" s="22">
        <f t="shared" si="351"/>
        <v>6352</v>
      </c>
      <c r="X128" s="22">
        <f t="shared" si="351"/>
        <v>7080</v>
      </c>
      <c r="Y128" s="22">
        <f t="shared" si="351"/>
        <v>8489</v>
      </c>
      <c r="Z128" s="22">
        <f t="shared" ref="Z128:AA128" si="352">+Z21+Z127</f>
        <v>9693</v>
      </c>
      <c r="AA128" s="22">
        <f t="shared" si="352"/>
        <v>10549.935287494096</v>
      </c>
      <c r="AB128" s="22">
        <f t="shared" ref="AB128" si="353">+AB21+AB127</f>
        <v>11636.99528203658</v>
      </c>
    </row>
    <row r="129" spans="1:28" s="2" customFormat="1" ht="21.95" customHeight="1" x14ac:dyDescent="0.25">
      <c r="A129" s="9" t="s">
        <v>55</v>
      </c>
      <c r="B129" s="22"/>
      <c r="C129" s="22"/>
      <c r="D129" s="22"/>
      <c r="E129" s="22"/>
      <c r="F129" s="7">
        <f>+F128/E128-1</f>
        <v>0.25007227522405318</v>
      </c>
      <c r="G129" s="7">
        <f>+G128/F128-1</f>
        <v>0.17518501387604068</v>
      </c>
      <c r="H129" s="7">
        <f t="shared" ref="H129:V129" si="354">+H128/G128-1</f>
        <v>0.1539899635934272</v>
      </c>
      <c r="I129" s="7">
        <f t="shared" si="354"/>
        <v>0.14290586630286506</v>
      </c>
      <c r="J129" s="7">
        <f t="shared" si="354"/>
        <v>2.3052820053715228E-2</v>
      </c>
      <c r="K129" s="7">
        <f t="shared" si="354"/>
        <v>0.12652227813024131</v>
      </c>
      <c r="L129" s="7">
        <f t="shared" si="354"/>
        <v>3.9163645779388911E-2</v>
      </c>
      <c r="M129" s="7">
        <f t="shared" si="354"/>
        <v>0.15722917834672656</v>
      </c>
      <c r="N129" s="7">
        <f t="shared" si="354"/>
        <v>9.0488238143940469E-2</v>
      </c>
      <c r="O129" s="7">
        <f t="shared" si="354"/>
        <v>8.0511402902556428E-2</v>
      </c>
      <c r="P129" s="7">
        <f t="shared" si="354"/>
        <v>2.5081090958931407E-2</v>
      </c>
      <c r="Q129" s="7">
        <f t="shared" si="354"/>
        <v>0.19395668063107152</v>
      </c>
      <c r="R129" s="7">
        <f t="shared" si="354"/>
        <v>-4.3299738708473257E-2</v>
      </c>
      <c r="S129" s="7">
        <f t="shared" si="354"/>
        <v>0.13382754584471312</v>
      </c>
      <c r="T129" s="7">
        <f t="shared" si="354"/>
        <v>0.14934618031658631</v>
      </c>
      <c r="U129" s="7">
        <f t="shared" si="354"/>
        <v>0.10898203592814371</v>
      </c>
      <c r="V129" s="7">
        <f t="shared" si="354"/>
        <v>9.3412526997840084E-2</v>
      </c>
      <c r="W129" s="7" t="e">
        <f>+W128/#REF!-1</f>
        <v>#REF!</v>
      </c>
      <c r="X129" s="7">
        <f t="shared" ref="X129" si="355">+X128/W128-1</f>
        <v>0.11460957178841302</v>
      </c>
      <c r="Y129" s="7">
        <f t="shared" ref="Y129:AB129" si="356">+Y128/X128-1</f>
        <v>0.19901129943502816</v>
      </c>
      <c r="Z129" s="7">
        <f t="shared" si="356"/>
        <v>0.14183060431146188</v>
      </c>
      <c r="AA129" s="7">
        <f t="shared" si="356"/>
        <v>8.840764340184637E-2</v>
      </c>
      <c r="AB129" s="7">
        <f t="shared" si="356"/>
        <v>0.10303949407453583</v>
      </c>
    </row>
    <row r="130" spans="1:28" s="2" customFormat="1" ht="21.95" customHeight="1" x14ac:dyDescent="0.25">
      <c r="A130" s="9" t="s">
        <v>56</v>
      </c>
      <c r="B130" s="22"/>
      <c r="C130" s="22"/>
      <c r="D130" s="22"/>
      <c r="E130" s="22"/>
      <c r="F130" s="22"/>
      <c r="G130" s="31">
        <f>+G124</f>
        <v>0.13561592333716704</v>
      </c>
      <c r="H130" s="31">
        <f t="shared" ref="H130:Y130" si="357">+H124</f>
        <v>0.14495429843813393</v>
      </c>
      <c r="I130" s="31">
        <f t="shared" si="357"/>
        <v>0.15133729131014065</v>
      </c>
      <c r="J130" s="31">
        <f t="shared" si="357"/>
        <v>0.12554140999897165</v>
      </c>
      <c r="K130" s="31">
        <f t="shared" si="357"/>
        <v>0.12299013152071886</v>
      </c>
      <c r="L130" s="31">
        <f t="shared" si="357"/>
        <v>0.11488912041005761</v>
      </c>
      <c r="M130" s="31">
        <f t="shared" si="357"/>
        <v>0.13938901857302344</v>
      </c>
      <c r="N130" s="31">
        <f t="shared" si="357"/>
        <v>0.16791082591167089</v>
      </c>
      <c r="O130" s="31">
        <f t="shared" si="357"/>
        <v>0.15208215148649237</v>
      </c>
      <c r="P130" s="31">
        <f t="shared" si="357"/>
        <v>0.14187600439820702</v>
      </c>
      <c r="Q130" s="31">
        <f t="shared" si="357"/>
        <v>0.15803612819347126</v>
      </c>
      <c r="R130" s="31">
        <f t="shared" si="357"/>
        <v>0.13107110960069357</v>
      </c>
      <c r="S130" s="31">
        <f t="shared" si="357"/>
        <v>0.15026957132824043</v>
      </c>
      <c r="T130" s="31">
        <f t="shared" si="357"/>
        <v>0.16902323202130259</v>
      </c>
      <c r="U130" s="31">
        <f t="shared" si="357"/>
        <v>0.17832902222420743</v>
      </c>
      <c r="V130" s="31">
        <f t="shared" si="357"/>
        <v>0.20629410748610758</v>
      </c>
      <c r="W130" s="31">
        <f t="shared" si="357"/>
        <v>0.26204968829879183</v>
      </c>
      <c r="X130" s="31">
        <f t="shared" si="357"/>
        <v>0.2575455897989804</v>
      </c>
      <c r="Y130" s="31">
        <f t="shared" si="357"/>
        <v>0.28371981317591782</v>
      </c>
      <c r="Z130" s="31">
        <f t="shared" ref="Z130:AA130" si="358">+Z124</f>
        <v>0.29662438153376025</v>
      </c>
      <c r="AA130" s="31">
        <f t="shared" si="358"/>
        <v>0.29654849051569182</v>
      </c>
      <c r="AB130" s="31">
        <f t="shared" ref="AB130" si="359">+AB124</f>
        <v>0.32144783205078648</v>
      </c>
    </row>
    <row r="131" spans="1:28" s="2" customFormat="1" ht="21.95" customHeight="1" x14ac:dyDescent="0.25">
      <c r="A131" s="9" t="s">
        <v>5</v>
      </c>
      <c r="B131" s="22"/>
      <c r="C131" s="22"/>
      <c r="D131" s="22"/>
      <c r="E131" s="22"/>
      <c r="F131" s="22">
        <v>18</v>
      </c>
      <c r="G131" s="22">
        <v>28</v>
      </c>
      <c r="H131" s="22">
        <v>38</v>
      </c>
      <c r="I131" s="22">
        <v>35</v>
      </c>
      <c r="J131" s="22">
        <v>40</v>
      </c>
      <c r="K131" s="22">
        <v>35</v>
      </c>
      <c r="L131" s="22">
        <v>35</v>
      </c>
      <c r="M131" s="22">
        <v>41</v>
      </c>
      <c r="N131" s="22">
        <v>45</v>
      </c>
      <c r="O131" s="22">
        <v>52</v>
      </c>
      <c r="P131" s="22">
        <v>60</v>
      </c>
      <c r="Q131" s="22">
        <v>68</v>
      </c>
      <c r="R131" s="22">
        <v>56</v>
      </c>
      <c r="S131" s="22">
        <v>60</v>
      </c>
      <c r="T131" s="22">
        <v>80</v>
      </c>
      <c r="U131" s="22">
        <v>95</v>
      </c>
      <c r="V131" s="22">
        <v>118</v>
      </c>
      <c r="W131" s="2">
        <v>275</v>
      </c>
      <c r="X131" s="2">
        <v>309</v>
      </c>
      <c r="Y131" s="2">
        <v>450</v>
      </c>
      <c r="Z131" s="2">
        <v>494</v>
      </c>
      <c r="AA131" s="2">
        <v>494</v>
      </c>
      <c r="AB131" s="2">
        <v>494</v>
      </c>
    </row>
    <row r="132" spans="1:28" s="2" customFormat="1" ht="21.95" customHeight="1" x14ac:dyDescent="0.25">
      <c r="A132" s="9" t="s">
        <v>54</v>
      </c>
      <c r="B132" s="22"/>
      <c r="C132" s="22"/>
      <c r="D132" s="22"/>
      <c r="E132" s="30"/>
      <c r="F132" s="30">
        <f>+F95+F97-F81-F82</f>
        <v>767</v>
      </c>
      <c r="G132" s="30">
        <f t="shared" ref="G132:Y132" si="360">+G95+G97-G81-G82</f>
        <v>492.5</v>
      </c>
      <c r="H132" s="30">
        <f t="shared" si="360"/>
        <v>221.59999999999997</v>
      </c>
      <c r="I132" s="30">
        <f t="shared" si="360"/>
        <v>227</v>
      </c>
      <c r="J132" s="30">
        <f t="shared" si="360"/>
        <v>446.4</v>
      </c>
      <c r="K132" s="30">
        <f t="shared" si="360"/>
        <v>508.89999999999986</v>
      </c>
      <c r="L132" s="30">
        <f t="shared" si="360"/>
        <v>-200.90000000000009</v>
      </c>
      <c r="M132" s="30">
        <f t="shared" si="360"/>
        <v>-1808.8999999999999</v>
      </c>
      <c r="N132" s="30">
        <f t="shared" si="360"/>
        <v>-2691.2</v>
      </c>
      <c r="O132" s="30">
        <f t="shared" si="360"/>
        <v>-2267.8000000000002</v>
      </c>
      <c r="P132" s="30">
        <f t="shared" si="360"/>
        <v>-1133.8</v>
      </c>
      <c r="Q132" s="30">
        <f t="shared" si="360"/>
        <v>-929</v>
      </c>
      <c r="R132" s="30">
        <f t="shared" si="360"/>
        <v>-1424</v>
      </c>
      <c r="S132" s="30">
        <f t="shared" si="360"/>
        <v>-2582</v>
      </c>
      <c r="T132" s="30">
        <f t="shared" si="360"/>
        <v>-3460</v>
      </c>
      <c r="U132" s="30">
        <f t="shared" si="360"/>
        <v>-3472</v>
      </c>
      <c r="V132" s="30">
        <f t="shared" si="360"/>
        <v>-1126</v>
      </c>
      <c r="W132" s="30">
        <f t="shared" si="360"/>
        <v>-2621</v>
      </c>
      <c r="X132" s="30">
        <f t="shared" si="360"/>
        <v>-5696</v>
      </c>
      <c r="Y132" s="30">
        <f t="shared" si="360"/>
        <v>-4684</v>
      </c>
      <c r="Z132" s="30">
        <f t="shared" ref="Z132:AA132" si="361">+Z95+Z97-Z81-Z82</f>
        <v>-4492</v>
      </c>
      <c r="AA132" s="30">
        <f t="shared" si="361"/>
        <v>-8200.7014656205683</v>
      </c>
      <c r="AB132" s="30">
        <f t="shared" ref="AB132" si="362">+AB95+AB97-AB81-AB82</f>
        <v>-13130.332903558185</v>
      </c>
    </row>
    <row r="133" spans="1:28" s="2" customFormat="1" ht="21.95" customHeight="1" x14ac:dyDescent="0.25">
      <c r="A133" s="9" t="s">
        <v>1</v>
      </c>
      <c r="B133" s="22"/>
      <c r="C133" s="22"/>
      <c r="D133" s="22"/>
      <c r="E133" s="22"/>
      <c r="F133" s="30">
        <f>+F32*F131</f>
        <v>8087.4000000000005</v>
      </c>
      <c r="G133" s="30">
        <f t="shared" ref="G133:Y133" si="363">+G32*G131</f>
        <v>12975.199999999999</v>
      </c>
      <c r="H133" s="30">
        <f t="shared" si="363"/>
        <v>17901.8</v>
      </c>
      <c r="I133" s="30">
        <f t="shared" si="363"/>
        <v>16649.5</v>
      </c>
      <c r="J133" s="30">
        <f t="shared" si="363"/>
        <v>19032</v>
      </c>
      <c r="K133" s="30">
        <f t="shared" si="363"/>
        <v>16775.5</v>
      </c>
      <c r="L133" s="30">
        <f t="shared" si="363"/>
        <v>16775.5</v>
      </c>
      <c r="M133" s="30">
        <f t="shared" si="363"/>
        <v>19905.5</v>
      </c>
      <c r="N133" s="30">
        <f t="shared" si="363"/>
        <v>22140</v>
      </c>
      <c r="O133" s="30">
        <f t="shared" si="363"/>
        <v>24975.600000000002</v>
      </c>
      <c r="P133" s="30">
        <f t="shared" si="363"/>
        <v>27456</v>
      </c>
      <c r="Q133" s="30">
        <f t="shared" si="363"/>
        <v>30205.599999999999</v>
      </c>
      <c r="R133" s="30">
        <f t="shared" si="363"/>
        <v>24668</v>
      </c>
      <c r="S133" s="30">
        <f t="shared" si="363"/>
        <v>26760</v>
      </c>
      <c r="T133" s="30">
        <f t="shared" si="363"/>
        <v>35448</v>
      </c>
      <c r="U133" s="30">
        <f t="shared" si="363"/>
        <v>41743</v>
      </c>
      <c r="V133" s="30">
        <f t="shared" si="363"/>
        <v>51979</v>
      </c>
      <c r="W133" s="30">
        <f t="shared" si="363"/>
        <v>121797.5</v>
      </c>
      <c r="X133" s="30">
        <f t="shared" si="363"/>
        <v>137165.1</v>
      </c>
      <c r="Y133" s="30">
        <f t="shared" si="363"/>
        <v>199935</v>
      </c>
      <c r="Z133" s="30">
        <f t="shared" ref="Z133:AA133" si="364">+Z32*Z131</f>
        <v>219731.20000000001</v>
      </c>
      <c r="AA133" s="30">
        <f t="shared" si="364"/>
        <v>218348</v>
      </c>
      <c r="AB133" s="30">
        <f t="shared" ref="AB133" si="365">+AB32*AB131</f>
        <v>218348</v>
      </c>
    </row>
    <row r="134" spans="1:28" s="2" customFormat="1" ht="21.95" customHeight="1" x14ac:dyDescent="0.25">
      <c r="A134" s="9" t="s">
        <v>36</v>
      </c>
      <c r="B134" s="9"/>
      <c r="C134" s="9"/>
      <c r="D134" s="9"/>
      <c r="E134" s="9"/>
      <c r="F134" s="9">
        <f>+F132+F133</f>
        <v>8854.4000000000015</v>
      </c>
      <c r="G134" s="9">
        <f t="shared" ref="G134:V134" si="366">+G132+G133</f>
        <v>13467.699999999999</v>
      </c>
      <c r="H134" s="9">
        <f t="shared" si="366"/>
        <v>18123.399999999998</v>
      </c>
      <c r="I134" s="9">
        <f t="shared" si="366"/>
        <v>16876.5</v>
      </c>
      <c r="J134" s="9">
        <f t="shared" si="366"/>
        <v>19478.400000000001</v>
      </c>
      <c r="K134" s="9">
        <f t="shared" si="366"/>
        <v>17284.400000000001</v>
      </c>
      <c r="L134" s="9">
        <f t="shared" si="366"/>
        <v>16574.599999999999</v>
      </c>
      <c r="M134" s="9">
        <f t="shared" si="366"/>
        <v>18096.599999999999</v>
      </c>
      <c r="N134" s="9">
        <f t="shared" si="366"/>
        <v>19448.8</v>
      </c>
      <c r="O134" s="9">
        <f t="shared" si="366"/>
        <v>22707.800000000003</v>
      </c>
      <c r="P134" s="9">
        <f t="shared" si="366"/>
        <v>26322.2</v>
      </c>
      <c r="Q134" s="9">
        <f t="shared" si="366"/>
        <v>29276.6</v>
      </c>
      <c r="R134" s="9">
        <f t="shared" si="366"/>
        <v>23244</v>
      </c>
      <c r="S134" s="9">
        <f t="shared" si="366"/>
        <v>24178</v>
      </c>
      <c r="T134" s="9">
        <f t="shared" si="366"/>
        <v>31988</v>
      </c>
      <c r="U134" s="9">
        <f t="shared" si="366"/>
        <v>38271</v>
      </c>
      <c r="V134" s="9">
        <f t="shared" si="366"/>
        <v>50853</v>
      </c>
      <c r="W134" s="28">
        <f t="shared" ref="W134:X134" si="367">+W132+W133</f>
        <v>119176.5</v>
      </c>
      <c r="X134" s="28">
        <f t="shared" si="367"/>
        <v>131469.1</v>
      </c>
      <c r="Y134" s="28">
        <f t="shared" ref="Y134:Z134" si="368">+Y132+Y133</f>
        <v>195251</v>
      </c>
      <c r="Z134" s="28">
        <f t="shared" si="368"/>
        <v>215239.2</v>
      </c>
    </row>
    <row r="135" spans="1:28" s="2" customFormat="1" ht="21.95" customHeight="1" x14ac:dyDescent="0.25">
      <c r="A135" s="2" t="s">
        <v>37</v>
      </c>
      <c r="B135" s="25"/>
      <c r="F135" s="25">
        <f>+F134/G128</f>
        <v>8.7123880743874853</v>
      </c>
      <c r="G135" s="25">
        <f t="shared" ref="G135:U135" si="369">+G134/H128</f>
        <v>11.48337312414734</v>
      </c>
      <c r="H135" s="25">
        <f t="shared" si="369"/>
        <v>13.520889286780063</v>
      </c>
      <c r="I135" s="25">
        <f t="shared" si="369"/>
        <v>12.306935025158609</v>
      </c>
      <c r="J135" s="25">
        <f t="shared" si="369"/>
        <v>12.609010875194201</v>
      </c>
      <c r="K135" s="25">
        <f t="shared" si="369"/>
        <v>10.767084034136923</v>
      </c>
      <c r="L135" s="25">
        <f t="shared" si="369"/>
        <v>8.9221079829897167</v>
      </c>
      <c r="M135" s="25">
        <f t="shared" si="369"/>
        <v>8.933063481093896</v>
      </c>
      <c r="N135" s="25">
        <f t="shared" si="369"/>
        <v>8.8851934761752602</v>
      </c>
      <c r="O135" s="25">
        <f t="shared" si="369"/>
        <v>10.120242445850783</v>
      </c>
      <c r="P135" s="25">
        <f t="shared" si="369"/>
        <v>9.8253826054497946</v>
      </c>
      <c r="Q135" s="25">
        <f t="shared" si="369"/>
        <v>11.422785797893093</v>
      </c>
      <c r="R135" s="25">
        <f t="shared" si="369"/>
        <v>7.9986235375086032</v>
      </c>
      <c r="S135" s="25">
        <f t="shared" si="369"/>
        <v>7.2389221556886225</v>
      </c>
      <c r="T135" s="25">
        <f t="shared" si="369"/>
        <v>8.6360691144708426</v>
      </c>
      <c r="U135" s="25">
        <f t="shared" si="369"/>
        <v>9.44962962962963</v>
      </c>
      <c r="V135" s="25" t="e">
        <f>+V134/#REF!</f>
        <v>#REF!</v>
      </c>
      <c r="W135" s="25">
        <f t="shared" ref="W135" si="370">+W134/X128</f>
        <v>16.832838983050848</v>
      </c>
      <c r="X135" s="25">
        <f t="shared" ref="X135" si="371">+X134/Y128</f>
        <v>15.486994934621276</v>
      </c>
      <c r="Y135" s="25">
        <f t="shared" ref="Y135" si="372">+Y134/Z128</f>
        <v>20.143505622614256</v>
      </c>
      <c r="Z135" s="25">
        <f t="shared" ref="Z135" si="373">+Z134/AA128</f>
        <v>20.401945048435014</v>
      </c>
    </row>
    <row r="136" spans="1:28" s="2" customFormat="1" ht="21.95" customHeight="1" x14ac:dyDescent="0.25"/>
  </sheetData>
  <phoneticPr fontId="0" type="noConversion"/>
  <pageMargins left="0.75" right="0.75" top="1" bottom="1" header="0.5" footer="0.5"/>
  <pageSetup scale="40" orientation="landscape" horizontalDpi="4294967292" verticalDpi="4294967292"/>
  <headerFooter alignWithMargins="0"/>
  <ignoredErrors>
    <ignoredError sqref="AK12:AL12 AJ12" formulaRange="1"/>
    <ignoredError sqref="X16:AA16 X25:AA25 Z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54C9-6074-419B-8A2D-77C547A6EDB7}">
  <dimension ref="A1:AD48"/>
  <sheetViews>
    <sheetView topLeftCell="A40" workbookViewId="0">
      <selection activeCell="A50" sqref="A50"/>
    </sheetView>
  </sheetViews>
  <sheetFormatPr defaultRowHeight="16.5" x14ac:dyDescent="0.3"/>
  <cols>
    <col min="1" max="1" width="47.140625" style="40" customWidth="1"/>
    <col min="2" max="4" width="9.28515625" style="40" bestFit="1" customWidth="1"/>
    <col min="5" max="5" width="9.42578125" style="40" bestFit="1" customWidth="1"/>
    <col min="6" max="6" width="3.140625" style="40" customWidth="1"/>
    <col min="7" max="7" width="9.85546875" style="40" bestFit="1" customWidth="1"/>
    <col min="8" max="9" width="11.42578125" style="40" customWidth="1"/>
    <col min="10" max="10" width="11" style="40" customWidth="1"/>
    <col min="11" max="11" width="4" style="40" customWidth="1"/>
    <col min="12" max="13" width="12.28515625" style="40" bestFit="1" customWidth="1"/>
    <col min="14" max="14" width="12.28515625" style="40" customWidth="1"/>
    <col min="15" max="15" width="11.28515625" style="40" customWidth="1"/>
    <col min="16" max="16" width="9.140625" style="41"/>
    <col min="17" max="17" width="9.140625" style="40"/>
    <col min="18" max="18" width="15.85546875" style="40" customWidth="1"/>
    <col min="19" max="16384" width="9.140625" style="40"/>
  </cols>
  <sheetData>
    <row r="1" spans="1:30" x14ac:dyDescent="0.3">
      <c r="A1" s="41"/>
      <c r="B1" s="43"/>
      <c r="C1" s="43">
        <v>2021</v>
      </c>
      <c r="D1" s="44"/>
      <c r="E1" s="44"/>
      <c r="F1" s="44"/>
      <c r="G1" s="43"/>
      <c r="H1" s="43">
        <v>2022</v>
      </c>
      <c r="I1" s="44"/>
      <c r="J1" s="44"/>
      <c r="K1" s="44"/>
      <c r="L1" s="43"/>
      <c r="M1" s="43">
        <v>2023</v>
      </c>
      <c r="N1" s="44"/>
      <c r="O1" s="44"/>
      <c r="R1" s="40" t="s">
        <v>314</v>
      </c>
      <c r="S1" s="40">
        <f>1/7.1135</f>
        <v>0.14057777465382723</v>
      </c>
    </row>
    <row r="2" spans="1:30" x14ac:dyDescent="0.3">
      <c r="A2" s="41"/>
      <c r="B2" s="45" t="s">
        <v>57</v>
      </c>
      <c r="C2" s="45" t="s">
        <v>58</v>
      </c>
      <c r="D2" s="45" t="s">
        <v>59</v>
      </c>
      <c r="E2" s="45" t="s">
        <v>60</v>
      </c>
      <c r="F2" s="44"/>
      <c r="G2" s="45" t="s">
        <v>57</v>
      </c>
      <c r="H2" s="45" t="s">
        <v>58</v>
      </c>
      <c r="I2" s="45" t="s">
        <v>59</v>
      </c>
      <c r="J2" s="45" t="s">
        <v>60</v>
      </c>
      <c r="K2" s="44"/>
      <c r="L2" s="45" t="s">
        <v>307</v>
      </c>
      <c r="M2" s="45" t="s">
        <v>82</v>
      </c>
      <c r="N2" s="45" t="s">
        <v>83</v>
      </c>
      <c r="O2" s="45" t="s">
        <v>84</v>
      </c>
      <c r="P2" s="42" t="s">
        <v>85</v>
      </c>
    </row>
    <row r="3" spans="1:30" s="49" customFormat="1" x14ac:dyDescent="0.3">
      <c r="A3" s="49" t="s">
        <v>89</v>
      </c>
      <c r="B3" s="58">
        <v>7982333</v>
      </c>
      <c r="C3" s="58">
        <v>8448047</v>
      </c>
      <c r="D3" s="58">
        <v>9805301</v>
      </c>
      <c r="E3" s="58">
        <v>9900742</v>
      </c>
      <c r="F3" s="59"/>
      <c r="G3" s="58">
        <v>9910588</v>
      </c>
      <c r="H3" s="58">
        <v>10292364</v>
      </c>
      <c r="I3" s="58">
        <v>13002095</v>
      </c>
      <c r="J3" s="58">
        <v>16063514</v>
      </c>
      <c r="L3" s="60"/>
      <c r="M3" s="64"/>
      <c r="P3" s="61"/>
    </row>
    <row r="4" spans="1:30" x14ac:dyDescent="0.3">
      <c r="A4" s="40" t="s">
        <v>90</v>
      </c>
      <c r="B4" s="56">
        <v>6427527</v>
      </c>
      <c r="C4" s="56">
        <v>6874126</v>
      </c>
      <c r="D4" s="56">
        <v>7812139</v>
      </c>
      <c r="E4" s="56">
        <v>8201198</v>
      </c>
      <c r="F4" s="57"/>
      <c r="G4" s="56">
        <v>8463749</v>
      </c>
      <c r="H4" s="56">
        <v>8952061</v>
      </c>
      <c r="I4" s="56">
        <v>11267002</v>
      </c>
      <c r="J4" s="56">
        <v>15441756</v>
      </c>
    </row>
    <row r="5" spans="1:30" x14ac:dyDescent="0.3">
      <c r="A5" s="40" t="s">
        <v>91</v>
      </c>
      <c r="B5" s="56">
        <v>1554806</v>
      </c>
      <c r="C5" s="56">
        <v>1573921</v>
      </c>
      <c r="D5" s="56">
        <v>1993162</v>
      </c>
      <c r="E5" s="56">
        <v>1699544</v>
      </c>
      <c r="F5" s="57"/>
      <c r="G5" s="56">
        <v>1446839</v>
      </c>
      <c r="H5" s="56">
        <v>1340303</v>
      </c>
      <c r="I5" s="56">
        <v>1735093</v>
      </c>
      <c r="J5" s="56">
        <v>621758</v>
      </c>
    </row>
    <row r="6" spans="1:30" x14ac:dyDescent="0.3">
      <c r="A6" s="40" t="s">
        <v>313</v>
      </c>
      <c r="B6" s="55">
        <f>B5/B3</f>
        <v>0.1947808992684219</v>
      </c>
      <c r="C6" s="55">
        <f t="shared" ref="C6" si="0">C5/C3</f>
        <v>0.18630590005003522</v>
      </c>
      <c r="D6" s="55">
        <f t="shared" ref="D6" si="1">D5/D3</f>
        <v>0.20327392295249275</v>
      </c>
      <c r="E6" s="55">
        <f t="shared" ref="E6" si="2">E5/E3</f>
        <v>0.17165824541231353</v>
      </c>
      <c r="G6" s="55">
        <f>G5/G3</f>
        <v>0.14598921880316285</v>
      </c>
      <c r="H6" s="55">
        <f t="shared" ref="H6:J6" si="3">H5/H3</f>
        <v>0.13022304691128297</v>
      </c>
      <c r="I6" s="55">
        <f t="shared" si="3"/>
        <v>0.13344718678028425</v>
      </c>
      <c r="J6" s="55">
        <f t="shared" si="3"/>
        <v>3.870622579841497E-2</v>
      </c>
    </row>
    <row r="7" spans="1:30" s="49" customFormat="1" x14ac:dyDescent="0.3">
      <c r="A7" s="49" t="s">
        <v>92</v>
      </c>
      <c r="B7" s="58">
        <v>1850730</v>
      </c>
      <c r="C7" s="58">
        <v>2337244</v>
      </c>
      <c r="D7" s="58">
        <v>2985087</v>
      </c>
      <c r="E7" s="58">
        <v>4144675</v>
      </c>
      <c r="F7" s="59"/>
      <c r="G7" s="58">
        <v>3635504</v>
      </c>
      <c r="H7" s="58">
        <v>4185863</v>
      </c>
      <c r="I7" s="58">
        <v>5605393</v>
      </c>
      <c r="J7" s="58">
        <v>7357892</v>
      </c>
      <c r="P7" s="61"/>
    </row>
    <row r="8" spans="1:30" x14ac:dyDescent="0.3">
      <c r="A8" s="40" t="s">
        <v>287</v>
      </c>
      <c r="B8" s="56">
        <v>1197248</v>
      </c>
      <c r="C8" s="56">
        <v>1497760</v>
      </c>
      <c r="D8" s="56">
        <v>1824875</v>
      </c>
      <c r="E8" s="56">
        <v>2358249</v>
      </c>
      <c r="F8" s="57"/>
      <c r="G8" s="56">
        <v>2014804</v>
      </c>
      <c r="H8" s="56">
        <v>2282461</v>
      </c>
      <c r="I8" s="56">
        <v>2712483</v>
      </c>
      <c r="J8" s="56">
        <v>3527371</v>
      </c>
    </row>
    <row r="9" spans="1:30" x14ac:dyDescent="0.3">
      <c r="A9" s="40" t="s">
        <v>293</v>
      </c>
      <c r="B9" s="56">
        <v>686548</v>
      </c>
      <c r="C9" s="56">
        <v>883666</v>
      </c>
      <c r="D9" s="56">
        <v>1193122</v>
      </c>
      <c r="E9" s="56">
        <v>1828516</v>
      </c>
      <c r="F9" s="57"/>
      <c r="G9" s="56">
        <v>1761687</v>
      </c>
      <c r="H9" s="56">
        <v>2149479</v>
      </c>
      <c r="I9" s="56">
        <v>2944517</v>
      </c>
      <c r="J9" s="56">
        <v>3980578</v>
      </c>
    </row>
    <row r="10" spans="1:30" x14ac:dyDescent="0.3">
      <c r="A10" s="40" t="s">
        <v>295</v>
      </c>
      <c r="B10" s="56">
        <v>-33066</v>
      </c>
      <c r="C10" s="56">
        <v>-44182</v>
      </c>
      <c r="D10" s="56">
        <v>-32910</v>
      </c>
      <c r="E10" s="56">
        <v>-42090</v>
      </c>
      <c r="F10" s="57"/>
      <c r="G10" s="56">
        <v>-140987</v>
      </c>
      <c r="H10" s="56">
        <v>-246077</v>
      </c>
      <c r="I10" s="56">
        <v>-51607</v>
      </c>
      <c r="J10" s="56">
        <v>-150057</v>
      </c>
    </row>
    <row r="11" spans="1:30" s="49" customFormat="1" x14ac:dyDescent="0.3">
      <c r="A11" s="49" t="s">
        <v>93</v>
      </c>
      <c r="B11" s="58">
        <v>-295924</v>
      </c>
      <c r="C11" s="58">
        <v>-763323</v>
      </c>
      <c r="D11" s="58">
        <v>-991925</v>
      </c>
      <c r="E11" s="58">
        <v>-2445131</v>
      </c>
      <c r="F11" s="59"/>
      <c r="G11" s="58">
        <v>-2188665</v>
      </c>
      <c r="H11" s="58">
        <v>-2845560</v>
      </c>
      <c r="I11" s="58">
        <v>-3870300</v>
      </c>
      <c r="J11" s="58">
        <v>-6736134</v>
      </c>
      <c r="P11" s="61"/>
    </row>
    <row r="12" spans="1:30" x14ac:dyDescent="0.3">
      <c r="A12" s="40" t="s">
        <v>94</v>
      </c>
      <c r="B12" s="57"/>
      <c r="C12" s="57"/>
      <c r="D12" s="57"/>
      <c r="E12" s="57"/>
      <c r="F12" s="57"/>
      <c r="G12" s="56">
        <v>323349</v>
      </c>
      <c r="H12" s="56">
        <v>228151</v>
      </c>
      <c r="I12" s="56">
        <v>212644</v>
      </c>
      <c r="J12" s="56">
        <v>281291</v>
      </c>
      <c r="Z12" s="39"/>
      <c r="AA12" s="55"/>
      <c r="AB12" s="55"/>
      <c r="AC12" s="55"/>
      <c r="AD12" s="55"/>
    </row>
    <row r="13" spans="1:30" x14ac:dyDescent="0.3">
      <c r="A13" s="40" t="s">
        <v>296</v>
      </c>
      <c r="B13" s="57"/>
      <c r="C13" s="57"/>
      <c r="D13" s="57"/>
      <c r="E13" s="57"/>
      <c r="F13" s="57"/>
      <c r="G13" s="56">
        <v>400688</v>
      </c>
      <c r="H13" s="56">
        <v>292863</v>
      </c>
      <c r="I13" s="56">
        <v>313208</v>
      </c>
      <c r="J13" s="56">
        <v>351960</v>
      </c>
    </row>
    <row r="14" spans="1:30" x14ac:dyDescent="0.3">
      <c r="A14" s="40" t="s">
        <v>297</v>
      </c>
      <c r="B14" s="56">
        <v>423756</v>
      </c>
      <c r="C14" s="56">
        <v>60527</v>
      </c>
      <c r="D14" s="56">
        <v>77190</v>
      </c>
      <c r="E14" s="56">
        <v>75937</v>
      </c>
      <c r="F14" s="57"/>
      <c r="G14" s="56">
        <v>77339</v>
      </c>
      <c r="H14" s="56">
        <v>64712</v>
      </c>
      <c r="I14" s="56">
        <v>100564</v>
      </c>
      <c r="J14" s="56">
        <v>70669</v>
      </c>
    </row>
    <row r="15" spans="1:30" x14ac:dyDescent="0.3">
      <c r="A15" s="40" t="s">
        <v>95</v>
      </c>
      <c r="B15" s="57"/>
      <c r="C15" s="57"/>
      <c r="D15" s="57"/>
      <c r="E15" s="57"/>
      <c r="F15" s="57"/>
      <c r="G15" s="56">
        <v>113115</v>
      </c>
      <c r="H15" s="56">
        <v>-141902</v>
      </c>
      <c r="I15" s="56">
        <v>-443528</v>
      </c>
      <c r="J15" s="56">
        <v>685538</v>
      </c>
    </row>
    <row r="16" spans="1:30" x14ac:dyDescent="0.3">
      <c r="A16" s="40" t="s">
        <v>298</v>
      </c>
      <c r="B16" s="57"/>
      <c r="C16" s="57"/>
      <c r="D16" s="57"/>
      <c r="E16" s="57"/>
      <c r="F16" s="57"/>
      <c r="G16" s="56">
        <v>26229</v>
      </c>
      <c r="H16" s="56">
        <v>48053</v>
      </c>
      <c r="I16" s="56">
        <v>52054</v>
      </c>
      <c r="J16" s="56">
        <v>251439</v>
      </c>
    </row>
    <row r="17" spans="1:16" x14ac:dyDescent="0.3">
      <c r="A17" s="40" t="s">
        <v>299</v>
      </c>
      <c r="B17" s="57"/>
      <c r="C17" s="57"/>
      <c r="D17" s="57"/>
      <c r="E17" s="57"/>
      <c r="F17" s="57"/>
      <c r="G17" s="57" t="s">
        <v>101</v>
      </c>
      <c r="H17" s="57" t="s">
        <v>101</v>
      </c>
      <c r="I17" s="57" t="s">
        <v>101</v>
      </c>
      <c r="J17" s="56">
        <v>118400</v>
      </c>
    </row>
    <row r="18" spans="1:16" x14ac:dyDescent="0.3">
      <c r="A18" s="40" t="s">
        <v>300</v>
      </c>
      <c r="B18" s="57"/>
      <c r="C18" s="57"/>
      <c r="D18" s="57"/>
      <c r="E18" s="57"/>
      <c r="F18" s="57"/>
      <c r="G18" s="57" t="s">
        <v>101</v>
      </c>
      <c r="H18" s="57" t="s">
        <v>101</v>
      </c>
      <c r="I18" s="57" t="s">
        <v>101</v>
      </c>
      <c r="J18" s="56">
        <v>-118400</v>
      </c>
    </row>
    <row r="19" spans="1:16" x14ac:dyDescent="0.3">
      <c r="A19" s="40" t="s">
        <v>301</v>
      </c>
      <c r="B19" s="57"/>
      <c r="C19" s="57"/>
      <c r="D19" s="57"/>
      <c r="E19" s="57"/>
      <c r="F19" s="57"/>
      <c r="G19" s="56">
        <v>86886</v>
      </c>
      <c r="H19" s="56">
        <v>-189955</v>
      </c>
      <c r="I19" s="56">
        <v>-495582</v>
      </c>
      <c r="J19" s="56">
        <v>315699</v>
      </c>
    </row>
    <row r="20" spans="1:16" s="49" customFormat="1" x14ac:dyDescent="0.3">
      <c r="A20" s="49" t="s">
        <v>316</v>
      </c>
      <c r="B20" s="58">
        <v>-447091</v>
      </c>
      <c r="C20" s="58">
        <v>-585359</v>
      </c>
      <c r="D20" s="58">
        <v>-832052</v>
      </c>
      <c r="E20" s="58">
        <v>-2110182</v>
      </c>
      <c r="F20" s="59"/>
      <c r="G20" s="58">
        <v>-1752201</v>
      </c>
      <c r="H20" s="58">
        <v>-2759311</v>
      </c>
      <c r="I20" s="58">
        <v>-4101184</v>
      </c>
      <c r="J20" s="58">
        <v>-5769305</v>
      </c>
      <c r="P20" s="61"/>
    </row>
    <row r="21" spans="1:16" x14ac:dyDescent="0.3">
      <c r="A21" s="40" t="s">
        <v>97</v>
      </c>
      <c r="B21" s="56">
        <v>3957</v>
      </c>
      <c r="C21" s="56">
        <v>1811</v>
      </c>
      <c r="D21" s="56">
        <v>3250</v>
      </c>
      <c r="E21" s="56">
        <v>33247</v>
      </c>
      <c r="F21" s="57"/>
      <c r="G21" s="56">
        <v>30459</v>
      </c>
      <c r="H21" s="56">
        <v>-1791</v>
      </c>
      <c r="I21" s="56">
        <v>9639</v>
      </c>
      <c r="J21" s="56">
        <v>16796</v>
      </c>
    </row>
    <row r="22" spans="1:16" x14ac:dyDescent="0.3">
      <c r="A22" s="40" t="s">
        <v>98</v>
      </c>
      <c r="B22" s="57"/>
      <c r="C22" s="57"/>
      <c r="D22" s="57"/>
      <c r="E22" s="57"/>
      <c r="F22" s="57"/>
      <c r="G22" s="56">
        <v>-1825038</v>
      </c>
      <c r="H22" s="56">
        <v>-2745008</v>
      </c>
      <c r="I22" s="56">
        <v>-4142320</v>
      </c>
      <c r="J22" s="56">
        <v>-5847079</v>
      </c>
    </row>
    <row r="23" spans="1:16" x14ac:dyDescent="0.3">
      <c r="A23" s="40" t="s">
        <v>302</v>
      </c>
      <c r="B23" s="57"/>
      <c r="C23" s="57"/>
      <c r="D23" s="57"/>
      <c r="E23" s="57"/>
      <c r="F23" s="57"/>
      <c r="G23" s="56">
        <v>-1825038</v>
      </c>
      <c r="H23" s="56">
        <v>-2745008</v>
      </c>
      <c r="I23" s="56">
        <v>-4142320</v>
      </c>
      <c r="J23" s="56">
        <v>-5847079</v>
      </c>
    </row>
    <row r="24" spans="1:16" x14ac:dyDescent="0.3">
      <c r="A24" s="40" t="s">
        <v>303</v>
      </c>
      <c r="B24" s="57"/>
      <c r="C24" s="57"/>
      <c r="D24" s="57"/>
      <c r="E24" s="57"/>
      <c r="F24" s="57"/>
      <c r="G24" s="56">
        <v>-1782660</v>
      </c>
      <c r="H24" s="56">
        <v>-2757520</v>
      </c>
      <c r="I24" s="56">
        <v>-4110823</v>
      </c>
      <c r="J24" s="56">
        <v>-5786101</v>
      </c>
    </row>
    <row r="25" spans="1:16" x14ac:dyDescent="0.3">
      <c r="A25" s="40" t="s">
        <v>304</v>
      </c>
      <c r="B25" s="57"/>
      <c r="C25" s="57"/>
      <c r="D25" s="57"/>
      <c r="E25" s="57"/>
      <c r="F25" s="57"/>
      <c r="G25" s="56">
        <v>-1782660</v>
      </c>
      <c r="H25" s="56">
        <v>-2757520</v>
      </c>
      <c r="I25" s="56">
        <v>-4110823</v>
      </c>
      <c r="J25" s="56">
        <v>-5786101</v>
      </c>
    </row>
    <row r="26" spans="1:16" x14ac:dyDescent="0.3">
      <c r="A26" s="40" t="s">
        <v>305</v>
      </c>
      <c r="B26" s="57"/>
      <c r="C26" s="57"/>
      <c r="D26" s="57"/>
      <c r="E26" s="57"/>
      <c r="F26" s="57"/>
      <c r="G26" s="56">
        <v>-42378</v>
      </c>
      <c r="H26" s="56">
        <v>12512</v>
      </c>
      <c r="I26" s="56">
        <v>-31497</v>
      </c>
      <c r="J26" s="56">
        <v>-60978</v>
      </c>
    </row>
    <row r="27" spans="1:16" s="49" customFormat="1" x14ac:dyDescent="0.3">
      <c r="A27" s="49" t="s">
        <v>317</v>
      </c>
      <c r="B27" s="58">
        <v>-450964</v>
      </c>
      <c r="C27" s="58">
        <v>-587109</v>
      </c>
      <c r="D27" s="58">
        <v>-835316</v>
      </c>
      <c r="E27" s="58">
        <v>-2112341</v>
      </c>
      <c r="F27" s="59"/>
      <c r="G27" s="58">
        <v>-1825038</v>
      </c>
      <c r="H27" s="58">
        <v>-2745008</v>
      </c>
      <c r="I27" s="58">
        <v>-4142320</v>
      </c>
      <c r="J27" s="58">
        <v>-5847079</v>
      </c>
      <c r="P27" s="61"/>
    </row>
    <row r="28" spans="1:16" x14ac:dyDescent="0.3">
      <c r="A28" s="40" t="s">
        <v>100</v>
      </c>
      <c r="B28" s="57">
        <v>-0.28999999999999998</v>
      </c>
      <c r="C28" s="57">
        <v>-0.42</v>
      </c>
      <c r="D28" s="57">
        <v>-0.53</v>
      </c>
      <c r="E28" s="57">
        <v>-1.36</v>
      </c>
      <c r="F28" s="57"/>
      <c r="G28" s="57">
        <v>-1.1200000000000001</v>
      </c>
      <c r="H28" s="57">
        <v>-1.68</v>
      </c>
      <c r="I28" s="57">
        <v>-2.5299999999999998</v>
      </c>
      <c r="J28" s="57">
        <v>-3.55</v>
      </c>
    </row>
    <row r="29" spans="1:16" x14ac:dyDescent="0.3">
      <c r="A29" s="40" t="s">
        <v>102</v>
      </c>
      <c r="B29" s="57">
        <v>-0.28999999999999998</v>
      </c>
      <c r="C29" s="57">
        <v>-0.42</v>
      </c>
      <c r="D29" s="57">
        <v>-0.53</v>
      </c>
      <c r="E29" s="57">
        <v>-1.36</v>
      </c>
      <c r="F29" s="57"/>
      <c r="G29" s="57">
        <v>-1.1200000000000001</v>
      </c>
      <c r="H29" s="57">
        <v>-1.68</v>
      </c>
      <c r="I29" s="57">
        <v>-2.5299999999999998</v>
      </c>
      <c r="J29" s="57">
        <v>-3.55</v>
      </c>
    </row>
    <row r="30" spans="1:16" x14ac:dyDescent="0.3">
      <c r="A30" s="40" t="s">
        <v>103</v>
      </c>
      <c r="B30" s="56">
        <v>1551918.89</v>
      </c>
      <c r="C30" s="56">
        <v>1563893.63</v>
      </c>
      <c r="D30" s="56">
        <v>1563893.63</v>
      </c>
      <c r="E30" s="56">
        <v>1607187.12</v>
      </c>
      <c r="F30" s="57"/>
      <c r="G30" s="56">
        <v>1624805</v>
      </c>
      <c r="H30" s="56">
        <v>1632804</v>
      </c>
      <c r="I30" s="56">
        <v>1640002</v>
      </c>
      <c r="J30" s="56">
        <v>1647356</v>
      </c>
    </row>
    <row r="31" spans="1:16" x14ac:dyDescent="0.3">
      <c r="A31" s="40" t="s">
        <v>104</v>
      </c>
      <c r="B31" s="56">
        <v>1551918.89</v>
      </c>
      <c r="C31" s="56">
        <v>1563893.63</v>
      </c>
      <c r="D31" s="56">
        <v>1563893.63</v>
      </c>
      <c r="E31" s="56">
        <v>1607187.12</v>
      </c>
      <c r="F31" s="57"/>
      <c r="G31" s="56">
        <v>1624805</v>
      </c>
      <c r="H31" s="56">
        <v>1632804</v>
      </c>
      <c r="I31" s="56">
        <v>1640002</v>
      </c>
      <c r="J31" s="56">
        <v>1647356</v>
      </c>
    </row>
    <row r="32" spans="1:16" x14ac:dyDescent="0.3">
      <c r="A32" s="40" t="s">
        <v>105</v>
      </c>
      <c r="B32" s="56"/>
      <c r="C32" s="57"/>
      <c r="D32" s="57"/>
      <c r="E32" s="57"/>
      <c r="F32" s="57"/>
      <c r="G32" s="56">
        <v>-2188665</v>
      </c>
      <c r="H32" s="56">
        <v>-2845560</v>
      </c>
      <c r="I32" s="56">
        <v>-3870300</v>
      </c>
      <c r="J32" s="56">
        <v>-6736134</v>
      </c>
    </row>
    <row r="33" spans="1:10" x14ac:dyDescent="0.3">
      <c r="A33" s="40" t="s">
        <v>107</v>
      </c>
      <c r="B33" s="56"/>
      <c r="C33" s="57"/>
      <c r="D33" s="57"/>
      <c r="E33" s="57"/>
      <c r="F33" s="57"/>
      <c r="G33" s="56">
        <v>12099253</v>
      </c>
      <c r="H33" s="56">
        <v>13137924</v>
      </c>
      <c r="I33" s="56">
        <v>16872395</v>
      </c>
      <c r="J33" s="56">
        <v>22799648</v>
      </c>
    </row>
    <row r="34" spans="1:10" x14ac:dyDescent="0.3">
      <c r="A34" s="40" t="s">
        <v>108</v>
      </c>
      <c r="B34" s="56"/>
      <c r="C34" s="57"/>
      <c r="D34" s="57"/>
      <c r="E34" s="57"/>
      <c r="F34" s="57"/>
      <c r="G34" s="56">
        <v>-1825038</v>
      </c>
      <c r="H34" s="56">
        <v>-2745008</v>
      </c>
      <c r="I34" s="56">
        <v>-4142320</v>
      </c>
      <c r="J34" s="56">
        <v>-5847079</v>
      </c>
    </row>
    <row r="35" spans="1:10" x14ac:dyDescent="0.3">
      <c r="A35" s="40" t="s">
        <v>109</v>
      </c>
      <c r="B35" s="56"/>
      <c r="C35" s="57"/>
      <c r="D35" s="57"/>
      <c r="E35" s="57"/>
      <c r="F35" s="57"/>
      <c r="G35" s="56">
        <v>-1825038</v>
      </c>
      <c r="H35" s="56">
        <v>-2745008</v>
      </c>
      <c r="I35" s="56">
        <v>-4142320</v>
      </c>
      <c r="J35" s="56">
        <v>-5918119</v>
      </c>
    </row>
    <row r="36" spans="1:10" x14ac:dyDescent="0.3">
      <c r="A36" s="40" t="s">
        <v>110</v>
      </c>
      <c r="B36" s="56"/>
      <c r="C36" s="57"/>
      <c r="D36" s="57"/>
      <c r="E36" s="57"/>
      <c r="F36" s="57"/>
      <c r="G36" s="56">
        <v>400688</v>
      </c>
      <c r="H36" s="56">
        <v>292863</v>
      </c>
      <c r="I36" s="56">
        <v>313208</v>
      </c>
      <c r="J36" s="56">
        <v>351960</v>
      </c>
    </row>
    <row r="37" spans="1:10" x14ac:dyDescent="0.3">
      <c r="A37" s="40" t="s">
        <v>111</v>
      </c>
      <c r="B37" s="56"/>
      <c r="C37" s="57"/>
      <c r="D37" s="57"/>
      <c r="E37" s="57"/>
      <c r="F37" s="57"/>
      <c r="G37" s="56">
        <v>77339</v>
      </c>
      <c r="H37" s="56">
        <v>64712</v>
      </c>
      <c r="I37" s="56">
        <v>100564</v>
      </c>
      <c r="J37" s="56">
        <v>70669</v>
      </c>
    </row>
    <row r="38" spans="1:10" x14ac:dyDescent="0.3">
      <c r="A38" s="40" t="s">
        <v>112</v>
      </c>
      <c r="B38" s="56"/>
      <c r="C38" s="57"/>
      <c r="D38" s="57"/>
      <c r="E38" s="57"/>
      <c r="F38" s="57"/>
      <c r="G38" s="56">
        <v>323349</v>
      </c>
      <c r="H38" s="56">
        <v>228151</v>
      </c>
      <c r="I38" s="56">
        <v>212644</v>
      </c>
      <c r="J38" s="56">
        <v>281291</v>
      </c>
    </row>
    <row r="39" spans="1:10" x14ac:dyDescent="0.3">
      <c r="A39" s="40" t="s">
        <v>113</v>
      </c>
      <c r="B39" s="56"/>
      <c r="C39" s="57"/>
      <c r="D39" s="57"/>
      <c r="E39" s="57"/>
      <c r="F39" s="57"/>
      <c r="G39" s="56">
        <v>-1674862</v>
      </c>
      <c r="H39" s="56">
        <v>-2694599</v>
      </c>
      <c r="I39" s="56">
        <v>-4000620</v>
      </c>
      <c r="J39" s="56">
        <v>-5698636</v>
      </c>
    </row>
    <row r="40" spans="1:10" x14ac:dyDescent="0.3">
      <c r="A40" s="40" t="s">
        <v>114</v>
      </c>
      <c r="B40" s="56">
        <v>-23251</v>
      </c>
      <c r="C40" s="56">
        <v>-524771</v>
      </c>
      <c r="D40" s="56">
        <v>-754876</v>
      </c>
      <c r="E40" s="56">
        <v>-1235953</v>
      </c>
      <c r="F40" s="57"/>
      <c r="G40" s="57" t="s">
        <v>101</v>
      </c>
      <c r="H40" s="57" t="s">
        <v>101</v>
      </c>
      <c r="I40" s="57" t="s">
        <v>101</v>
      </c>
      <c r="J40" s="57" t="s">
        <v>101</v>
      </c>
    </row>
    <row r="41" spans="1:10" x14ac:dyDescent="0.3">
      <c r="A41" s="40" t="s">
        <v>115</v>
      </c>
      <c r="F41" s="57"/>
      <c r="G41" s="56">
        <v>8463749</v>
      </c>
      <c r="H41" s="56">
        <v>8952061</v>
      </c>
      <c r="I41" s="56">
        <v>11267002</v>
      </c>
      <c r="J41" s="56">
        <v>15441756</v>
      </c>
    </row>
    <row r="42" spans="1:10" x14ac:dyDescent="0.3">
      <c r="A42" s="40" t="s">
        <v>117</v>
      </c>
      <c r="B42" s="56"/>
      <c r="C42" s="57"/>
      <c r="D42" s="57"/>
      <c r="E42" s="57"/>
      <c r="F42" s="57"/>
      <c r="G42" s="56">
        <v>-1825038</v>
      </c>
      <c r="H42" s="56">
        <v>-2745008</v>
      </c>
      <c r="I42" s="56">
        <v>-4142320</v>
      </c>
      <c r="J42" s="56">
        <v>-5847079</v>
      </c>
    </row>
    <row r="43" spans="1:10" x14ac:dyDescent="0.3">
      <c r="A43" s="40" t="s">
        <v>118</v>
      </c>
      <c r="B43" s="56"/>
      <c r="C43" s="57"/>
      <c r="D43" s="57"/>
      <c r="E43" s="57"/>
      <c r="F43" s="57"/>
      <c r="G43" s="57" t="s">
        <v>101</v>
      </c>
      <c r="H43" s="57" t="s">
        <v>101</v>
      </c>
      <c r="I43" s="57" t="s">
        <v>101</v>
      </c>
      <c r="J43" s="56">
        <v>118400</v>
      </c>
    </row>
    <row r="44" spans="1:10" x14ac:dyDescent="0.3">
      <c r="A44" s="40" t="s">
        <v>119</v>
      </c>
      <c r="B44" s="56"/>
      <c r="C44" s="57"/>
      <c r="D44" s="57"/>
      <c r="E44" s="57"/>
      <c r="F44" s="57"/>
      <c r="G44" s="57" t="s">
        <v>101</v>
      </c>
      <c r="H44" s="57" t="s">
        <v>101</v>
      </c>
      <c r="I44" s="57" t="s">
        <v>101</v>
      </c>
      <c r="J44" s="56">
        <v>118400</v>
      </c>
    </row>
    <row r="45" spans="1:10" x14ac:dyDescent="0.3">
      <c r="A45" s="40" t="s">
        <v>120</v>
      </c>
      <c r="B45" s="56"/>
      <c r="C45" s="57"/>
      <c r="D45" s="57"/>
      <c r="E45" s="57"/>
      <c r="F45" s="57"/>
      <c r="G45" s="56">
        <v>-1674862</v>
      </c>
      <c r="H45" s="56">
        <v>-2694599</v>
      </c>
      <c r="I45" s="56">
        <v>-4000620</v>
      </c>
      <c r="J45" s="56">
        <v>-5817036</v>
      </c>
    </row>
    <row r="46" spans="1:10" x14ac:dyDescent="0.3">
      <c r="A46" s="40" t="s">
        <v>121</v>
      </c>
      <c r="B46" s="57"/>
      <c r="C46" s="57"/>
      <c r="D46" s="57"/>
      <c r="E46" s="57"/>
      <c r="F46" s="57"/>
      <c r="G46" s="57">
        <v>0</v>
      </c>
      <c r="H46" s="57">
        <v>0</v>
      </c>
      <c r="I46" s="57">
        <v>0</v>
      </c>
      <c r="J46" s="57">
        <v>0</v>
      </c>
    </row>
    <row r="47" spans="1:10" x14ac:dyDescent="0.3">
      <c r="A47" s="40" t="s">
        <v>122</v>
      </c>
      <c r="B47" s="56"/>
      <c r="C47" s="57"/>
      <c r="D47" s="57"/>
      <c r="E47" s="57"/>
      <c r="F47" s="57"/>
      <c r="G47" s="57">
        <v>0</v>
      </c>
      <c r="H47" s="57">
        <v>0</v>
      </c>
      <c r="I47" s="57">
        <v>0</v>
      </c>
      <c r="J47" s="56">
        <v>47360</v>
      </c>
    </row>
    <row r="48" spans="1:10" x14ac:dyDescent="0.3">
      <c r="A48" s="40" t="s">
        <v>318</v>
      </c>
      <c r="B48" s="67">
        <v>0</v>
      </c>
      <c r="C48" s="67">
        <v>-0.06</v>
      </c>
      <c r="D48" s="67">
        <v>-0.08</v>
      </c>
      <c r="E48" s="67">
        <v>-0.12</v>
      </c>
      <c r="F48" s="57"/>
      <c r="G48" s="67">
        <v>-0.17</v>
      </c>
      <c r="H48" s="67">
        <v>-0.26</v>
      </c>
      <c r="I48" s="67">
        <v>-0.31</v>
      </c>
      <c r="J48" s="57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5464-C4AD-4A2C-A3C8-5D83327FF902}">
  <dimension ref="A1:Z21"/>
  <sheetViews>
    <sheetView workbookViewId="0">
      <selection activeCell="A4" sqref="A4"/>
    </sheetView>
  </sheetViews>
  <sheetFormatPr defaultRowHeight="16.5" x14ac:dyDescent="0.3"/>
  <cols>
    <col min="1" max="1" width="28.140625" style="40" customWidth="1"/>
    <col min="2" max="7" width="9.140625" style="40"/>
    <col min="8" max="8" width="4.140625" style="40" customWidth="1"/>
    <col min="9" max="9" width="3.7109375" style="40" customWidth="1"/>
    <col min="10" max="10" width="4.28515625" style="40" customWidth="1"/>
    <col min="11" max="14" width="9.140625" style="40"/>
    <col min="15" max="15" width="3" style="40" customWidth="1"/>
    <col min="16" max="19" width="9.140625" style="40"/>
    <col min="20" max="20" width="3" style="40" customWidth="1"/>
    <col min="21" max="16384" width="9.140625" style="40"/>
  </cols>
  <sheetData>
    <row r="1" spans="1:26" x14ac:dyDescent="0.3">
      <c r="A1" s="49" t="s">
        <v>319</v>
      </c>
    </row>
    <row r="2" spans="1:26" x14ac:dyDescent="0.3">
      <c r="A2" s="40" t="s">
        <v>342</v>
      </c>
      <c r="B2" s="40">
        <v>2019</v>
      </c>
      <c r="C2" s="40">
        <f>B2+1</f>
        <v>2020</v>
      </c>
      <c r="D2" s="40">
        <f t="shared" ref="D2:E2" si="0">C2+1</f>
        <v>2021</v>
      </c>
      <c r="E2" s="40">
        <f t="shared" si="0"/>
        <v>2022</v>
      </c>
      <c r="F2" s="40" t="s">
        <v>85</v>
      </c>
      <c r="G2" s="40" t="s">
        <v>88</v>
      </c>
      <c r="K2" s="40" t="s">
        <v>330</v>
      </c>
      <c r="L2" s="40" t="s">
        <v>331</v>
      </c>
      <c r="M2" s="40" t="s">
        <v>332</v>
      </c>
      <c r="N2" s="40" t="s">
        <v>333</v>
      </c>
      <c r="P2" s="40" t="s">
        <v>334</v>
      </c>
      <c r="Q2" s="40" t="s">
        <v>335</v>
      </c>
      <c r="R2" s="40" t="s">
        <v>336</v>
      </c>
      <c r="S2" s="40" t="s">
        <v>337</v>
      </c>
      <c r="U2" s="40" t="s">
        <v>338</v>
      </c>
      <c r="V2" s="40" t="s">
        <v>339</v>
      </c>
      <c r="W2" s="40" t="s">
        <v>340</v>
      </c>
      <c r="X2" s="40" t="s">
        <v>341</v>
      </c>
      <c r="Z2" s="40" t="s">
        <v>85</v>
      </c>
    </row>
    <row r="3" spans="1:26" x14ac:dyDescent="0.3">
      <c r="A3" s="49" t="s">
        <v>320</v>
      </c>
    </row>
    <row r="4" spans="1:26" x14ac:dyDescent="0.3">
      <c r="A4" s="40" t="s">
        <v>321</v>
      </c>
    </row>
    <row r="5" spans="1:26" x14ac:dyDescent="0.3">
      <c r="A5" s="40" t="s">
        <v>302</v>
      </c>
    </row>
    <row r="6" spans="1:26" x14ac:dyDescent="0.3">
      <c r="A6" s="40" t="s">
        <v>322</v>
      </c>
    </row>
    <row r="7" spans="1:26" x14ac:dyDescent="0.3">
      <c r="A7" s="40" t="s">
        <v>198</v>
      </c>
    </row>
    <row r="9" spans="1:26" x14ac:dyDescent="0.3">
      <c r="A9" s="49" t="s">
        <v>323</v>
      </c>
    </row>
    <row r="10" spans="1:26" x14ac:dyDescent="0.3">
      <c r="A10" s="40" t="s">
        <v>321</v>
      </c>
    </row>
    <row r="11" spans="1:26" x14ac:dyDescent="0.3">
      <c r="A11" s="40" t="s">
        <v>324</v>
      </c>
    </row>
    <row r="12" spans="1:26" x14ac:dyDescent="0.3">
      <c r="A12" s="40" t="s">
        <v>325</v>
      </c>
    </row>
    <row r="14" spans="1:26" x14ac:dyDescent="0.3">
      <c r="A14" s="49" t="s">
        <v>326</v>
      </c>
    </row>
    <row r="19" spans="1:1" x14ac:dyDescent="0.3">
      <c r="A19" s="49" t="s">
        <v>327</v>
      </c>
    </row>
    <row r="20" spans="1:1" x14ac:dyDescent="0.3">
      <c r="A20" s="40" t="s">
        <v>328</v>
      </c>
    </row>
    <row r="21" spans="1:1" x14ac:dyDescent="0.3">
      <c r="A21" s="40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6AFC-62A8-44E3-B39E-AE57D17579FF}">
  <dimension ref="A1:Z1"/>
  <sheetViews>
    <sheetView workbookViewId="0">
      <selection sqref="A1:Z1"/>
    </sheetView>
  </sheetViews>
  <sheetFormatPr defaultRowHeight="12.75" x14ac:dyDescent="0.2"/>
  <sheetData>
    <row r="1" spans="1:26" ht="16.5" x14ac:dyDescent="0.3">
      <c r="A1" s="40" t="s">
        <v>342</v>
      </c>
      <c r="B1" s="40">
        <v>2019</v>
      </c>
      <c r="C1" s="40">
        <f>B1+1</f>
        <v>2020</v>
      </c>
      <c r="D1" s="40">
        <f t="shared" ref="D1:E1" si="0">C1+1</f>
        <v>2021</v>
      </c>
      <c r="E1" s="40">
        <f t="shared" si="0"/>
        <v>2022</v>
      </c>
      <c r="F1" s="40" t="s">
        <v>85</v>
      </c>
      <c r="G1" s="40" t="s">
        <v>88</v>
      </c>
      <c r="H1" s="40"/>
      <c r="I1" s="40"/>
      <c r="J1" s="40"/>
      <c r="K1" s="40" t="s">
        <v>330</v>
      </c>
      <c r="L1" s="40" t="s">
        <v>331</v>
      </c>
      <c r="M1" s="40" t="s">
        <v>332</v>
      </c>
      <c r="N1" s="40" t="s">
        <v>333</v>
      </c>
      <c r="O1" s="40"/>
      <c r="P1" s="40" t="s">
        <v>334</v>
      </c>
      <c r="Q1" s="40" t="s">
        <v>335</v>
      </c>
      <c r="R1" s="40" t="s">
        <v>336</v>
      </c>
      <c r="S1" s="40" t="s">
        <v>337</v>
      </c>
      <c r="T1" s="40"/>
      <c r="U1" s="40" t="s">
        <v>338</v>
      </c>
      <c r="V1" s="40" t="s">
        <v>339</v>
      </c>
      <c r="W1" s="40" t="s">
        <v>340</v>
      </c>
      <c r="X1" s="40" t="s">
        <v>341</v>
      </c>
      <c r="Y1" s="40"/>
      <c r="Z1" s="40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71AE-9B29-48FA-806F-59F76EC6AD84}">
  <dimension ref="A1:U288"/>
  <sheetViews>
    <sheetView tabSelected="1" workbookViewId="0">
      <pane ySplit="2" topLeftCell="A3" activePane="bottomLeft" state="frozen"/>
      <selection pane="bottomLeft" activeCell="F7" sqref="F7"/>
    </sheetView>
  </sheetViews>
  <sheetFormatPr defaultRowHeight="16.5" outlineLevelRow="1" x14ac:dyDescent="0.3"/>
  <cols>
    <col min="1" max="1" width="33" style="40" customWidth="1"/>
    <col min="2" max="20" width="9.140625" style="40"/>
    <col min="21" max="21" width="9.140625" style="77"/>
    <col min="22" max="16384" width="9.140625" style="40"/>
  </cols>
  <sheetData>
    <row r="1" spans="1:21" x14ac:dyDescent="0.3">
      <c r="A1" s="49" t="s">
        <v>310</v>
      </c>
      <c r="B1" s="40" t="s">
        <v>343</v>
      </c>
    </row>
    <row r="2" spans="1:21" s="75" customFormat="1" x14ac:dyDescent="0.3">
      <c r="A2" s="71" t="s">
        <v>342</v>
      </c>
      <c r="B2" s="71">
        <v>2019</v>
      </c>
      <c r="C2" s="71">
        <f>B2+1</f>
        <v>2020</v>
      </c>
      <c r="D2" s="71">
        <f t="shared" ref="D2:E2" si="0">C2+1</f>
        <v>2021</v>
      </c>
      <c r="E2" s="71">
        <f t="shared" si="0"/>
        <v>2022</v>
      </c>
      <c r="F2" s="70" t="s">
        <v>85</v>
      </c>
      <c r="G2" s="70" t="s">
        <v>88</v>
      </c>
      <c r="H2" s="71" t="s">
        <v>330</v>
      </c>
      <c r="I2" s="71" t="s">
        <v>331</v>
      </c>
      <c r="J2" s="71" t="s">
        <v>332</v>
      </c>
      <c r="K2" s="71" t="s">
        <v>333</v>
      </c>
      <c r="L2" s="71" t="s">
        <v>334</v>
      </c>
      <c r="M2" s="71" t="s">
        <v>335</v>
      </c>
      <c r="N2" s="71" t="s">
        <v>336</v>
      </c>
      <c r="O2" s="71" t="s">
        <v>337</v>
      </c>
      <c r="P2" s="70" t="s">
        <v>338</v>
      </c>
      <c r="Q2" s="70" t="s">
        <v>339</v>
      </c>
      <c r="R2" s="70" t="s">
        <v>340</v>
      </c>
      <c r="S2" s="70" t="s">
        <v>341</v>
      </c>
      <c r="T2" s="70" t="s">
        <v>85</v>
      </c>
      <c r="U2" s="78" t="s">
        <v>361</v>
      </c>
    </row>
    <row r="3" spans="1:21" x14ac:dyDescent="0.3">
      <c r="A3" s="68" t="s">
        <v>309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77" t="s">
        <v>362</v>
      </c>
    </row>
    <row r="4" spans="1:21" outlineLevel="1" x14ac:dyDescent="0.3">
      <c r="A4" s="49" t="s">
        <v>344</v>
      </c>
      <c r="B4" s="69">
        <v>365</v>
      </c>
      <c r="C4" s="69">
        <v>365</v>
      </c>
      <c r="D4" s="69">
        <v>365</v>
      </c>
      <c r="E4" s="69">
        <v>365</v>
      </c>
      <c r="F4" s="69">
        <v>365</v>
      </c>
      <c r="G4" s="69">
        <v>365</v>
      </c>
      <c r="H4" s="69">
        <v>365</v>
      </c>
      <c r="I4" s="69">
        <v>365</v>
      </c>
      <c r="J4" s="69">
        <v>365</v>
      </c>
      <c r="K4" s="69">
        <v>365</v>
      </c>
      <c r="L4" s="69">
        <v>365</v>
      </c>
      <c r="M4" s="69">
        <v>365</v>
      </c>
      <c r="N4" s="69">
        <v>365</v>
      </c>
      <c r="O4" s="69">
        <v>365</v>
      </c>
      <c r="P4" s="69">
        <v>365</v>
      </c>
      <c r="Q4" s="69">
        <v>365</v>
      </c>
      <c r="R4" s="69">
        <v>365</v>
      </c>
      <c r="S4" s="69">
        <v>365</v>
      </c>
      <c r="T4" s="69">
        <v>365</v>
      </c>
      <c r="U4" s="77" t="s">
        <v>362</v>
      </c>
    </row>
    <row r="5" spans="1:21" outlineLevel="1" x14ac:dyDescent="0.3">
      <c r="U5" s="77" t="s">
        <v>362</v>
      </c>
    </row>
    <row r="6" spans="1:21" outlineLevel="1" x14ac:dyDescent="0.3">
      <c r="A6" s="49" t="s">
        <v>345</v>
      </c>
      <c r="U6" s="77" t="s">
        <v>362</v>
      </c>
    </row>
    <row r="7" spans="1:21" outlineLevel="1" x14ac:dyDescent="0.3">
      <c r="A7" s="40" t="s">
        <v>346</v>
      </c>
      <c r="U7" s="77" t="s">
        <v>362</v>
      </c>
    </row>
    <row r="8" spans="1:21" outlineLevel="1" x14ac:dyDescent="0.3">
      <c r="A8" s="40" t="s">
        <v>313</v>
      </c>
      <c r="U8" s="77" t="s">
        <v>362</v>
      </c>
    </row>
    <row r="9" spans="1:21" outlineLevel="1" x14ac:dyDescent="0.3">
      <c r="A9" s="40" t="s">
        <v>347</v>
      </c>
      <c r="U9" s="77" t="s">
        <v>362</v>
      </c>
    </row>
    <row r="10" spans="1:21" outlineLevel="1" x14ac:dyDescent="0.3">
      <c r="A10" s="40" t="s">
        <v>348</v>
      </c>
      <c r="U10" s="77" t="s">
        <v>362</v>
      </c>
    </row>
    <row r="11" spans="1:21" outlineLevel="1" x14ac:dyDescent="0.3">
      <c r="A11" s="40" t="s">
        <v>349</v>
      </c>
      <c r="U11" s="77" t="s">
        <v>362</v>
      </c>
    </row>
    <row r="12" spans="1:21" outlineLevel="1" x14ac:dyDescent="0.3">
      <c r="A12" s="40" t="s">
        <v>350</v>
      </c>
      <c r="U12" s="77" t="s">
        <v>362</v>
      </c>
    </row>
    <row r="13" spans="1:21" outlineLevel="1" x14ac:dyDescent="0.3">
      <c r="A13" s="40" t="s">
        <v>351</v>
      </c>
      <c r="U13" s="77" t="s">
        <v>362</v>
      </c>
    </row>
    <row r="14" spans="1:21" outlineLevel="1" x14ac:dyDescent="0.3">
      <c r="A14" s="40" t="s">
        <v>352</v>
      </c>
      <c r="U14" s="77" t="s">
        <v>362</v>
      </c>
    </row>
    <row r="15" spans="1:21" outlineLevel="1" x14ac:dyDescent="0.3">
      <c r="U15" s="77" t="s">
        <v>362</v>
      </c>
    </row>
    <row r="16" spans="1:21" outlineLevel="1" x14ac:dyDescent="0.3">
      <c r="A16" s="49" t="s">
        <v>353</v>
      </c>
      <c r="U16" s="77" t="s">
        <v>362</v>
      </c>
    </row>
    <row r="17" spans="1:21" outlineLevel="1" x14ac:dyDescent="0.3">
      <c r="A17" s="40" t="s">
        <v>354</v>
      </c>
      <c r="U17" s="77" t="s">
        <v>362</v>
      </c>
    </row>
    <row r="18" spans="1:21" outlineLevel="1" x14ac:dyDescent="0.3">
      <c r="A18" s="40" t="s">
        <v>355</v>
      </c>
      <c r="U18" s="77" t="s">
        <v>362</v>
      </c>
    </row>
    <row r="19" spans="1:21" outlineLevel="1" x14ac:dyDescent="0.3">
      <c r="A19" s="40" t="s">
        <v>356</v>
      </c>
      <c r="U19" s="77" t="s">
        <v>362</v>
      </c>
    </row>
    <row r="20" spans="1:21" outlineLevel="1" x14ac:dyDescent="0.3">
      <c r="A20" s="40" t="s">
        <v>357</v>
      </c>
      <c r="U20" s="77" t="s">
        <v>362</v>
      </c>
    </row>
    <row r="21" spans="1:21" outlineLevel="1" x14ac:dyDescent="0.3">
      <c r="A21" s="40" t="s">
        <v>358</v>
      </c>
      <c r="U21" s="77" t="s">
        <v>362</v>
      </c>
    </row>
    <row r="22" spans="1:21" outlineLevel="1" x14ac:dyDescent="0.3">
      <c r="A22" s="40" t="s">
        <v>185</v>
      </c>
      <c r="U22" s="77" t="s">
        <v>362</v>
      </c>
    </row>
    <row r="23" spans="1:21" outlineLevel="1" x14ac:dyDescent="0.3">
      <c r="A23" s="40" t="s">
        <v>359</v>
      </c>
      <c r="U23" s="77" t="s">
        <v>362</v>
      </c>
    </row>
    <row r="24" spans="1:21" outlineLevel="1" x14ac:dyDescent="0.3">
      <c r="A24" s="40" t="s">
        <v>360</v>
      </c>
      <c r="U24" s="77" t="s">
        <v>362</v>
      </c>
    </row>
    <row r="25" spans="1:21" outlineLevel="1" x14ac:dyDescent="0.3">
      <c r="U25" s="77" t="s">
        <v>362</v>
      </c>
    </row>
    <row r="26" spans="1:21" x14ac:dyDescent="0.3">
      <c r="A26" s="68" t="s">
        <v>345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77" t="s">
        <v>362</v>
      </c>
    </row>
    <row r="27" spans="1:21" hidden="1" outlineLevel="1" x14ac:dyDescent="0.3">
      <c r="U27" s="77" t="s">
        <v>362</v>
      </c>
    </row>
    <row r="28" spans="1:21" hidden="1" outlineLevel="1" x14ac:dyDescent="0.3">
      <c r="U28" s="77" t="s">
        <v>362</v>
      </c>
    </row>
    <row r="29" spans="1:21" hidden="1" outlineLevel="1" x14ac:dyDescent="0.3">
      <c r="U29" s="77" t="s">
        <v>362</v>
      </c>
    </row>
    <row r="30" spans="1:21" hidden="1" outlineLevel="1" x14ac:dyDescent="0.3">
      <c r="U30" s="77" t="s">
        <v>362</v>
      </c>
    </row>
    <row r="31" spans="1:21" hidden="1" outlineLevel="1" x14ac:dyDescent="0.3">
      <c r="U31" s="77" t="s">
        <v>362</v>
      </c>
    </row>
    <row r="32" spans="1:21" hidden="1" outlineLevel="1" x14ac:dyDescent="0.3">
      <c r="U32" s="77" t="s">
        <v>362</v>
      </c>
    </row>
    <row r="33" spans="21:21" hidden="1" outlineLevel="1" x14ac:dyDescent="0.3">
      <c r="U33" s="77" t="s">
        <v>362</v>
      </c>
    </row>
    <row r="34" spans="21:21" hidden="1" outlineLevel="1" x14ac:dyDescent="0.3">
      <c r="U34" s="77" t="s">
        <v>362</v>
      </c>
    </row>
    <row r="35" spans="21:21" hidden="1" outlineLevel="1" x14ac:dyDescent="0.3">
      <c r="U35" s="77" t="s">
        <v>362</v>
      </c>
    </row>
    <row r="36" spans="21:21" hidden="1" outlineLevel="1" x14ac:dyDescent="0.3">
      <c r="U36" s="77" t="s">
        <v>362</v>
      </c>
    </row>
    <row r="37" spans="21:21" hidden="1" outlineLevel="1" x14ac:dyDescent="0.3">
      <c r="U37" s="77" t="s">
        <v>362</v>
      </c>
    </row>
    <row r="38" spans="21:21" hidden="1" outlineLevel="1" x14ac:dyDescent="0.3">
      <c r="U38" s="77" t="s">
        <v>362</v>
      </c>
    </row>
    <row r="39" spans="21:21" hidden="1" outlineLevel="1" x14ac:dyDescent="0.3">
      <c r="U39" s="77" t="s">
        <v>362</v>
      </c>
    </row>
    <row r="40" spans="21:21" hidden="1" outlineLevel="1" x14ac:dyDescent="0.3">
      <c r="U40" s="77" t="s">
        <v>362</v>
      </c>
    </row>
    <row r="41" spans="21:21" hidden="1" outlineLevel="1" x14ac:dyDescent="0.3">
      <c r="U41" s="77" t="s">
        <v>362</v>
      </c>
    </row>
    <row r="42" spans="21:21" hidden="1" outlineLevel="1" x14ac:dyDescent="0.3">
      <c r="U42" s="77" t="s">
        <v>362</v>
      </c>
    </row>
    <row r="43" spans="21:21" hidden="1" outlineLevel="1" x14ac:dyDescent="0.3">
      <c r="U43" s="77" t="s">
        <v>362</v>
      </c>
    </row>
    <row r="44" spans="21:21" hidden="1" outlineLevel="1" x14ac:dyDescent="0.3">
      <c r="U44" s="77" t="s">
        <v>362</v>
      </c>
    </row>
    <row r="45" spans="21:21" hidden="1" outlineLevel="1" x14ac:dyDescent="0.3">
      <c r="U45" s="77" t="s">
        <v>362</v>
      </c>
    </row>
    <row r="46" spans="21:21" hidden="1" outlineLevel="1" x14ac:dyDescent="0.3">
      <c r="U46" s="77" t="s">
        <v>362</v>
      </c>
    </row>
    <row r="47" spans="21:21" hidden="1" outlineLevel="1" x14ac:dyDescent="0.3">
      <c r="U47" s="77" t="s">
        <v>362</v>
      </c>
    </row>
    <row r="48" spans="21:21" hidden="1" outlineLevel="1" x14ac:dyDescent="0.3">
      <c r="U48" s="77" t="s">
        <v>362</v>
      </c>
    </row>
    <row r="49" spans="21:21" hidden="1" outlineLevel="1" x14ac:dyDescent="0.3">
      <c r="U49" s="77" t="s">
        <v>362</v>
      </c>
    </row>
    <row r="50" spans="21:21" hidden="1" outlineLevel="1" x14ac:dyDescent="0.3">
      <c r="U50" s="77" t="s">
        <v>362</v>
      </c>
    </row>
    <row r="51" spans="21:21" hidden="1" outlineLevel="1" x14ac:dyDescent="0.3">
      <c r="U51" s="77" t="s">
        <v>362</v>
      </c>
    </row>
    <row r="52" spans="21:21" hidden="1" outlineLevel="1" x14ac:dyDescent="0.3">
      <c r="U52" s="77" t="s">
        <v>362</v>
      </c>
    </row>
    <row r="53" spans="21:21" hidden="1" outlineLevel="1" x14ac:dyDescent="0.3">
      <c r="U53" s="77" t="s">
        <v>362</v>
      </c>
    </row>
    <row r="54" spans="21:21" hidden="1" outlineLevel="1" x14ac:dyDescent="0.3">
      <c r="U54" s="77" t="s">
        <v>362</v>
      </c>
    </row>
    <row r="55" spans="21:21" hidden="1" outlineLevel="1" x14ac:dyDescent="0.3">
      <c r="U55" s="77" t="s">
        <v>362</v>
      </c>
    </row>
    <row r="56" spans="21:21" hidden="1" outlineLevel="1" x14ac:dyDescent="0.3">
      <c r="U56" s="77" t="s">
        <v>362</v>
      </c>
    </row>
    <row r="57" spans="21:21" hidden="1" outlineLevel="1" x14ac:dyDescent="0.3">
      <c r="U57" s="77" t="s">
        <v>362</v>
      </c>
    </row>
    <row r="58" spans="21:21" hidden="1" outlineLevel="1" x14ac:dyDescent="0.3">
      <c r="U58" s="77" t="s">
        <v>362</v>
      </c>
    </row>
    <row r="59" spans="21:21" hidden="1" outlineLevel="1" x14ac:dyDescent="0.3">
      <c r="U59" s="77" t="s">
        <v>362</v>
      </c>
    </row>
    <row r="60" spans="21:21" hidden="1" outlineLevel="1" x14ac:dyDescent="0.3">
      <c r="U60" s="77" t="s">
        <v>362</v>
      </c>
    </row>
    <row r="61" spans="21:21" hidden="1" outlineLevel="1" x14ac:dyDescent="0.3">
      <c r="U61" s="77" t="s">
        <v>362</v>
      </c>
    </row>
    <row r="62" spans="21:21" hidden="1" outlineLevel="1" x14ac:dyDescent="0.3">
      <c r="U62" s="77" t="s">
        <v>362</v>
      </c>
    </row>
    <row r="63" spans="21:21" hidden="1" outlineLevel="1" x14ac:dyDescent="0.3">
      <c r="U63" s="77" t="s">
        <v>362</v>
      </c>
    </row>
    <row r="64" spans="21:21" hidden="1" outlineLevel="1" x14ac:dyDescent="0.3">
      <c r="U64" s="77" t="s">
        <v>362</v>
      </c>
    </row>
    <row r="65" spans="21:21" hidden="1" outlineLevel="1" x14ac:dyDescent="0.3">
      <c r="U65" s="77" t="s">
        <v>362</v>
      </c>
    </row>
    <row r="66" spans="21:21" hidden="1" outlineLevel="1" x14ac:dyDescent="0.3">
      <c r="U66" s="77" t="s">
        <v>362</v>
      </c>
    </row>
    <row r="67" spans="21:21" hidden="1" outlineLevel="1" x14ac:dyDescent="0.3">
      <c r="U67" s="77" t="s">
        <v>362</v>
      </c>
    </row>
    <row r="68" spans="21:21" hidden="1" outlineLevel="1" x14ac:dyDescent="0.3">
      <c r="U68" s="77" t="s">
        <v>362</v>
      </c>
    </row>
    <row r="69" spans="21:21" hidden="1" outlineLevel="1" x14ac:dyDescent="0.3">
      <c r="U69" s="77" t="s">
        <v>362</v>
      </c>
    </row>
    <row r="70" spans="21:21" hidden="1" outlineLevel="1" x14ac:dyDescent="0.3">
      <c r="U70" s="77" t="s">
        <v>362</v>
      </c>
    </row>
    <row r="71" spans="21:21" hidden="1" outlineLevel="1" x14ac:dyDescent="0.3">
      <c r="U71" s="77" t="s">
        <v>362</v>
      </c>
    </row>
    <row r="72" spans="21:21" hidden="1" outlineLevel="1" x14ac:dyDescent="0.3">
      <c r="U72" s="77" t="s">
        <v>362</v>
      </c>
    </row>
    <row r="73" spans="21:21" hidden="1" outlineLevel="1" x14ac:dyDescent="0.3">
      <c r="U73" s="77" t="s">
        <v>362</v>
      </c>
    </row>
    <row r="74" spans="21:21" hidden="1" outlineLevel="1" x14ac:dyDescent="0.3">
      <c r="U74" s="77" t="s">
        <v>362</v>
      </c>
    </row>
    <row r="75" spans="21:21" hidden="1" outlineLevel="1" x14ac:dyDescent="0.3">
      <c r="U75" s="77" t="s">
        <v>362</v>
      </c>
    </row>
    <row r="76" spans="21:21" hidden="1" outlineLevel="1" x14ac:dyDescent="0.3">
      <c r="U76" s="77" t="s">
        <v>362</v>
      </c>
    </row>
    <row r="77" spans="21:21" hidden="1" outlineLevel="1" x14ac:dyDescent="0.3">
      <c r="U77" s="77" t="s">
        <v>362</v>
      </c>
    </row>
    <row r="78" spans="21:21" hidden="1" outlineLevel="1" x14ac:dyDescent="0.3">
      <c r="U78" s="77" t="s">
        <v>362</v>
      </c>
    </row>
    <row r="79" spans="21:21" hidden="1" outlineLevel="1" x14ac:dyDescent="0.3">
      <c r="U79" s="77" t="s">
        <v>362</v>
      </c>
    </row>
    <row r="80" spans="21:21" hidden="1" outlineLevel="1" x14ac:dyDescent="0.3">
      <c r="U80" s="77" t="s">
        <v>362</v>
      </c>
    </row>
    <row r="81" spans="1:21" hidden="1" outlineLevel="1" x14ac:dyDescent="0.3">
      <c r="U81" s="77" t="s">
        <v>362</v>
      </c>
    </row>
    <row r="82" spans="1:21" hidden="1" outlineLevel="1" x14ac:dyDescent="0.3">
      <c r="U82" s="77" t="s">
        <v>362</v>
      </c>
    </row>
    <row r="83" spans="1:21" hidden="1" outlineLevel="1" x14ac:dyDescent="0.3">
      <c r="U83" s="77" t="s">
        <v>362</v>
      </c>
    </row>
    <row r="84" spans="1:21" hidden="1" outlineLevel="1" x14ac:dyDescent="0.3">
      <c r="U84" s="77" t="s">
        <v>362</v>
      </c>
    </row>
    <row r="85" spans="1:21" collapsed="1" x14ac:dyDescent="0.3">
      <c r="A85" s="68" t="s">
        <v>353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77" t="s">
        <v>362</v>
      </c>
    </row>
    <row r="86" spans="1:21" hidden="1" outlineLevel="1" x14ac:dyDescent="0.3">
      <c r="U86" s="77" t="s">
        <v>362</v>
      </c>
    </row>
    <row r="87" spans="1:21" hidden="1" outlineLevel="1" x14ac:dyDescent="0.3">
      <c r="U87" s="77" t="s">
        <v>362</v>
      </c>
    </row>
    <row r="88" spans="1:21" hidden="1" outlineLevel="1" x14ac:dyDescent="0.3">
      <c r="U88" s="77" t="s">
        <v>362</v>
      </c>
    </row>
    <row r="89" spans="1:21" hidden="1" outlineLevel="1" x14ac:dyDescent="0.3">
      <c r="U89" s="77" t="s">
        <v>362</v>
      </c>
    </row>
    <row r="90" spans="1:21" hidden="1" outlineLevel="1" x14ac:dyDescent="0.3">
      <c r="U90" s="77" t="s">
        <v>362</v>
      </c>
    </row>
    <row r="91" spans="1:21" hidden="1" outlineLevel="1" x14ac:dyDescent="0.3">
      <c r="U91" s="77" t="s">
        <v>362</v>
      </c>
    </row>
    <row r="92" spans="1:21" hidden="1" outlineLevel="1" x14ac:dyDescent="0.3">
      <c r="U92" s="77" t="s">
        <v>362</v>
      </c>
    </row>
    <row r="93" spans="1:21" hidden="1" outlineLevel="1" x14ac:dyDescent="0.3">
      <c r="U93" s="77" t="s">
        <v>362</v>
      </c>
    </row>
    <row r="94" spans="1:21" hidden="1" outlineLevel="1" x14ac:dyDescent="0.3">
      <c r="U94" s="77" t="s">
        <v>362</v>
      </c>
    </row>
    <row r="95" spans="1:21" hidden="1" outlineLevel="1" x14ac:dyDescent="0.3">
      <c r="U95" s="77" t="s">
        <v>362</v>
      </c>
    </row>
    <row r="96" spans="1:21" hidden="1" outlineLevel="1" x14ac:dyDescent="0.3">
      <c r="U96" s="77" t="s">
        <v>362</v>
      </c>
    </row>
    <row r="97" spans="21:21" hidden="1" outlineLevel="1" x14ac:dyDescent="0.3">
      <c r="U97" s="77" t="s">
        <v>362</v>
      </c>
    </row>
    <row r="98" spans="21:21" hidden="1" outlineLevel="1" x14ac:dyDescent="0.3">
      <c r="U98" s="77" t="s">
        <v>362</v>
      </c>
    </row>
    <row r="99" spans="21:21" hidden="1" outlineLevel="1" x14ac:dyDescent="0.3">
      <c r="U99" s="77" t="s">
        <v>362</v>
      </c>
    </row>
    <row r="100" spans="21:21" hidden="1" outlineLevel="1" x14ac:dyDescent="0.3">
      <c r="U100" s="77" t="s">
        <v>362</v>
      </c>
    </row>
    <row r="101" spans="21:21" hidden="1" outlineLevel="1" x14ac:dyDescent="0.3">
      <c r="U101" s="77" t="s">
        <v>362</v>
      </c>
    </row>
    <row r="102" spans="21:21" hidden="1" outlineLevel="1" x14ac:dyDescent="0.3">
      <c r="U102" s="77" t="s">
        <v>362</v>
      </c>
    </row>
    <row r="103" spans="21:21" hidden="1" outlineLevel="1" x14ac:dyDescent="0.3">
      <c r="U103" s="77" t="s">
        <v>362</v>
      </c>
    </row>
    <row r="104" spans="21:21" hidden="1" outlineLevel="1" x14ac:dyDescent="0.3">
      <c r="U104" s="77" t="s">
        <v>362</v>
      </c>
    </row>
    <row r="105" spans="21:21" hidden="1" outlineLevel="1" x14ac:dyDescent="0.3">
      <c r="U105" s="77" t="s">
        <v>362</v>
      </c>
    </row>
    <row r="106" spans="21:21" hidden="1" outlineLevel="1" x14ac:dyDescent="0.3">
      <c r="U106" s="77" t="s">
        <v>362</v>
      </c>
    </row>
    <row r="107" spans="21:21" hidden="1" outlineLevel="1" x14ac:dyDescent="0.3">
      <c r="U107" s="77" t="s">
        <v>362</v>
      </c>
    </row>
    <row r="108" spans="21:21" hidden="1" outlineLevel="1" x14ac:dyDescent="0.3">
      <c r="U108" s="77" t="s">
        <v>362</v>
      </c>
    </row>
    <row r="109" spans="21:21" hidden="1" outlineLevel="1" x14ac:dyDescent="0.3">
      <c r="U109" s="77" t="s">
        <v>362</v>
      </c>
    </row>
    <row r="110" spans="21:21" hidden="1" outlineLevel="1" x14ac:dyDescent="0.3">
      <c r="U110" s="77" t="s">
        <v>362</v>
      </c>
    </row>
    <row r="111" spans="21:21" hidden="1" outlineLevel="1" x14ac:dyDescent="0.3">
      <c r="U111" s="77" t="s">
        <v>362</v>
      </c>
    </row>
    <row r="112" spans="21:21" hidden="1" outlineLevel="1" x14ac:dyDescent="0.3">
      <c r="U112" s="77" t="s">
        <v>362</v>
      </c>
    </row>
    <row r="113" spans="21:21" hidden="1" outlineLevel="1" x14ac:dyDescent="0.3">
      <c r="U113" s="77" t="s">
        <v>362</v>
      </c>
    </row>
    <row r="114" spans="21:21" hidden="1" outlineLevel="1" x14ac:dyDescent="0.3">
      <c r="U114" s="77" t="s">
        <v>362</v>
      </c>
    </row>
    <row r="115" spans="21:21" hidden="1" outlineLevel="1" x14ac:dyDescent="0.3">
      <c r="U115" s="77" t="s">
        <v>362</v>
      </c>
    </row>
    <row r="116" spans="21:21" hidden="1" outlineLevel="1" x14ac:dyDescent="0.3">
      <c r="U116" s="77" t="s">
        <v>362</v>
      </c>
    </row>
    <row r="117" spans="21:21" hidden="1" outlineLevel="1" x14ac:dyDescent="0.3">
      <c r="U117" s="77" t="s">
        <v>362</v>
      </c>
    </row>
    <row r="118" spans="21:21" hidden="1" outlineLevel="1" x14ac:dyDescent="0.3">
      <c r="U118" s="77" t="s">
        <v>362</v>
      </c>
    </row>
    <row r="119" spans="21:21" hidden="1" outlineLevel="1" x14ac:dyDescent="0.3">
      <c r="U119" s="77" t="s">
        <v>362</v>
      </c>
    </row>
    <row r="120" spans="21:21" hidden="1" outlineLevel="1" x14ac:dyDescent="0.3">
      <c r="U120" s="77" t="s">
        <v>362</v>
      </c>
    </row>
    <row r="121" spans="21:21" hidden="1" outlineLevel="1" x14ac:dyDescent="0.3">
      <c r="U121" s="77" t="s">
        <v>362</v>
      </c>
    </row>
    <row r="122" spans="21:21" hidden="1" outlineLevel="1" x14ac:dyDescent="0.3">
      <c r="U122" s="77" t="s">
        <v>362</v>
      </c>
    </row>
    <row r="123" spans="21:21" hidden="1" outlineLevel="1" x14ac:dyDescent="0.3">
      <c r="U123" s="77" t="s">
        <v>362</v>
      </c>
    </row>
    <row r="124" spans="21:21" hidden="1" outlineLevel="1" x14ac:dyDescent="0.3">
      <c r="U124" s="77" t="s">
        <v>362</v>
      </c>
    </row>
    <row r="125" spans="21:21" hidden="1" outlineLevel="1" x14ac:dyDescent="0.3">
      <c r="U125" s="77" t="s">
        <v>362</v>
      </c>
    </row>
    <row r="126" spans="21:21" hidden="1" outlineLevel="1" x14ac:dyDescent="0.3">
      <c r="U126" s="77" t="s">
        <v>362</v>
      </c>
    </row>
    <row r="127" spans="21:21" hidden="1" outlineLevel="1" x14ac:dyDescent="0.3">
      <c r="U127" s="77" t="s">
        <v>362</v>
      </c>
    </row>
    <row r="128" spans="21:21" hidden="1" outlineLevel="1" x14ac:dyDescent="0.3">
      <c r="U128" s="77" t="s">
        <v>362</v>
      </c>
    </row>
    <row r="129" spans="21:21" hidden="1" outlineLevel="1" x14ac:dyDescent="0.3">
      <c r="U129" s="77" t="s">
        <v>362</v>
      </c>
    </row>
    <row r="130" spans="21:21" hidden="1" outlineLevel="1" x14ac:dyDescent="0.3">
      <c r="U130" s="77" t="s">
        <v>362</v>
      </c>
    </row>
    <row r="131" spans="21:21" hidden="1" outlineLevel="1" x14ac:dyDescent="0.3">
      <c r="U131" s="77" t="s">
        <v>362</v>
      </c>
    </row>
    <row r="132" spans="21:21" hidden="1" outlineLevel="1" x14ac:dyDescent="0.3">
      <c r="U132" s="77" t="s">
        <v>362</v>
      </c>
    </row>
    <row r="133" spans="21:21" hidden="1" outlineLevel="1" x14ac:dyDescent="0.3">
      <c r="U133" s="77" t="s">
        <v>362</v>
      </c>
    </row>
    <row r="134" spans="21:21" hidden="1" outlineLevel="1" x14ac:dyDescent="0.3">
      <c r="U134" s="77" t="s">
        <v>362</v>
      </c>
    </row>
    <row r="135" spans="21:21" hidden="1" outlineLevel="1" x14ac:dyDescent="0.3">
      <c r="U135" s="77" t="s">
        <v>362</v>
      </c>
    </row>
    <row r="136" spans="21:21" hidden="1" outlineLevel="1" x14ac:dyDescent="0.3">
      <c r="U136" s="77" t="s">
        <v>362</v>
      </c>
    </row>
    <row r="137" spans="21:21" hidden="1" outlineLevel="1" x14ac:dyDescent="0.3">
      <c r="U137" s="77" t="s">
        <v>362</v>
      </c>
    </row>
    <row r="138" spans="21:21" hidden="1" outlineLevel="1" x14ac:dyDescent="0.3">
      <c r="U138" s="77" t="s">
        <v>362</v>
      </c>
    </row>
    <row r="139" spans="21:21" hidden="1" outlineLevel="1" x14ac:dyDescent="0.3">
      <c r="U139" s="77" t="s">
        <v>362</v>
      </c>
    </row>
    <row r="140" spans="21:21" hidden="1" outlineLevel="1" x14ac:dyDescent="0.3">
      <c r="U140" s="77" t="s">
        <v>362</v>
      </c>
    </row>
    <row r="141" spans="21:21" hidden="1" outlineLevel="1" x14ac:dyDescent="0.3">
      <c r="U141" s="77" t="s">
        <v>362</v>
      </c>
    </row>
    <row r="142" spans="21:21" hidden="1" outlineLevel="1" x14ac:dyDescent="0.3">
      <c r="U142" s="77" t="s">
        <v>362</v>
      </c>
    </row>
    <row r="143" spans="21:21" hidden="1" outlineLevel="1" x14ac:dyDescent="0.3">
      <c r="U143" s="77" t="s">
        <v>362</v>
      </c>
    </row>
    <row r="144" spans="21:21" hidden="1" outlineLevel="1" x14ac:dyDescent="0.3">
      <c r="U144" s="77" t="s">
        <v>362</v>
      </c>
    </row>
    <row r="145" spans="21:21" hidden="1" outlineLevel="1" x14ac:dyDescent="0.3">
      <c r="U145" s="77" t="s">
        <v>362</v>
      </c>
    </row>
    <row r="146" spans="21:21" hidden="1" outlineLevel="1" x14ac:dyDescent="0.3">
      <c r="U146" s="77" t="s">
        <v>362</v>
      </c>
    </row>
    <row r="147" spans="21:21" hidden="1" outlineLevel="1" x14ac:dyDescent="0.3">
      <c r="U147" s="77" t="s">
        <v>362</v>
      </c>
    </row>
    <row r="148" spans="21:21" hidden="1" outlineLevel="1" x14ac:dyDescent="0.3">
      <c r="U148" s="77" t="s">
        <v>362</v>
      </c>
    </row>
    <row r="149" spans="21:21" hidden="1" outlineLevel="1" x14ac:dyDescent="0.3">
      <c r="U149" s="77" t="s">
        <v>362</v>
      </c>
    </row>
    <row r="150" spans="21:21" hidden="1" outlineLevel="1" x14ac:dyDescent="0.3">
      <c r="U150" s="77" t="s">
        <v>362</v>
      </c>
    </row>
    <row r="151" spans="21:21" hidden="1" outlineLevel="1" x14ac:dyDescent="0.3">
      <c r="U151" s="77" t="s">
        <v>362</v>
      </c>
    </row>
    <row r="152" spans="21:21" hidden="1" outlineLevel="1" x14ac:dyDescent="0.3">
      <c r="U152" s="77" t="s">
        <v>362</v>
      </c>
    </row>
    <row r="153" spans="21:21" hidden="1" outlineLevel="1" x14ac:dyDescent="0.3">
      <c r="U153" s="77" t="s">
        <v>362</v>
      </c>
    </row>
    <row r="154" spans="21:21" hidden="1" outlineLevel="1" x14ac:dyDescent="0.3">
      <c r="U154" s="77" t="s">
        <v>362</v>
      </c>
    </row>
    <row r="155" spans="21:21" hidden="1" outlineLevel="1" x14ac:dyDescent="0.3">
      <c r="U155" s="77" t="s">
        <v>362</v>
      </c>
    </row>
    <row r="156" spans="21:21" hidden="1" outlineLevel="1" x14ac:dyDescent="0.3">
      <c r="U156" s="77" t="s">
        <v>362</v>
      </c>
    </row>
    <row r="157" spans="21:21" hidden="1" outlineLevel="1" x14ac:dyDescent="0.3">
      <c r="U157" s="77" t="s">
        <v>362</v>
      </c>
    </row>
    <row r="158" spans="21:21" hidden="1" outlineLevel="1" x14ac:dyDescent="0.3">
      <c r="U158" s="77" t="s">
        <v>362</v>
      </c>
    </row>
    <row r="159" spans="21:21" hidden="1" outlineLevel="1" x14ac:dyDescent="0.3">
      <c r="U159" s="77" t="s">
        <v>362</v>
      </c>
    </row>
    <row r="160" spans="21:21" hidden="1" outlineLevel="1" x14ac:dyDescent="0.3">
      <c r="U160" s="77" t="s">
        <v>362</v>
      </c>
    </row>
    <row r="161" spans="21:21" hidden="1" outlineLevel="1" x14ac:dyDescent="0.3">
      <c r="U161" s="77" t="s">
        <v>362</v>
      </c>
    </row>
    <row r="162" spans="21:21" hidden="1" outlineLevel="1" x14ac:dyDescent="0.3">
      <c r="U162" s="77" t="s">
        <v>362</v>
      </c>
    </row>
    <row r="163" spans="21:21" hidden="1" outlineLevel="1" x14ac:dyDescent="0.3">
      <c r="U163" s="77" t="s">
        <v>362</v>
      </c>
    </row>
    <row r="164" spans="21:21" hidden="1" outlineLevel="1" x14ac:dyDescent="0.3">
      <c r="U164" s="77" t="s">
        <v>362</v>
      </c>
    </row>
    <row r="165" spans="21:21" hidden="1" outlineLevel="1" x14ac:dyDescent="0.3">
      <c r="U165" s="77" t="s">
        <v>362</v>
      </c>
    </row>
    <row r="166" spans="21:21" hidden="1" outlineLevel="1" x14ac:dyDescent="0.3">
      <c r="U166" s="77" t="s">
        <v>362</v>
      </c>
    </row>
    <row r="167" spans="21:21" hidden="1" outlineLevel="1" x14ac:dyDescent="0.3">
      <c r="U167" s="77" t="s">
        <v>362</v>
      </c>
    </row>
    <row r="168" spans="21:21" hidden="1" outlineLevel="1" x14ac:dyDescent="0.3">
      <c r="U168" s="77" t="s">
        <v>362</v>
      </c>
    </row>
    <row r="169" spans="21:21" hidden="1" outlineLevel="1" x14ac:dyDescent="0.3">
      <c r="U169" s="77" t="s">
        <v>362</v>
      </c>
    </row>
    <row r="170" spans="21:21" hidden="1" outlineLevel="1" x14ac:dyDescent="0.3">
      <c r="U170" s="77" t="s">
        <v>362</v>
      </c>
    </row>
    <row r="171" spans="21:21" hidden="1" outlineLevel="1" x14ac:dyDescent="0.3">
      <c r="U171" s="77" t="s">
        <v>362</v>
      </c>
    </row>
    <row r="172" spans="21:21" hidden="1" outlineLevel="1" x14ac:dyDescent="0.3">
      <c r="U172" s="77" t="s">
        <v>362</v>
      </c>
    </row>
    <row r="173" spans="21:21" hidden="1" outlineLevel="1" x14ac:dyDescent="0.3">
      <c r="U173" s="77" t="s">
        <v>362</v>
      </c>
    </row>
    <row r="174" spans="21:21" hidden="1" outlineLevel="1" x14ac:dyDescent="0.3">
      <c r="U174" s="77" t="s">
        <v>362</v>
      </c>
    </row>
    <row r="175" spans="21:21" hidden="1" outlineLevel="1" x14ac:dyDescent="0.3">
      <c r="U175" s="77" t="s">
        <v>362</v>
      </c>
    </row>
    <row r="176" spans="21:21" hidden="1" outlineLevel="1" x14ac:dyDescent="0.3">
      <c r="U176" s="77" t="s">
        <v>362</v>
      </c>
    </row>
    <row r="177" spans="1:21" hidden="1" outlineLevel="1" x14ac:dyDescent="0.3">
      <c r="U177" s="77" t="s">
        <v>362</v>
      </c>
    </row>
    <row r="178" spans="1:21" hidden="1" outlineLevel="1" x14ac:dyDescent="0.3">
      <c r="U178" s="77" t="s">
        <v>362</v>
      </c>
    </row>
    <row r="179" spans="1:21" hidden="1" outlineLevel="1" x14ac:dyDescent="0.3">
      <c r="U179" s="77" t="s">
        <v>362</v>
      </c>
    </row>
    <row r="180" spans="1:21" hidden="1" outlineLevel="1" x14ac:dyDescent="0.3">
      <c r="U180" s="77" t="s">
        <v>362</v>
      </c>
    </row>
    <row r="181" spans="1:21" hidden="1" outlineLevel="1" x14ac:dyDescent="0.3">
      <c r="U181" s="77" t="s">
        <v>362</v>
      </c>
    </row>
    <row r="182" spans="1:21" collapsed="1" x14ac:dyDescent="0.3">
      <c r="A182" s="68" t="s">
        <v>308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77" t="s">
        <v>362</v>
      </c>
    </row>
    <row r="183" spans="1:21" hidden="1" outlineLevel="1" x14ac:dyDescent="0.3">
      <c r="U183" s="77" t="s">
        <v>362</v>
      </c>
    </row>
    <row r="184" spans="1:21" hidden="1" outlineLevel="1" x14ac:dyDescent="0.3">
      <c r="U184" s="77" t="s">
        <v>362</v>
      </c>
    </row>
    <row r="185" spans="1:21" hidden="1" outlineLevel="1" x14ac:dyDescent="0.3">
      <c r="U185" s="77" t="s">
        <v>362</v>
      </c>
    </row>
    <row r="186" spans="1:21" hidden="1" outlineLevel="1" x14ac:dyDescent="0.3">
      <c r="U186" s="77" t="s">
        <v>362</v>
      </c>
    </row>
    <row r="187" spans="1:21" hidden="1" outlineLevel="1" x14ac:dyDescent="0.3">
      <c r="U187" s="77" t="s">
        <v>362</v>
      </c>
    </row>
    <row r="188" spans="1:21" hidden="1" outlineLevel="1" x14ac:dyDescent="0.3">
      <c r="U188" s="77" t="s">
        <v>362</v>
      </c>
    </row>
    <row r="189" spans="1:21" hidden="1" outlineLevel="1" x14ac:dyDescent="0.3">
      <c r="U189" s="77" t="s">
        <v>362</v>
      </c>
    </row>
    <row r="190" spans="1:21" hidden="1" outlineLevel="1" x14ac:dyDescent="0.3">
      <c r="U190" s="77" t="s">
        <v>362</v>
      </c>
    </row>
    <row r="191" spans="1:21" hidden="1" outlineLevel="1" x14ac:dyDescent="0.3">
      <c r="U191" s="77" t="s">
        <v>362</v>
      </c>
    </row>
    <row r="192" spans="1:21" hidden="1" outlineLevel="1" x14ac:dyDescent="0.3">
      <c r="U192" s="77" t="s">
        <v>362</v>
      </c>
    </row>
    <row r="193" spans="21:21" hidden="1" outlineLevel="1" x14ac:dyDescent="0.3">
      <c r="U193" s="77" t="s">
        <v>362</v>
      </c>
    </row>
    <row r="194" spans="21:21" hidden="1" outlineLevel="1" x14ac:dyDescent="0.3">
      <c r="U194" s="77" t="s">
        <v>362</v>
      </c>
    </row>
    <row r="195" spans="21:21" hidden="1" outlineLevel="1" x14ac:dyDescent="0.3">
      <c r="U195" s="77" t="s">
        <v>362</v>
      </c>
    </row>
    <row r="196" spans="21:21" hidden="1" outlineLevel="1" x14ac:dyDescent="0.3">
      <c r="U196" s="77" t="s">
        <v>362</v>
      </c>
    </row>
    <row r="197" spans="21:21" hidden="1" outlineLevel="1" x14ac:dyDescent="0.3">
      <c r="U197" s="77" t="s">
        <v>362</v>
      </c>
    </row>
    <row r="198" spans="21:21" hidden="1" outlineLevel="1" x14ac:dyDescent="0.3">
      <c r="U198" s="77" t="s">
        <v>362</v>
      </c>
    </row>
    <row r="199" spans="21:21" hidden="1" outlineLevel="1" x14ac:dyDescent="0.3">
      <c r="U199" s="77" t="s">
        <v>362</v>
      </c>
    </row>
    <row r="200" spans="21:21" hidden="1" outlineLevel="1" x14ac:dyDescent="0.3">
      <c r="U200" s="77" t="s">
        <v>362</v>
      </c>
    </row>
    <row r="201" spans="21:21" hidden="1" outlineLevel="1" x14ac:dyDescent="0.3">
      <c r="U201" s="77" t="s">
        <v>362</v>
      </c>
    </row>
    <row r="202" spans="21:21" hidden="1" outlineLevel="1" x14ac:dyDescent="0.3">
      <c r="U202" s="77" t="s">
        <v>362</v>
      </c>
    </row>
    <row r="203" spans="21:21" hidden="1" outlineLevel="1" x14ac:dyDescent="0.3">
      <c r="U203" s="77" t="s">
        <v>362</v>
      </c>
    </row>
    <row r="204" spans="21:21" hidden="1" outlineLevel="1" x14ac:dyDescent="0.3">
      <c r="U204" s="77" t="s">
        <v>362</v>
      </c>
    </row>
    <row r="205" spans="21:21" hidden="1" outlineLevel="1" x14ac:dyDescent="0.3">
      <c r="U205" s="77" t="s">
        <v>362</v>
      </c>
    </row>
    <row r="206" spans="21:21" hidden="1" outlineLevel="1" x14ac:dyDescent="0.3">
      <c r="U206" s="77" t="s">
        <v>362</v>
      </c>
    </row>
    <row r="207" spans="21:21" hidden="1" outlineLevel="1" x14ac:dyDescent="0.3">
      <c r="U207" s="77" t="s">
        <v>362</v>
      </c>
    </row>
    <row r="208" spans="21:21" hidden="1" outlineLevel="1" x14ac:dyDescent="0.3">
      <c r="U208" s="77" t="s">
        <v>362</v>
      </c>
    </row>
    <row r="209" spans="21:21" hidden="1" outlineLevel="1" x14ac:dyDescent="0.3">
      <c r="U209" s="77" t="s">
        <v>362</v>
      </c>
    </row>
    <row r="210" spans="21:21" hidden="1" outlineLevel="1" x14ac:dyDescent="0.3">
      <c r="U210" s="77" t="s">
        <v>362</v>
      </c>
    </row>
    <row r="211" spans="21:21" hidden="1" outlineLevel="1" x14ac:dyDescent="0.3">
      <c r="U211" s="77" t="s">
        <v>362</v>
      </c>
    </row>
    <row r="212" spans="21:21" hidden="1" outlineLevel="1" x14ac:dyDescent="0.3">
      <c r="U212" s="77" t="s">
        <v>362</v>
      </c>
    </row>
    <row r="213" spans="21:21" hidden="1" outlineLevel="1" x14ac:dyDescent="0.3">
      <c r="U213" s="77" t="s">
        <v>362</v>
      </c>
    </row>
    <row r="214" spans="21:21" hidden="1" outlineLevel="1" x14ac:dyDescent="0.3">
      <c r="U214" s="77" t="s">
        <v>362</v>
      </c>
    </row>
    <row r="215" spans="21:21" hidden="1" outlineLevel="1" x14ac:dyDescent="0.3">
      <c r="U215" s="77" t="s">
        <v>362</v>
      </c>
    </row>
    <row r="216" spans="21:21" hidden="1" outlineLevel="1" x14ac:dyDescent="0.3">
      <c r="U216" s="77" t="s">
        <v>362</v>
      </c>
    </row>
    <row r="217" spans="21:21" hidden="1" outlineLevel="1" x14ac:dyDescent="0.3">
      <c r="U217" s="77" t="s">
        <v>362</v>
      </c>
    </row>
    <row r="218" spans="21:21" hidden="1" outlineLevel="1" x14ac:dyDescent="0.3">
      <c r="U218" s="77" t="s">
        <v>362</v>
      </c>
    </row>
    <row r="219" spans="21:21" hidden="1" outlineLevel="1" x14ac:dyDescent="0.3">
      <c r="U219" s="77" t="s">
        <v>362</v>
      </c>
    </row>
    <row r="220" spans="21:21" hidden="1" outlineLevel="1" x14ac:dyDescent="0.3">
      <c r="U220" s="77" t="s">
        <v>362</v>
      </c>
    </row>
    <row r="221" spans="21:21" hidden="1" outlineLevel="1" x14ac:dyDescent="0.3">
      <c r="U221" s="77" t="s">
        <v>362</v>
      </c>
    </row>
    <row r="222" spans="21:21" hidden="1" outlineLevel="1" x14ac:dyDescent="0.3">
      <c r="U222" s="77" t="s">
        <v>362</v>
      </c>
    </row>
    <row r="223" spans="21:21" hidden="1" outlineLevel="1" x14ac:dyDescent="0.3">
      <c r="U223" s="77" t="s">
        <v>362</v>
      </c>
    </row>
    <row r="224" spans="21:21" hidden="1" outlineLevel="1" x14ac:dyDescent="0.3">
      <c r="U224" s="77" t="s">
        <v>362</v>
      </c>
    </row>
    <row r="225" spans="21:21" hidden="1" outlineLevel="1" x14ac:dyDescent="0.3">
      <c r="U225" s="77" t="s">
        <v>362</v>
      </c>
    </row>
    <row r="226" spans="21:21" hidden="1" outlineLevel="1" x14ac:dyDescent="0.3">
      <c r="U226" s="77" t="s">
        <v>362</v>
      </c>
    </row>
    <row r="227" spans="21:21" hidden="1" outlineLevel="1" x14ac:dyDescent="0.3">
      <c r="U227" s="77" t="s">
        <v>362</v>
      </c>
    </row>
    <row r="228" spans="21:21" hidden="1" outlineLevel="1" x14ac:dyDescent="0.3">
      <c r="U228" s="77" t="s">
        <v>362</v>
      </c>
    </row>
    <row r="229" spans="21:21" hidden="1" outlineLevel="1" x14ac:dyDescent="0.3">
      <c r="U229" s="77" t="s">
        <v>362</v>
      </c>
    </row>
    <row r="230" spans="21:21" hidden="1" outlineLevel="1" x14ac:dyDescent="0.3">
      <c r="U230" s="77" t="s">
        <v>362</v>
      </c>
    </row>
    <row r="231" spans="21:21" hidden="1" outlineLevel="1" x14ac:dyDescent="0.3">
      <c r="U231" s="77" t="s">
        <v>362</v>
      </c>
    </row>
    <row r="232" spans="21:21" hidden="1" outlineLevel="1" x14ac:dyDescent="0.3">
      <c r="U232" s="77" t="s">
        <v>362</v>
      </c>
    </row>
    <row r="233" spans="21:21" hidden="1" outlineLevel="1" x14ac:dyDescent="0.3">
      <c r="U233" s="77" t="s">
        <v>362</v>
      </c>
    </row>
    <row r="234" spans="21:21" hidden="1" outlineLevel="1" x14ac:dyDescent="0.3">
      <c r="U234" s="77" t="s">
        <v>362</v>
      </c>
    </row>
    <row r="235" spans="21:21" hidden="1" outlineLevel="1" x14ac:dyDescent="0.3">
      <c r="U235" s="77" t="s">
        <v>362</v>
      </c>
    </row>
    <row r="236" spans="21:21" hidden="1" outlineLevel="1" x14ac:dyDescent="0.3">
      <c r="U236" s="77" t="s">
        <v>362</v>
      </c>
    </row>
    <row r="237" spans="21:21" hidden="1" outlineLevel="1" x14ac:dyDescent="0.3">
      <c r="U237" s="77" t="s">
        <v>362</v>
      </c>
    </row>
    <row r="238" spans="21:21" hidden="1" outlineLevel="1" x14ac:dyDescent="0.3">
      <c r="U238" s="77" t="s">
        <v>362</v>
      </c>
    </row>
    <row r="239" spans="21:21" hidden="1" outlineLevel="1" x14ac:dyDescent="0.3">
      <c r="U239" s="77" t="s">
        <v>362</v>
      </c>
    </row>
    <row r="240" spans="21:21" hidden="1" outlineLevel="1" x14ac:dyDescent="0.3">
      <c r="U240" s="77" t="s">
        <v>362</v>
      </c>
    </row>
    <row r="241" spans="1:21" hidden="1" outlineLevel="1" x14ac:dyDescent="0.3">
      <c r="U241" s="77" t="s">
        <v>362</v>
      </c>
    </row>
    <row r="242" spans="1:21" hidden="1" outlineLevel="1" x14ac:dyDescent="0.3">
      <c r="U242" s="77" t="s">
        <v>362</v>
      </c>
    </row>
    <row r="243" spans="1:21" hidden="1" outlineLevel="1" x14ac:dyDescent="0.3">
      <c r="U243" s="77" t="s">
        <v>362</v>
      </c>
    </row>
    <row r="244" spans="1:21" hidden="1" outlineLevel="1" x14ac:dyDescent="0.3">
      <c r="U244" s="77" t="s">
        <v>362</v>
      </c>
    </row>
    <row r="245" spans="1:21" hidden="1" outlineLevel="1" x14ac:dyDescent="0.3">
      <c r="U245" s="77" t="s">
        <v>362</v>
      </c>
    </row>
    <row r="246" spans="1:21" hidden="1" outlineLevel="1" x14ac:dyDescent="0.3">
      <c r="U246" s="77" t="s">
        <v>362</v>
      </c>
    </row>
    <row r="247" spans="1:21" hidden="1" outlineLevel="1" x14ac:dyDescent="0.3">
      <c r="U247" s="77" t="s">
        <v>362</v>
      </c>
    </row>
    <row r="248" spans="1:21" hidden="1" outlineLevel="1" x14ac:dyDescent="0.3">
      <c r="U248" s="77" t="s">
        <v>362</v>
      </c>
    </row>
    <row r="249" spans="1:21" hidden="1" outlineLevel="1" x14ac:dyDescent="0.3">
      <c r="U249" s="77" t="s">
        <v>362</v>
      </c>
    </row>
    <row r="250" spans="1:21" hidden="1" outlineLevel="1" x14ac:dyDescent="0.3">
      <c r="U250" s="77" t="s">
        <v>362</v>
      </c>
    </row>
    <row r="251" spans="1:21" hidden="1" outlineLevel="1" x14ac:dyDescent="0.3">
      <c r="U251" s="77" t="s">
        <v>362</v>
      </c>
    </row>
    <row r="252" spans="1:21" hidden="1" outlineLevel="1" x14ac:dyDescent="0.3">
      <c r="U252" s="77" t="s">
        <v>362</v>
      </c>
    </row>
    <row r="253" spans="1:21" hidden="1" outlineLevel="1" x14ac:dyDescent="0.3">
      <c r="U253" s="77" t="s">
        <v>362</v>
      </c>
    </row>
    <row r="254" spans="1:21" hidden="1" outlineLevel="1" x14ac:dyDescent="0.3">
      <c r="U254" s="77" t="s">
        <v>362</v>
      </c>
    </row>
    <row r="255" spans="1:21" collapsed="1" x14ac:dyDescent="0.3">
      <c r="A255" s="68" t="s">
        <v>56</v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77" t="s">
        <v>362</v>
      </c>
    </row>
    <row r="256" spans="1:21" outlineLevel="1" x14ac:dyDescent="0.3">
      <c r="A256" s="49" t="s">
        <v>310</v>
      </c>
      <c r="U256" s="77" t="s">
        <v>362</v>
      </c>
    </row>
    <row r="257" spans="1:21" outlineLevel="1" x14ac:dyDescent="0.3">
      <c r="U257" s="77" t="s">
        <v>362</v>
      </c>
    </row>
    <row r="258" spans="1:21" outlineLevel="1" x14ac:dyDescent="0.3">
      <c r="A258" s="40" t="s">
        <v>25</v>
      </c>
      <c r="U258" s="77" t="s">
        <v>362</v>
      </c>
    </row>
    <row r="259" spans="1:21" outlineLevel="1" x14ac:dyDescent="0.3">
      <c r="A259" s="40" t="s">
        <v>26</v>
      </c>
      <c r="U259" s="77" t="s">
        <v>362</v>
      </c>
    </row>
    <row r="260" spans="1:21" outlineLevel="1" x14ac:dyDescent="0.3">
      <c r="A260" s="40" t="s">
        <v>27</v>
      </c>
      <c r="B260" s="40">
        <f>+B258-B259</f>
        <v>0</v>
      </c>
      <c r="C260" s="40">
        <f t="shared" ref="C260:T260" si="1">+C258-C259</f>
        <v>0</v>
      </c>
      <c r="D260" s="40">
        <f t="shared" si="1"/>
        <v>0</v>
      </c>
      <c r="E260" s="40">
        <f t="shared" si="1"/>
        <v>0</v>
      </c>
      <c r="F260" s="40">
        <f t="shared" si="1"/>
        <v>0</v>
      </c>
      <c r="G260" s="40">
        <f t="shared" si="1"/>
        <v>0</v>
      </c>
      <c r="H260" s="40">
        <f t="shared" si="1"/>
        <v>0</v>
      </c>
      <c r="I260" s="40">
        <f t="shared" si="1"/>
        <v>0</v>
      </c>
      <c r="J260" s="40">
        <f t="shared" si="1"/>
        <v>0</v>
      </c>
      <c r="K260" s="40">
        <f t="shared" si="1"/>
        <v>0</v>
      </c>
      <c r="L260" s="40">
        <f t="shared" si="1"/>
        <v>0</v>
      </c>
      <c r="M260" s="40">
        <f t="shared" si="1"/>
        <v>0</v>
      </c>
      <c r="N260" s="40">
        <f t="shared" si="1"/>
        <v>0</v>
      </c>
      <c r="O260" s="40">
        <f t="shared" si="1"/>
        <v>0</v>
      </c>
      <c r="P260" s="40">
        <f t="shared" si="1"/>
        <v>0</v>
      </c>
      <c r="Q260" s="40">
        <f t="shared" si="1"/>
        <v>0</v>
      </c>
      <c r="R260" s="40">
        <f t="shared" si="1"/>
        <v>0</v>
      </c>
      <c r="S260" s="40">
        <f t="shared" si="1"/>
        <v>0</v>
      </c>
      <c r="T260" s="40">
        <f t="shared" si="1"/>
        <v>0</v>
      </c>
      <c r="U260" s="77" t="s">
        <v>362</v>
      </c>
    </row>
    <row r="261" spans="1:21" outlineLevel="1" x14ac:dyDescent="0.3">
      <c r="U261" s="77" t="s">
        <v>362</v>
      </c>
    </row>
    <row r="262" spans="1:21" outlineLevel="1" x14ac:dyDescent="0.3">
      <c r="A262" s="40" t="s">
        <v>51</v>
      </c>
      <c r="U262" s="77" t="s">
        <v>362</v>
      </c>
    </row>
    <row r="263" spans="1:21" outlineLevel="1" x14ac:dyDescent="0.3">
      <c r="A263" s="40" t="s">
        <v>52</v>
      </c>
      <c r="U263" s="77" t="s">
        <v>362</v>
      </c>
    </row>
    <row r="264" spans="1:21" outlineLevel="1" x14ac:dyDescent="0.3">
      <c r="A264" s="40" t="s">
        <v>53</v>
      </c>
      <c r="B264" s="40" t="e">
        <f>+B262/B263</f>
        <v>#DIV/0!</v>
      </c>
      <c r="C264" s="40" t="e">
        <f t="shared" ref="C264:T264" si="2">+C262/C263</f>
        <v>#DIV/0!</v>
      </c>
      <c r="D264" s="40" t="e">
        <f t="shared" si="2"/>
        <v>#DIV/0!</v>
      </c>
      <c r="E264" s="40" t="e">
        <f t="shared" si="2"/>
        <v>#DIV/0!</v>
      </c>
      <c r="F264" s="40" t="e">
        <f t="shared" si="2"/>
        <v>#DIV/0!</v>
      </c>
      <c r="G264" s="40" t="e">
        <f t="shared" si="2"/>
        <v>#DIV/0!</v>
      </c>
      <c r="H264" s="40" t="e">
        <f t="shared" si="2"/>
        <v>#DIV/0!</v>
      </c>
      <c r="I264" s="40" t="e">
        <f t="shared" si="2"/>
        <v>#DIV/0!</v>
      </c>
      <c r="J264" s="40" t="e">
        <f t="shared" si="2"/>
        <v>#DIV/0!</v>
      </c>
      <c r="K264" s="40" t="e">
        <f t="shared" si="2"/>
        <v>#DIV/0!</v>
      </c>
      <c r="L264" s="40" t="e">
        <f t="shared" si="2"/>
        <v>#DIV/0!</v>
      </c>
      <c r="M264" s="40" t="e">
        <f t="shared" si="2"/>
        <v>#DIV/0!</v>
      </c>
      <c r="N264" s="40" t="e">
        <f t="shared" si="2"/>
        <v>#DIV/0!</v>
      </c>
      <c r="O264" s="40" t="e">
        <f t="shared" si="2"/>
        <v>#DIV/0!</v>
      </c>
      <c r="P264" s="40" t="e">
        <f t="shared" si="2"/>
        <v>#DIV/0!</v>
      </c>
      <c r="Q264" s="40" t="e">
        <f t="shared" si="2"/>
        <v>#DIV/0!</v>
      </c>
      <c r="R264" s="40" t="e">
        <f t="shared" si="2"/>
        <v>#DIV/0!</v>
      </c>
      <c r="S264" s="40" t="e">
        <f t="shared" si="2"/>
        <v>#DIV/0!</v>
      </c>
      <c r="T264" s="40" t="e">
        <f t="shared" si="2"/>
        <v>#DIV/0!</v>
      </c>
      <c r="U264" s="77" t="s">
        <v>362</v>
      </c>
    </row>
    <row r="265" spans="1:21" outlineLevel="1" x14ac:dyDescent="0.3">
      <c r="U265" s="77" t="s">
        <v>362</v>
      </c>
    </row>
    <row r="266" spans="1:21" outlineLevel="1" x14ac:dyDescent="0.3">
      <c r="A266" s="76" t="s">
        <v>28</v>
      </c>
      <c r="U266" s="77" t="s">
        <v>362</v>
      </c>
    </row>
    <row r="267" spans="1:21" outlineLevel="1" x14ac:dyDescent="0.3">
      <c r="U267" s="77" t="s">
        <v>362</v>
      </c>
    </row>
    <row r="268" spans="1:21" outlineLevel="1" x14ac:dyDescent="0.3">
      <c r="A268" s="40" t="s">
        <v>29</v>
      </c>
      <c r="U268" s="77" t="s">
        <v>362</v>
      </c>
    </row>
    <row r="269" spans="1:21" outlineLevel="1" x14ac:dyDescent="0.3">
      <c r="A269" s="40" t="s">
        <v>30</v>
      </c>
      <c r="U269" s="77" t="s">
        <v>362</v>
      </c>
    </row>
    <row r="270" spans="1:21" outlineLevel="1" x14ac:dyDescent="0.3">
      <c r="A270" s="40" t="s">
        <v>15</v>
      </c>
      <c r="U270" s="77" t="s">
        <v>362</v>
      </c>
    </row>
    <row r="271" spans="1:21" s="49" customFormat="1" outlineLevel="1" x14ac:dyDescent="0.3">
      <c r="A271" s="49" t="s">
        <v>3</v>
      </c>
      <c r="B271" s="49">
        <f t="shared" ref="B271:T271" si="3">SUM(B268:B270)</f>
        <v>0</v>
      </c>
      <c r="C271" s="49">
        <f t="shared" si="3"/>
        <v>0</v>
      </c>
      <c r="D271" s="49">
        <f t="shared" si="3"/>
        <v>0</v>
      </c>
      <c r="E271" s="49">
        <f t="shared" si="3"/>
        <v>0</v>
      </c>
      <c r="F271" s="49">
        <f t="shared" si="3"/>
        <v>0</v>
      </c>
      <c r="G271" s="49">
        <f t="shared" si="3"/>
        <v>0</v>
      </c>
      <c r="H271" s="49">
        <f t="shared" si="3"/>
        <v>0</v>
      </c>
      <c r="I271" s="49">
        <f t="shared" si="3"/>
        <v>0</v>
      </c>
      <c r="J271" s="49">
        <f t="shared" si="3"/>
        <v>0</v>
      </c>
      <c r="K271" s="49">
        <f t="shared" si="3"/>
        <v>0</v>
      </c>
      <c r="L271" s="49">
        <f t="shared" si="3"/>
        <v>0</v>
      </c>
      <c r="M271" s="49">
        <f t="shared" si="3"/>
        <v>0</v>
      </c>
      <c r="N271" s="49">
        <f t="shared" si="3"/>
        <v>0</v>
      </c>
      <c r="O271" s="49">
        <f t="shared" si="3"/>
        <v>0</v>
      </c>
      <c r="P271" s="49">
        <f t="shared" si="3"/>
        <v>0</v>
      </c>
      <c r="Q271" s="49">
        <f t="shared" si="3"/>
        <v>0</v>
      </c>
      <c r="R271" s="49">
        <f t="shared" si="3"/>
        <v>0</v>
      </c>
      <c r="S271" s="49">
        <f t="shared" si="3"/>
        <v>0</v>
      </c>
      <c r="T271" s="49">
        <f t="shared" si="3"/>
        <v>0</v>
      </c>
      <c r="U271" s="77" t="s">
        <v>362</v>
      </c>
    </row>
    <row r="272" spans="1:21" outlineLevel="1" x14ac:dyDescent="0.3">
      <c r="U272" s="77" t="s">
        <v>362</v>
      </c>
    </row>
    <row r="273" spans="1:21" outlineLevel="1" x14ac:dyDescent="0.3">
      <c r="A273" s="40" t="s">
        <v>31</v>
      </c>
      <c r="B273" s="40" t="e">
        <f>+B260/(AVERAGE(B271:B271))</f>
        <v>#DIV/0!</v>
      </c>
      <c r="C273" s="40" t="e">
        <f t="shared" ref="C273:U273" si="4">+C260/(AVERAGE(C271:C271))</f>
        <v>#DIV/0!</v>
      </c>
      <c r="D273" s="40" t="e">
        <f t="shared" si="4"/>
        <v>#DIV/0!</v>
      </c>
      <c r="E273" s="40" t="e">
        <f t="shared" si="4"/>
        <v>#DIV/0!</v>
      </c>
      <c r="F273" s="40" t="e">
        <f t="shared" si="4"/>
        <v>#DIV/0!</v>
      </c>
      <c r="G273" s="40" t="e">
        <f t="shared" si="4"/>
        <v>#DIV/0!</v>
      </c>
      <c r="H273" s="40" t="e">
        <f t="shared" si="4"/>
        <v>#DIV/0!</v>
      </c>
      <c r="I273" s="40" t="e">
        <f t="shared" si="4"/>
        <v>#DIV/0!</v>
      </c>
      <c r="J273" s="40" t="e">
        <f t="shared" si="4"/>
        <v>#DIV/0!</v>
      </c>
      <c r="K273" s="40" t="e">
        <f t="shared" si="4"/>
        <v>#DIV/0!</v>
      </c>
      <c r="L273" s="40" t="e">
        <f t="shared" si="4"/>
        <v>#DIV/0!</v>
      </c>
      <c r="M273" s="40" t="e">
        <f t="shared" si="4"/>
        <v>#DIV/0!</v>
      </c>
      <c r="N273" s="40" t="e">
        <f t="shared" si="4"/>
        <v>#DIV/0!</v>
      </c>
      <c r="O273" s="40" t="e">
        <f t="shared" si="4"/>
        <v>#DIV/0!</v>
      </c>
      <c r="P273" s="40" t="e">
        <f t="shared" si="4"/>
        <v>#DIV/0!</v>
      </c>
      <c r="Q273" s="40" t="e">
        <f t="shared" si="4"/>
        <v>#DIV/0!</v>
      </c>
      <c r="R273" s="40" t="e">
        <f t="shared" si="4"/>
        <v>#DIV/0!</v>
      </c>
      <c r="S273" s="40" t="e">
        <f t="shared" si="4"/>
        <v>#DIV/0!</v>
      </c>
      <c r="T273" s="40" t="e">
        <f t="shared" si="4"/>
        <v>#DIV/0!</v>
      </c>
      <c r="U273" s="40" t="e">
        <f t="shared" si="4"/>
        <v>#VALUE!</v>
      </c>
    </row>
    <row r="274" spans="1:21" outlineLevel="1" x14ac:dyDescent="0.3">
      <c r="U274" s="77" t="s">
        <v>362</v>
      </c>
    </row>
    <row r="275" spans="1:21" outlineLevel="1" x14ac:dyDescent="0.3">
      <c r="U275" s="77" t="s">
        <v>362</v>
      </c>
    </row>
    <row r="276" spans="1:21" outlineLevel="1" x14ac:dyDescent="0.3">
      <c r="A276" s="40" t="s">
        <v>49</v>
      </c>
      <c r="U276" s="77" t="s">
        <v>362</v>
      </c>
    </row>
    <row r="277" spans="1:21" outlineLevel="1" x14ac:dyDescent="0.3">
      <c r="A277" s="40" t="s">
        <v>0</v>
      </c>
      <c r="U277" s="77" t="s">
        <v>362</v>
      </c>
    </row>
    <row r="278" spans="1:21" outlineLevel="1" x14ac:dyDescent="0.3">
      <c r="A278" s="40" t="s">
        <v>55</v>
      </c>
      <c r="U278" s="77" t="s">
        <v>362</v>
      </c>
    </row>
    <row r="279" spans="1:21" outlineLevel="1" x14ac:dyDescent="0.3">
      <c r="A279" s="40" t="s">
        <v>56</v>
      </c>
      <c r="U279" s="77" t="s">
        <v>362</v>
      </c>
    </row>
    <row r="280" spans="1:21" outlineLevel="1" x14ac:dyDescent="0.3">
      <c r="A280" s="40" t="s">
        <v>5</v>
      </c>
      <c r="U280" s="77" t="s">
        <v>362</v>
      </c>
    </row>
    <row r="281" spans="1:21" outlineLevel="1" x14ac:dyDescent="0.3">
      <c r="A281" s="40" t="s">
        <v>54</v>
      </c>
      <c r="U281" s="77" t="s">
        <v>362</v>
      </c>
    </row>
    <row r="282" spans="1:21" outlineLevel="1" x14ac:dyDescent="0.3">
      <c r="A282" s="40" t="s">
        <v>1</v>
      </c>
      <c r="U282" s="77" t="s">
        <v>362</v>
      </c>
    </row>
    <row r="283" spans="1:21" outlineLevel="1" x14ac:dyDescent="0.3">
      <c r="A283" s="40" t="s">
        <v>36</v>
      </c>
      <c r="B283" s="40">
        <f>+B281+B282</f>
        <v>0</v>
      </c>
      <c r="C283" s="40">
        <f t="shared" ref="C283" si="5">+C281+C282</f>
        <v>0</v>
      </c>
      <c r="D283" s="40">
        <f t="shared" ref="D283:U283" si="6">+D281+D282</f>
        <v>0</v>
      </c>
      <c r="E283" s="40">
        <f t="shared" si="6"/>
        <v>0</v>
      </c>
      <c r="F283" s="40">
        <f t="shared" si="6"/>
        <v>0</v>
      </c>
      <c r="G283" s="40">
        <f t="shared" si="6"/>
        <v>0</v>
      </c>
      <c r="H283" s="40">
        <f t="shared" si="6"/>
        <v>0</v>
      </c>
      <c r="I283" s="40">
        <f t="shared" si="6"/>
        <v>0</v>
      </c>
      <c r="J283" s="40">
        <f t="shared" si="6"/>
        <v>0</v>
      </c>
      <c r="K283" s="40">
        <f t="shared" si="6"/>
        <v>0</v>
      </c>
      <c r="L283" s="40">
        <f t="shared" si="6"/>
        <v>0</v>
      </c>
      <c r="M283" s="40">
        <f t="shared" si="6"/>
        <v>0</v>
      </c>
      <c r="N283" s="40">
        <f t="shared" si="6"/>
        <v>0</v>
      </c>
      <c r="O283" s="40">
        <f t="shared" si="6"/>
        <v>0</v>
      </c>
      <c r="P283" s="40">
        <f t="shared" si="6"/>
        <v>0</v>
      </c>
      <c r="Q283" s="40">
        <f t="shared" si="6"/>
        <v>0</v>
      </c>
      <c r="R283" s="40">
        <f t="shared" si="6"/>
        <v>0</v>
      </c>
      <c r="S283" s="40">
        <f t="shared" si="6"/>
        <v>0</v>
      </c>
      <c r="T283" s="40">
        <f t="shared" si="6"/>
        <v>0</v>
      </c>
      <c r="U283" s="40" t="e">
        <f t="shared" si="6"/>
        <v>#VALUE!</v>
      </c>
    </row>
    <row r="284" spans="1:21" outlineLevel="1" x14ac:dyDescent="0.3">
      <c r="A284" s="40" t="s">
        <v>37</v>
      </c>
      <c r="B284" s="40" t="e">
        <f t="shared" ref="B284:C284" si="7">+B283/C277</f>
        <v>#DIV/0!</v>
      </c>
      <c r="C284" s="40" t="e">
        <f t="shared" si="7"/>
        <v>#DIV/0!</v>
      </c>
      <c r="D284" s="40" t="e">
        <f t="shared" ref="D284" si="8">+D283/E277</f>
        <v>#DIV/0!</v>
      </c>
      <c r="E284" s="40" t="e">
        <f t="shared" ref="E284" si="9">+E283/F277</f>
        <v>#DIV/0!</v>
      </c>
      <c r="F284" s="40" t="e">
        <f t="shared" ref="F284" si="10">+F283/G277</f>
        <v>#DIV/0!</v>
      </c>
      <c r="G284" s="40" t="e">
        <f t="shared" ref="G284" si="11">+G283/H277</f>
        <v>#DIV/0!</v>
      </c>
      <c r="H284" s="40" t="e">
        <f t="shared" ref="H284" si="12">+H283/I277</f>
        <v>#DIV/0!</v>
      </c>
      <c r="I284" s="40" t="e">
        <f t="shared" ref="I284" si="13">+I283/J277</f>
        <v>#DIV/0!</v>
      </c>
      <c r="J284" s="40" t="e">
        <f t="shared" ref="J284" si="14">+J283/K277</f>
        <v>#DIV/0!</v>
      </c>
      <c r="K284" s="40" t="e">
        <f t="shared" ref="K284" si="15">+K283/L277</f>
        <v>#DIV/0!</v>
      </c>
      <c r="L284" s="40" t="e">
        <f t="shared" ref="L284" si="16">+L283/M277</f>
        <v>#DIV/0!</v>
      </c>
      <c r="M284" s="40" t="e">
        <f t="shared" ref="M284" si="17">+M283/N277</f>
        <v>#DIV/0!</v>
      </c>
      <c r="N284" s="40" t="e">
        <f t="shared" ref="N284" si="18">+N283/O277</f>
        <v>#DIV/0!</v>
      </c>
      <c r="O284" s="40" t="e">
        <f t="shared" ref="O284" si="19">+O283/P277</f>
        <v>#DIV/0!</v>
      </c>
      <c r="P284" s="40" t="e">
        <f t="shared" ref="P284" si="20">+P283/Q277</f>
        <v>#DIV/0!</v>
      </c>
      <c r="Q284" s="40" t="e">
        <f t="shared" ref="Q284" si="21">+Q283/R277</f>
        <v>#DIV/0!</v>
      </c>
      <c r="R284" s="40" t="e">
        <f t="shared" ref="R284" si="22">+R283/S277</f>
        <v>#DIV/0!</v>
      </c>
      <c r="S284" s="40" t="e">
        <f t="shared" ref="S284" si="23">+S283/T277</f>
        <v>#DIV/0!</v>
      </c>
      <c r="T284" s="40" t="e">
        <f t="shared" ref="T284" si="24">+T283/U277</f>
        <v>#VALUE!</v>
      </c>
      <c r="U284" s="40" t="e">
        <f t="shared" ref="U284" si="25">+U283/V277</f>
        <v>#VALUE!</v>
      </c>
    </row>
    <row r="285" spans="1:21" outlineLevel="1" x14ac:dyDescent="0.3"/>
    <row r="286" spans="1:21" outlineLevel="1" x14ac:dyDescent="0.3"/>
    <row r="288" spans="1:21" s="78" customFormat="1" x14ac:dyDescent="0.3">
      <c r="A288" s="78" t="s">
        <v>361</v>
      </c>
      <c r="B288" s="78" t="s">
        <v>362</v>
      </c>
      <c r="C288" s="78" t="s">
        <v>362</v>
      </c>
      <c r="D288" s="78" t="s">
        <v>362</v>
      </c>
      <c r="E288" s="78" t="s">
        <v>362</v>
      </c>
      <c r="F288" s="78" t="s">
        <v>362</v>
      </c>
      <c r="G288" s="78" t="s">
        <v>362</v>
      </c>
      <c r="H288" s="78" t="s">
        <v>362</v>
      </c>
      <c r="I288" s="78" t="s">
        <v>362</v>
      </c>
      <c r="J288" s="78" t="s">
        <v>362</v>
      </c>
      <c r="K288" s="78" t="s">
        <v>362</v>
      </c>
      <c r="L288" s="78" t="s">
        <v>362</v>
      </c>
      <c r="M288" s="78" t="s">
        <v>362</v>
      </c>
      <c r="N288" s="78" t="s">
        <v>362</v>
      </c>
      <c r="O288" s="78" t="s">
        <v>362</v>
      </c>
      <c r="P288" s="78" t="s">
        <v>362</v>
      </c>
      <c r="Q288" s="78" t="s">
        <v>362</v>
      </c>
      <c r="R288" s="78" t="s">
        <v>362</v>
      </c>
      <c r="S288" s="78" t="s">
        <v>362</v>
      </c>
      <c r="T288" s="78" t="s">
        <v>362</v>
      </c>
      <c r="U288" s="78" t="s">
        <v>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25D2-DC82-4192-8BB3-F3AE4196EB3D}">
  <dimension ref="A1:H57"/>
  <sheetViews>
    <sheetView workbookViewId="0">
      <selection activeCell="A15" sqref="A15"/>
    </sheetView>
  </sheetViews>
  <sheetFormatPr defaultRowHeight="16.5" x14ac:dyDescent="0.3"/>
  <cols>
    <col min="1" max="1" width="45" style="40" customWidth="1"/>
    <col min="2" max="2" width="3.7109375" style="40" customWidth="1"/>
    <col min="3" max="3" width="11" style="40" customWidth="1"/>
    <col min="4" max="4" width="12.28515625" style="40" customWidth="1"/>
    <col min="5" max="5" width="12.7109375" style="40" customWidth="1"/>
    <col min="6" max="6" width="13.28515625" style="40" customWidth="1"/>
    <col min="7" max="16384" width="9.140625" style="40"/>
  </cols>
  <sheetData>
    <row r="1" spans="1:8" x14ac:dyDescent="0.3">
      <c r="C1" s="40">
        <v>2019</v>
      </c>
      <c r="D1" s="40">
        <f>C1+1</f>
        <v>2020</v>
      </c>
      <c r="E1" s="40">
        <f t="shared" ref="E1:F1" si="0">D1+1</f>
        <v>2021</v>
      </c>
      <c r="F1" s="40">
        <f t="shared" si="0"/>
        <v>2022</v>
      </c>
      <c r="G1" s="42" t="s">
        <v>85</v>
      </c>
      <c r="H1" s="42" t="s">
        <v>88</v>
      </c>
    </row>
    <row r="2" spans="1:8" s="49" customFormat="1" x14ac:dyDescent="0.3">
      <c r="A2" s="49" t="s">
        <v>89</v>
      </c>
      <c r="B2" s="62"/>
      <c r="C2" s="58">
        <v>7824904</v>
      </c>
      <c r="D2" s="58">
        <v>16257933</v>
      </c>
      <c r="E2" s="58">
        <v>36136423</v>
      </c>
      <c r="F2" s="58">
        <v>49268561</v>
      </c>
    </row>
    <row r="3" spans="1:8" x14ac:dyDescent="0.3">
      <c r="A3" s="40" t="s">
        <v>90</v>
      </c>
      <c r="B3" s="39"/>
      <c r="C3" s="56">
        <v>9023726</v>
      </c>
      <c r="D3" s="56">
        <v>14384514</v>
      </c>
      <c r="E3" s="56">
        <v>29314990</v>
      </c>
      <c r="F3" s="56">
        <v>44124568</v>
      </c>
    </row>
    <row r="4" spans="1:8" x14ac:dyDescent="0.3">
      <c r="A4" s="40" t="s">
        <v>91</v>
      </c>
      <c r="B4" s="39"/>
      <c r="C4" s="56">
        <v>-1198822</v>
      </c>
      <c r="D4" s="56">
        <v>1873419</v>
      </c>
      <c r="E4" s="56">
        <v>6821433</v>
      </c>
      <c r="F4" s="56">
        <v>5143993</v>
      </c>
    </row>
    <row r="5" spans="1:8" x14ac:dyDescent="0.3">
      <c r="A5" s="40" t="s">
        <v>313</v>
      </c>
      <c r="B5" s="39"/>
      <c r="C5" s="55">
        <f>C3/C2</f>
        <v>1.1532059690444765</v>
      </c>
      <c r="D5" s="55">
        <f t="shared" ref="D5:F5" si="1">D3/D2</f>
        <v>0.88476893095819742</v>
      </c>
      <c r="E5" s="55">
        <f t="shared" si="1"/>
        <v>0.81123109500904389</v>
      </c>
      <c r="F5" s="55">
        <f t="shared" si="1"/>
        <v>0.8955927898929299</v>
      </c>
    </row>
    <row r="6" spans="1:8" s="49" customFormat="1" x14ac:dyDescent="0.3">
      <c r="A6" s="49" t="s">
        <v>92</v>
      </c>
      <c r="B6" s="62"/>
      <c r="C6" s="58">
        <v>9880367</v>
      </c>
      <c r="D6" s="58">
        <v>6481064</v>
      </c>
      <c r="E6" s="58">
        <v>11317736</v>
      </c>
      <c r="F6" s="58">
        <v>20784652</v>
      </c>
    </row>
    <row r="7" spans="1:8" x14ac:dyDescent="0.3">
      <c r="A7" s="40" t="s">
        <v>287</v>
      </c>
      <c r="B7" s="39"/>
      <c r="C7" s="56">
        <v>4885964</v>
      </c>
      <c r="D7" s="56">
        <v>3597139</v>
      </c>
      <c r="E7" s="56">
        <v>6486092</v>
      </c>
      <c r="F7" s="56">
        <v>10537119</v>
      </c>
    </row>
    <row r="8" spans="1:8" x14ac:dyDescent="0.3">
      <c r="A8" s="40" t="s">
        <v>288</v>
      </c>
      <c r="C8" s="56">
        <v>4067911</v>
      </c>
      <c r="D8" s="56">
        <v>2921997</v>
      </c>
      <c r="E8" s="56">
        <v>5057802</v>
      </c>
      <c r="F8" s="57" t="s">
        <v>101</v>
      </c>
    </row>
    <row r="9" spans="1:8" x14ac:dyDescent="0.3">
      <c r="A9" s="40" t="s">
        <v>289</v>
      </c>
      <c r="C9" s="56">
        <v>2231698</v>
      </c>
      <c r="D9" s="56">
        <v>1687945</v>
      </c>
      <c r="E9" s="56">
        <v>2894308</v>
      </c>
      <c r="F9" s="57" t="s">
        <v>101</v>
      </c>
    </row>
    <row r="10" spans="1:8" x14ac:dyDescent="0.3">
      <c r="A10" s="40" t="s">
        <v>290</v>
      </c>
      <c r="C10" s="56">
        <v>737578</v>
      </c>
      <c r="D10" s="56">
        <v>498601</v>
      </c>
      <c r="E10" s="56">
        <v>845512</v>
      </c>
      <c r="F10" s="57" t="s">
        <v>101</v>
      </c>
    </row>
    <row r="11" spans="1:8" x14ac:dyDescent="0.3">
      <c r="A11" s="40" t="s">
        <v>291</v>
      </c>
      <c r="C11" s="56">
        <v>1098635</v>
      </c>
      <c r="D11" s="56">
        <v>735451</v>
      </c>
      <c r="E11" s="56">
        <v>1317982</v>
      </c>
      <c r="F11" s="57" t="s">
        <v>101</v>
      </c>
    </row>
    <row r="12" spans="1:8" x14ac:dyDescent="0.3">
      <c r="A12" s="40" t="s">
        <v>292</v>
      </c>
      <c r="C12" s="56">
        <v>818053</v>
      </c>
      <c r="D12" s="56">
        <v>675142</v>
      </c>
      <c r="E12" s="56">
        <v>1428290</v>
      </c>
      <c r="F12" s="57" t="s">
        <v>101</v>
      </c>
    </row>
    <row r="13" spans="1:8" x14ac:dyDescent="0.3">
      <c r="A13" s="40" t="s">
        <v>293</v>
      </c>
      <c r="B13" s="39"/>
      <c r="C13" s="56">
        <v>4428580</v>
      </c>
      <c r="D13" s="56">
        <v>2487770</v>
      </c>
      <c r="E13" s="56">
        <v>4591852</v>
      </c>
      <c r="F13" s="56">
        <v>10836261</v>
      </c>
    </row>
    <row r="14" spans="1:8" x14ac:dyDescent="0.3">
      <c r="A14" s="40" t="s">
        <v>224</v>
      </c>
      <c r="C14" s="56">
        <v>457364</v>
      </c>
      <c r="D14" s="56">
        <v>325478</v>
      </c>
      <c r="E14" s="56">
        <v>337708</v>
      </c>
      <c r="F14" s="57" t="s">
        <v>101</v>
      </c>
    </row>
    <row r="15" spans="1:8" x14ac:dyDescent="0.3">
      <c r="A15" s="49" t="s">
        <v>225</v>
      </c>
      <c r="C15" s="56">
        <v>457364</v>
      </c>
      <c r="D15" s="56">
        <v>325478</v>
      </c>
      <c r="E15" s="56">
        <v>337708</v>
      </c>
      <c r="F15" s="57" t="s">
        <v>101</v>
      </c>
    </row>
    <row r="16" spans="1:8" x14ac:dyDescent="0.3">
      <c r="A16" s="40" t="s">
        <v>294</v>
      </c>
      <c r="C16" s="56">
        <v>108459</v>
      </c>
      <c r="D16" s="56">
        <v>9654</v>
      </c>
      <c r="E16" s="56">
        <v>54332</v>
      </c>
      <c r="F16" s="57" t="s">
        <v>101</v>
      </c>
    </row>
    <row r="17" spans="1:6" x14ac:dyDescent="0.3">
      <c r="A17" s="40" t="s">
        <v>295</v>
      </c>
      <c r="B17" s="39"/>
      <c r="C17" s="56">
        <v>108459</v>
      </c>
      <c r="D17" s="56">
        <v>61023</v>
      </c>
      <c r="E17" s="56">
        <v>-152248</v>
      </c>
      <c r="F17" s="56">
        <v>-588728</v>
      </c>
    </row>
    <row r="18" spans="1:6" x14ac:dyDescent="0.3">
      <c r="A18" s="40" t="s">
        <v>93</v>
      </c>
      <c r="B18" s="39"/>
      <c r="C18" s="56">
        <v>-11079189</v>
      </c>
      <c r="D18" s="56">
        <v>-4607645</v>
      </c>
      <c r="E18" s="56">
        <v>-4496303</v>
      </c>
      <c r="F18" s="56">
        <v>-15640659</v>
      </c>
    </row>
    <row r="19" spans="1:6" x14ac:dyDescent="0.3">
      <c r="A19" s="40" t="s">
        <v>94</v>
      </c>
      <c r="B19" s="39"/>
      <c r="C19" s="56">
        <v>-210257</v>
      </c>
      <c r="D19" s="56">
        <v>-259111</v>
      </c>
      <c r="E19" s="56">
        <v>274423</v>
      </c>
      <c r="F19" s="56">
        <v>1025503</v>
      </c>
    </row>
    <row r="20" spans="1:6" x14ac:dyDescent="0.3">
      <c r="A20" s="40" t="s">
        <v>296</v>
      </c>
      <c r="B20" s="39"/>
      <c r="C20" s="56">
        <v>160279</v>
      </c>
      <c r="D20" s="56">
        <v>166904</v>
      </c>
      <c r="E20" s="56">
        <v>911833</v>
      </c>
      <c r="F20" s="56">
        <v>1358719</v>
      </c>
    </row>
    <row r="21" spans="1:6" x14ac:dyDescent="0.3">
      <c r="A21" s="40" t="s">
        <v>297</v>
      </c>
      <c r="B21" s="39"/>
      <c r="C21" s="56">
        <v>370536</v>
      </c>
      <c r="D21" s="56">
        <v>426015</v>
      </c>
      <c r="E21" s="56">
        <v>637410</v>
      </c>
      <c r="F21" s="56">
        <v>333216</v>
      </c>
    </row>
    <row r="22" spans="1:6" x14ac:dyDescent="0.3">
      <c r="A22" s="40" t="s">
        <v>95</v>
      </c>
      <c r="B22" s="39"/>
      <c r="C22" s="56">
        <v>1682</v>
      </c>
      <c r="D22" s="56">
        <v>-430958</v>
      </c>
      <c r="E22" s="56">
        <v>247196</v>
      </c>
      <c r="F22" s="56">
        <v>233155</v>
      </c>
    </row>
    <row r="23" spans="1:6" x14ac:dyDescent="0.3">
      <c r="A23" s="40" t="s">
        <v>298</v>
      </c>
      <c r="B23" s="39"/>
      <c r="C23" s="56">
        <v>-64478</v>
      </c>
      <c r="D23" s="56">
        <v>-66030</v>
      </c>
      <c r="E23" s="56">
        <v>62510</v>
      </c>
      <c r="F23" s="56">
        <v>377775</v>
      </c>
    </row>
    <row r="24" spans="1:6" x14ac:dyDescent="0.3">
      <c r="A24" s="40" t="s">
        <v>299</v>
      </c>
      <c r="B24" s="39"/>
      <c r="C24" s="57" t="s">
        <v>101</v>
      </c>
      <c r="D24" s="57" t="s">
        <v>101</v>
      </c>
      <c r="E24" s="57" t="s">
        <v>101</v>
      </c>
      <c r="F24" s="56">
        <v>138332</v>
      </c>
    </row>
    <row r="25" spans="1:6" x14ac:dyDescent="0.3">
      <c r="A25" s="40" t="s">
        <v>300</v>
      </c>
      <c r="B25" s="39"/>
      <c r="C25" s="57" t="s">
        <v>101</v>
      </c>
      <c r="D25" s="57" t="s">
        <v>101</v>
      </c>
      <c r="E25" s="57" t="s">
        <v>101</v>
      </c>
      <c r="F25" s="56">
        <v>-138332</v>
      </c>
    </row>
    <row r="26" spans="1:6" x14ac:dyDescent="0.3">
      <c r="A26" s="40" t="s">
        <v>301</v>
      </c>
      <c r="B26" s="39"/>
      <c r="C26" s="56">
        <v>66160</v>
      </c>
      <c r="D26" s="56">
        <v>-364928</v>
      </c>
      <c r="E26" s="56">
        <v>184686</v>
      </c>
      <c r="F26" s="56">
        <v>-282952</v>
      </c>
    </row>
    <row r="27" spans="1:6" x14ac:dyDescent="0.3">
      <c r="A27" s="40" t="s">
        <v>96</v>
      </c>
      <c r="B27" s="39"/>
      <c r="C27" s="56">
        <v>-11287764</v>
      </c>
      <c r="D27" s="56">
        <v>-5297714</v>
      </c>
      <c r="E27" s="56">
        <v>-3974684</v>
      </c>
      <c r="F27" s="56">
        <v>-14382001</v>
      </c>
    </row>
    <row r="28" spans="1:6" x14ac:dyDescent="0.3">
      <c r="A28" s="40" t="s">
        <v>97</v>
      </c>
      <c r="B28" s="39"/>
      <c r="C28" s="56">
        <v>7888</v>
      </c>
      <c r="D28" s="56">
        <v>6368</v>
      </c>
      <c r="E28" s="56">
        <v>42265</v>
      </c>
      <c r="F28" s="56">
        <v>55103</v>
      </c>
    </row>
    <row r="29" spans="1:6" x14ac:dyDescent="0.3">
      <c r="A29" s="40" t="s">
        <v>98</v>
      </c>
      <c r="B29" s="39"/>
      <c r="C29" s="56">
        <v>-11413101</v>
      </c>
      <c r="D29" s="56">
        <v>-5610790</v>
      </c>
      <c r="E29" s="56">
        <v>-10572309</v>
      </c>
      <c r="F29" s="56">
        <v>-14559445</v>
      </c>
    </row>
    <row r="30" spans="1:6" x14ac:dyDescent="0.3">
      <c r="A30" s="40" t="s">
        <v>302</v>
      </c>
      <c r="B30" s="39"/>
      <c r="C30" s="56">
        <v>-11413101</v>
      </c>
      <c r="D30" s="56">
        <v>-5610790</v>
      </c>
      <c r="E30" s="56">
        <v>-10572309</v>
      </c>
      <c r="F30" s="56">
        <v>-14559445</v>
      </c>
    </row>
    <row r="31" spans="1:6" x14ac:dyDescent="0.3">
      <c r="A31" s="40" t="s">
        <v>303</v>
      </c>
      <c r="B31" s="39"/>
      <c r="C31" s="56">
        <v>-11295652</v>
      </c>
      <c r="D31" s="56">
        <v>-5304082</v>
      </c>
      <c r="E31" s="56">
        <v>-4016949</v>
      </c>
      <c r="F31" s="56">
        <v>-14437104</v>
      </c>
    </row>
    <row r="32" spans="1:6" x14ac:dyDescent="0.3">
      <c r="A32" s="40" t="s">
        <v>304</v>
      </c>
      <c r="B32" s="39"/>
      <c r="C32" s="56">
        <v>-11295652</v>
      </c>
      <c r="D32" s="56">
        <v>-5304082</v>
      </c>
      <c r="E32" s="56">
        <v>-4016949</v>
      </c>
      <c r="F32" s="56">
        <v>-14437104</v>
      </c>
    </row>
    <row r="33" spans="1:6" x14ac:dyDescent="0.3">
      <c r="A33" s="40" t="s">
        <v>305</v>
      </c>
      <c r="B33" s="39"/>
      <c r="C33" s="56">
        <v>-117449</v>
      </c>
      <c r="D33" s="56">
        <v>-306708</v>
      </c>
      <c r="E33" s="56">
        <v>-6555360</v>
      </c>
      <c r="F33" s="56">
        <v>-122341</v>
      </c>
    </row>
    <row r="34" spans="1:6" x14ac:dyDescent="0.3">
      <c r="A34" s="40" t="s">
        <v>306</v>
      </c>
      <c r="C34" s="57">
        <v>0</v>
      </c>
      <c r="D34" s="57">
        <v>0</v>
      </c>
      <c r="E34" s="56">
        <v>6586579</v>
      </c>
      <c r="F34" s="57" t="s">
        <v>101</v>
      </c>
    </row>
    <row r="35" spans="1:6" x14ac:dyDescent="0.3">
      <c r="A35" s="40" t="s">
        <v>99</v>
      </c>
      <c r="B35" s="39"/>
      <c r="C35" s="56">
        <v>-11413101</v>
      </c>
      <c r="D35" s="56">
        <v>-5610790</v>
      </c>
      <c r="E35" s="56">
        <v>-10572309</v>
      </c>
      <c r="F35" s="56">
        <v>-14559445</v>
      </c>
    </row>
    <row r="36" spans="1:6" x14ac:dyDescent="0.3">
      <c r="A36" s="40" t="s">
        <v>100</v>
      </c>
      <c r="C36" s="57">
        <v>-11.08</v>
      </c>
      <c r="D36" s="57">
        <v>-4.74</v>
      </c>
      <c r="E36" s="57">
        <v>-6.72</v>
      </c>
      <c r="F36" s="57">
        <v>-8.89</v>
      </c>
    </row>
    <row r="37" spans="1:6" x14ac:dyDescent="0.3">
      <c r="A37" s="40" t="s">
        <v>102</v>
      </c>
      <c r="C37" s="57">
        <v>-11.08</v>
      </c>
      <c r="D37" s="57">
        <v>-4.74</v>
      </c>
      <c r="E37" s="57">
        <v>-6.72</v>
      </c>
      <c r="F37" s="57">
        <v>-8.89</v>
      </c>
    </row>
    <row r="38" spans="1:6" x14ac:dyDescent="0.3">
      <c r="A38" s="40" t="s">
        <v>103</v>
      </c>
      <c r="C38" s="56">
        <v>1029932</v>
      </c>
      <c r="D38" s="56">
        <v>1182661</v>
      </c>
      <c r="E38" s="56">
        <v>1572702</v>
      </c>
      <c r="F38" s="56">
        <v>1636999</v>
      </c>
    </row>
    <row r="39" spans="1:6" x14ac:dyDescent="0.3">
      <c r="A39" s="40" t="s">
        <v>104</v>
      </c>
      <c r="C39" s="56">
        <v>1029932</v>
      </c>
      <c r="D39" s="56">
        <v>1182661</v>
      </c>
      <c r="E39" s="56">
        <v>1572702</v>
      </c>
      <c r="F39" s="56">
        <v>1636999</v>
      </c>
    </row>
    <row r="40" spans="1:6" x14ac:dyDescent="0.3">
      <c r="A40" s="40" t="s">
        <v>105</v>
      </c>
      <c r="B40" s="39"/>
      <c r="C40" s="56">
        <v>-11079189</v>
      </c>
      <c r="D40" s="56">
        <v>-4607645</v>
      </c>
      <c r="E40" s="56">
        <v>-4496303</v>
      </c>
      <c r="F40" s="56">
        <v>-15640659</v>
      </c>
    </row>
    <row r="41" spans="1:6" x14ac:dyDescent="0.3">
      <c r="A41" s="40" t="s">
        <v>106</v>
      </c>
      <c r="C41" s="56">
        <v>737578</v>
      </c>
      <c r="D41" s="56">
        <v>498601</v>
      </c>
      <c r="E41" s="56">
        <v>845512</v>
      </c>
      <c r="F41" s="57" t="s">
        <v>101</v>
      </c>
    </row>
    <row r="42" spans="1:6" x14ac:dyDescent="0.3">
      <c r="A42" s="40" t="s">
        <v>107</v>
      </c>
      <c r="B42" s="39"/>
      <c r="C42" s="56">
        <v>18904093</v>
      </c>
      <c r="D42" s="56">
        <v>20865578</v>
      </c>
      <c r="E42" s="56">
        <v>40632726</v>
      </c>
      <c r="F42" s="56">
        <v>64909220</v>
      </c>
    </row>
    <row r="43" spans="1:6" x14ac:dyDescent="0.3">
      <c r="A43" s="40" t="s">
        <v>108</v>
      </c>
      <c r="B43" s="39"/>
      <c r="C43" s="56">
        <v>-11413101</v>
      </c>
      <c r="D43" s="56">
        <v>-5610790</v>
      </c>
      <c r="E43" s="56">
        <v>-10572309</v>
      </c>
      <c r="F43" s="56">
        <v>-14559445</v>
      </c>
    </row>
    <row r="44" spans="1:6" x14ac:dyDescent="0.3">
      <c r="A44" s="40" t="s">
        <v>109</v>
      </c>
      <c r="B44" s="39"/>
      <c r="C44" s="56">
        <v>-11413101</v>
      </c>
      <c r="D44" s="56">
        <v>-5610790</v>
      </c>
      <c r="E44" s="56">
        <v>-10572309</v>
      </c>
      <c r="F44" s="56">
        <v>-14642444</v>
      </c>
    </row>
    <row r="45" spans="1:6" x14ac:dyDescent="0.3">
      <c r="A45" s="40" t="s">
        <v>110</v>
      </c>
      <c r="B45" s="39"/>
      <c r="C45" s="56">
        <v>160279</v>
      </c>
      <c r="D45" s="56">
        <v>166904</v>
      </c>
      <c r="E45" s="56">
        <v>911833</v>
      </c>
      <c r="F45" s="56">
        <v>1358719</v>
      </c>
    </row>
    <row r="46" spans="1:6" x14ac:dyDescent="0.3">
      <c r="A46" s="40" t="s">
        <v>111</v>
      </c>
      <c r="B46" s="39"/>
      <c r="C46" s="56">
        <v>370536</v>
      </c>
      <c r="D46" s="56">
        <v>426015</v>
      </c>
      <c r="E46" s="56">
        <v>637410</v>
      </c>
      <c r="F46" s="56">
        <v>333216</v>
      </c>
    </row>
    <row r="47" spans="1:6" x14ac:dyDescent="0.3">
      <c r="A47" s="40" t="s">
        <v>112</v>
      </c>
      <c r="B47" s="39"/>
      <c r="C47" s="56">
        <v>-210257</v>
      </c>
      <c r="D47" s="56">
        <v>-259111</v>
      </c>
      <c r="E47" s="56">
        <v>274423</v>
      </c>
      <c r="F47" s="56">
        <v>1025503</v>
      </c>
    </row>
    <row r="48" spans="1:6" x14ac:dyDescent="0.3">
      <c r="A48" s="40" t="s">
        <v>113</v>
      </c>
      <c r="B48" s="39"/>
      <c r="C48" s="56">
        <v>-10917228</v>
      </c>
      <c r="D48" s="56">
        <v>-4871699</v>
      </c>
      <c r="E48" s="56">
        <v>-3337274</v>
      </c>
      <c r="F48" s="56">
        <v>-14048785</v>
      </c>
    </row>
    <row r="49" spans="1:6" x14ac:dyDescent="0.3">
      <c r="A49" s="40" t="s">
        <v>114</v>
      </c>
      <c r="B49" s="39"/>
      <c r="C49" s="57" t="s">
        <v>101</v>
      </c>
      <c r="D49" s="57" t="s">
        <v>101</v>
      </c>
      <c r="E49" s="57" t="s">
        <v>101</v>
      </c>
      <c r="F49" s="57" t="s">
        <v>101</v>
      </c>
    </row>
    <row r="50" spans="1:6" x14ac:dyDescent="0.3">
      <c r="A50" s="40" t="s">
        <v>115</v>
      </c>
      <c r="B50" s="39"/>
      <c r="C50" s="56">
        <v>7960117</v>
      </c>
      <c r="D50" s="56">
        <v>13164271</v>
      </c>
      <c r="E50" s="56">
        <v>27300784</v>
      </c>
      <c r="F50" s="56">
        <v>44124568</v>
      </c>
    </row>
    <row r="51" spans="1:6" x14ac:dyDescent="0.3">
      <c r="A51" s="40" t="s">
        <v>116</v>
      </c>
      <c r="C51" s="56">
        <v>1520973</v>
      </c>
      <c r="D51" s="56">
        <v>1545721</v>
      </c>
      <c r="E51" s="56">
        <v>2351914</v>
      </c>
      <c r="F51" s="57" t="s">
        <v>101</v>
      </c>
    </row>
    <row r="52" spans="1:6" x14ac:dyDescent="0.3">
      <c r="A52" s="40" t="s">
        <v>117</v>
      </c>
      <c r="B52" s="39"/>
      <c r="C52" s="56">
        <v>-11413101</v>
      </c>
      <c r="D52" s="56">
        <v>-5610790</v>
      </c>
      <c r="E52" s="56">
        <v>-10572309</v>
      </c>
      <c r="F52" s="56">
        <v>-14559445</v>
      </c>
    </row>
    <row r="53" spans="1:6" x14ac:dyDescent="0.3">
      <c r="A53" s="40" t="s">
        <v>118</v>
      </c>
      <c r="B53" s="39"/>
      <c r="C53" s="57" t="s">
        <v>101</v>
      </c>
      <c r="D53" s="57" t="s">
        <v>101</v>
      </c>
      <c r="E53" s="57" t="s">
        <v>101</v>
      </c>
      <c r="F53" s="56">
        <v>138332</v>
      </c>
    </row>
    <row r="54" spans="1:6" x14ac:dyDescent="0.3">
      <c r="A54" s="40" t="s">
        <v>119</v>
      </c>
      <c r="B54" s="39"/>
      <c r="C54" s="57" t="s">
        <v>101</v>
      </c>
      <c r="D54" s="57" t="s">
        <v>101</v>
      </c>
      <c r="E54" s="57" t="s">
        <v>101</v>
      </c>
      <c r="F54" s="56">
        <v>138332</v>
      </c>
    </row>
    <row r="55" spans="1:6" x14ac:dyDescent="0.3">
      <c r="A55" s="40" t="s">
        <v>120</v>
      </c>
      <c r="B55" s="39"/>
      <c r="C55" s="56">
        <v>-9396255</v>
      </c>
      <c r="D55" s="56">
        <v>-3325978</v>
      </c>
      <c r="E55" s="56">
        <v>-985360</v>
      </c>
      <c r="F55" s="56">
        <v>-14187117</v>
      </c>
    </row>
    <row r="56" spans="1:6" x14ac:dyDescent="0.3">
      <c r="A56" s="40" t="s">
        <v>121</v>
      </c>
      <c r="C56" s="57">
        <v>0</v>
      </c>
      <c r="D56" s="57">
        <v>0</v>
      </c>
      <c r="E56" s="57">
        <v>0</v>
      </c>
      <c r="F56" s="57">
        <v>0</v>
      </c>
    </row>
    <row r="57" spans="1:6" x14ac:dyDescent="0.3">
      <c r="A57" s="40" t="s">
        <v>122</v>
      </c>
      <c r="B57" s="39"/>
      <c r="C57" s="57">
        <v>0</v>
      </c>
      <c r="D57" s="57">
        <v>0</v>
      </c>
      <c r="E57" s="57">
        <v>0</v>
      </c>
      <c r="F57" s="56">
        <v>55333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6C63-DF52-4C1F-A05F-B9584BFAEBEF}">
  <dimension ref="A1:H95"/>
  <sheetViews>
    <sheetView workbookViewId="0">
      <selection activeCell="C4" sqref="C4"/>
    </sheetView>
  </sheetViews>
  <sheetFormatPr defaultRowHeight="16.5" x14ac:dyDescent="0.3"/>
  <cols>
    <col min="1" max="1" width="37.28515625" style="40" customWidth="1"/>
    <col min="2" max="2" width="3.28515625" style="40" customWidth="1"/>
    <col min="3" max="3" width="14" style="40" customWidth="1"/>
    <col min="4" max="4" width="16.140625" style="40" customWidth="1"/>
    <col min="5" max="5" width="15.140625" style="40" customWidth="1"/>
    <col min="6" max="6" width="13.140625" style="40" customWidth="1"/>
    <col min="7" max="7" width="14.28515625" style="40" customWidth="1"/>
    <col min="8" max="16384" width="9.140625" style="40"/>
  </cols>
  <sheetData>
    <row r="1" spans="1:8" x14ac:dyDescent="0.3">
      <c r="A1" s="48" t="s">
        <v>214</v>
      </c>
      <c r="B1" s="46"/>
      <c r="C1" s="46">
        <v>2019</v>
      </c>
      <c r="D1" s="46">
        <f>C1+1</f>
        <v>2020</v>
      </c>
      <c r="E1" s="46">
        <f t="shared" ref="E1:F1" si="0">D1+1</f>
        <v>2021</v>
      </c>
      <c r="F1" s="46">
        <f t="shared" si="0"/>
        <v>2022</v>
      </c>
      <c r="G1" s="47" t="s">
        <v>85</v>
      </c>
      <c r="H1" s="47" t="s">
        <v>88</v>
      </c>
    </row>
    <row r="2" spans="1:8" s="49" customFormat="1" x14ac:dyDescent="0.3">
      <c r="A2" s="49" t="s">
        <v>123</v>
      </c>
      <c r="C2" s="58">
        <v>14582029</v>
      </c>
      <c r="D2" s="58">
        <v>54641929</v>
      </c>
      <c r="E2" s="58">
        <v>82883601</v>
      </c>
      <c r="F2" s="58">
        <v>96263925</v>
      </c>
      <c r="G2" s="65">
        <f>F2*'IncomeStatements-quarterly'!S1</f>
        <v>13532568.355942925</v>
      </c>
    </row>
    <row r="3" spans="1:8" x14ac:dyDescent="0.3">
      <c r="A3" s="40" t="s">
        <v>124</v>
      </c>
      <c r="C3" s="56">
        <v>4928008</v>
      </c>
      <c r="D3" s="56">
        <v>46206817</v>
      </c>
      <c r="E3" s="56">
        <v>63641315</v>
      </c>
      <c r="F3" s="56">
        <v>59149752</v>
      </c>
    </row>
    <row r="4" spans="1:8" x14ac:dyDescent="0.3">
      <c r="A4" s="40" t="s">
        <v>125</v>
      </c>
      <c r="C4" s="56">
        <v>973839</v>
      </c>
      <c r="D4" s="56">
        <v>42376288</v>
      </c>
      <c r="E4" s="56">
        <v>52391273</v>
      </c>
      <c r="F4" s="56">
        <v>39058592</v>
      </c>
    </row>
    <row r="5" spans="1:8" x14ac:dyDescent="0.3">
      <c r="A5" s="40" t="s">
        <v>126</v>
      </c>
      <c r="C5" s="56">
        <v>862839</v>
      </c>
      <c r="D5" s="56">
        <v>38425541</v>
      </c>
      <c r="E5" s="56">
        <v>15333719</v>
      </c>
      <c r="F5" s="56">
        <v>19887575</v>
      </c>
    </row>
    <row r="6" spans="1:8" x14ac:dyDescent="0.3">
      <c r="A6" s="40" t="s">
        <v>127</v>
      </c>
      <c r="C6" s="56">
        <v>111000</v>
      </c>
      <c r="D6" s="56">
        <v>3950747</v>
      </c>
      <c r="E6" s="56">
        <v>37057554</v>
      </c>
      <c r="F6" s="56">
        <v>19171017</v>
      </c>
    </row>
    <row r="7" spans="1:8" x14ac:dyDescent="0.3">
      <c r="A7" s="40" t="s">
        <v>128</v>
      </c>
      <c r="C7" s="56">
        <v>2819963</v>
      </c>
      <c r="D7" s="56">
        <v>2585928</v>
      </c>
      <c r="E7" s="56">
        <v>5885171</v>
      </c>
      <c r="F7" s="56">
        <v>6499126</v>
      </c>
    </row>
    <row r="8" spans="1:8" x14ac:dyDescent="0.3">
      <c r="A8" s="40" t="s">
        <v>11</v>
      </c>
      <c r="C8" s="56">
        <v>1352093</v>
      </c>
      <c r="D8" s="56">
        <v>1123920</v>
      </c>
      <c r="E8" s="56">
        <v>2823222</v>
      </c>
      <c r="F8" s="56">
        <v>5118170</v>
      </c>
    </row>
    <row r="9" spans="1:8" x14ac:dyDescent="0.3">
      <c r="A9" s="40" t="s">
        <v>129</v>
      </c>
      <c r="C9" s="57" t="s">
        <v>101</v>
      </c>
      <c r="D9" s="56">
        <v>1164468</v>
      </c>
      <c r="E9" s="56">
        <v>2848639</v>
      </c>
      <c r="F9" s="57" t="s">
        <v>101</v>
      </c>
    </row>
    <row r="10" spans="1:8" x14ac:dyDescent="0.3">
      <c r="A10" s="40" t="s">
        <v>130</v>
      </c>
      <c r="C10" s="57" t="s">
        <v>101</v>
      </c>
      <c r="D10" s="56">
        <v>-40548</v>
      </c>
      <c r="E10" s="56">
        <v>-25417</v>
      </c>
      <c r="F10" s="57" t="s">
        <v>101</v>
      </c>
    </row>
    <row r="11" spans="1:8" x14ac:dyDescent="0.3">
      <c r="A11" s="40" t="s">
        <v>131</v>
      </c>
      <c r="C11" s="57" t="s">
        <v>101</v>
      </c>
      <c r="D11" s="57" t="s">
        <v>101</v>
      </c>
      <c r="E11" s="56">
        <v>97734</v>
      </c>
      <c r="F11" s="57" t="s">
        <v>101</v>
      </c>
    </row>
    <row r="12" spans="1:8" x14ac:dyDescent="0.3">
      <c r="A12" s="40" t="s">
        <v>132</v>
      </c>
      <c r="C12" s="56">
        <v>1253617</v>
      </c>
      <c r="D12" s="56">
        <v>943577</v>
      </c>
      <c r="E12" s="56">
        <v>1040024</v>
      </c>
      <c r="F12" s="57" t="s">
        <v>101</v>
      </c>
    </row>
    <row r="13" spans="1:8" x14ac:dyDescent="0.3">
      <c r="A13" s="40" t="s">
        <v>133</v>
      </c>
      <c r="C13" s="56">
        <v>50783</v>
      </c>
      <c r="D13" s="56">
        <v>290300</v>
      </c>
      <c r="E13" s="56">
        <v>1584964</v>
      </c>
      <c r="F13" s="56">
        <v>1380956</v>
      </c>
    </row>
    <row r="14" spans="1:8" x14ac:dyDescent="0.3">
      <c r="A14" s="40" t="s">
        <v>134</v>
      </c>
      <c r="C14" s="56">
        <v>186105</v>
      </c>
      <c r="D14" s="56">
        <v>228131</v>
      </c>
      <c r="E14" s="56">
        <v>339227</v>
      </c>
      <c r="F14" s="57" t="s">
        <v>101</v>
      </c>
    </row>
    <row r="15" spans="1:8" x14ac:dyDescent="0.3">
      <c r="A15" s="40" t="s">
        <v>135</v>
      </c>
      <c r="C15" s="56">
        <v>-22635</v>
      </c>
      <c r="D15" s="57">
        <v>0</v>
      </c>
      <c r="E15" s="57" t="s">
        <v>101</v>
      </c>
      <c r="F15" s="57" t="s">
        <v>101</v>
      </c>
    </row>
    <row r="16" spans="1:8" x14ac:dyDescent="0.3">
      <c r="A16" s="40" t="s">
        <v>136</v>
      </c>
      <c r="C16" s="56">
        <v>889528</v>
      </c>
      <c r="D16" s="56">
        <v>1081553</v>
      </c>
      <c r="E16" s="56">
        <v>2056352</v>
      </c>
      <c r="F16" s="56">
        <v>8191386</v>
      </c>
    </row>
    <row r="17" spans="1:6" x14ac:dyDescent="0.3">
      <c r="A17" s="40" t="s">
        <v>137</v>
      </c>
      <c r="C17" s="56">
        <v>510990</v>
      </c>
      <c r="D17" s="56">
        <v>579842</v>
      </c>
      <c r="E17" s="56">
        <v>1008348</v>
      </c>
      <c r="F17" s="57" t="s">
        <v>101</v>
      </c>
    </row>
    <row r="18" spans="1:6" x14ac:dyDescent="0.3">
      <c r="A18" s="40" t="s">
        <v>138</v>
      </c>
      <c r="C18" s="56">
        <v>1862</v>
      </c>
      <c r="D18" s="56">
        <v>2995</v>
      </c>
      <c r="E18" s="56">
        <v>3915</v>
      </c>
      <c r="F18" s="57" t="s">
        <v>101</v>
      </c>
    </row>
    <row r="19" spans="1:6" x14ac:dyDescent="0.3">
      <c r="A19" s="40" t="s">
        <v>139</v>
      </c>
      <c r="C19" s="56">
        <v>387103</v>
      </c>
      <c r="D19" s="56">
        <v>503365</v>
      </c>
      <c r="E19" s="56">
        <v>1046942</v>
      </c>
      <c r="F19" s="57" t="s">
        <v>101</v>
      </c>
    </row>
    <row r="20" spans="1:6" x14ac:dyDescent="0.3">
      <c r="A20" s="40" t="s">
        <v>140</v>
      </c>
      <c r="C20" s="56">
        <v>-10427</v>
      </c>
      <c r="D20" s="56">
        <v>-4649</v>
      </c>
      <c r="E20" s="56">
        <v>-2853</v>
      </c>
      <c r="F20" s="57" t="s">
        <v>101</v>
      </c>
    </row>
    <row r="21" spans="1:6" x14ac:dyDescent="0.3">
      <c r="A21" s="40" t="s">
        <v>141</v>
      </c>
      <c r="C21" s="56">
        <v>162171</v>
      </c>
      <c r="D21" s="56">
        <v>129683</v>
      </c>
      <c r="E21" s="56">
        <v>251874</v>
      </c>
      <c r="F21" s="57" t="s">
        <v>101</v>
      </c>
    </row>
    <row r="22" spans="1:6" x14ac:dyDescent="0.3">
      <c r="A22" s="40" t="s">
        <v>142</v>
      </c>
      <c r="C22" s="56">
        <v>82507</v>
      </c>
      <c r="D22" s="56">
        <v>78010</v>
      </c>
      <c r="E22" s="56">
        <v>2994408</v>
      </c>
      <c r="F22" s="56">
        <v>3154240</v>
      </c>
    </row>
    <row r="23" spans="1:6" x14ac:dyDescent="0.3">
      <c r="A23" s="40" t="s">
        <v>143</v>
      </c>
      <c r="C23" s="57" t="s">
        <v>101</v>
      </c>
      <c r="D23" s="57" t="s">
        <v>101</v>
      </c>
      <c r="E23" s="56">
        <v>104277</v>
      </c>
      <c r="F23" s="57" t="s">
        <v>101</v>
      </c>
    </row>
    <row r="24" spans="1:6" x14ac:dyDescent="0.3">
      <c r="A24" s="40" t="s">
        <v>144</v>
      </c>
      <c r="C24" s="57" t="s">
        <v>101</v>
      </c>
      <c r="D24" s="56">
        <v>-44645</v>
      </c>
      <c r="E24" s="56">
        <v>-42040</v>
      </c>
      <c r="F24" s="56">
        <v>2246408</v>
      </c>
    </row>
    <row r="25" spans="1:6" s="49" customFormat="1" x14ac:dyDescent="0.3">
      <c r="A25" s="49" t="s">
        <v>145</v>
      </c>
      <c r="C25" s="58">
        <v>9654021</v>
      </c>
      <c r="D25" s="58">
        <v>8435112</v>
      </c>
      <c r="E25" s="58">
        <v>19242286</v>
      </c>
      <c r="F25" s="58">
        <v>37114173</v>
      </c>
    </row>
    <row r="26" spans="1:6" x14ac:dyDescent="0.3">
      <c r="A26" s="40" t="s">
        <v>146</v>
      </c>
      <c r="C26" s="56">
        <v>7703390</v>
      </c>
      <c r="D26" s="56">
        <v>6457481</v>
      </c>
      <c r="E26" s="56">
        <v>10830617</v>
      </c>
      <c r="F26" s="56">
        <v>23033122</v>
      </c>
    </row>
    <row r="27" spans="1:6" x14ac:dyDescent="0.3">
      <c r="A27" s="40" t="s">
        <v>147</v>
      </c>
      <c r="C27" s="56">
        <v>9327645</v>
      </c>
      <c r="D27" s="56">
        <v>9007691</v>
      </c>
      <c r="E27" s="56">
        <v>15030342</v>
      </c>
      <c r="F27" s="56">
        <v>23033122</v>
      </c>
    </row>
    <row r="28" spans="1:6" x14ac:dyDescent="0.3">
      <c r="A28" s="40" t="s">
        <v>148</v>
      </c>
      <c r="C28" s="57">
        <v>0</v>
      </c>
      <c r="D28" s="57">
        <v>0</v>
      </c>
      <c r="E28" s="57">
        <v>0</v>
      </c>
      <c r="F28" s="57" t="s">
        <v>101</v>
      </c>
    </row>
    <row r="29" spans="1:6" x14ac:dyDescent="0.3">
      <c r="A29" s="40" t="s">
        <v>149</v>
      </c>
      <c r="C29" s="56">
        <v>208815</v>
      </c>
      <c r="D29" s="57" t="s">
        <v>101</v>
      </c>
      <c r="E29" s="57" t="s">
        <v>101</v>
      </c>
      <c r="F29" s="57" t="s">
        <v>101</v>
      </c>
    </row>
    <row r="30" spans="1:6" x14ac:dyDescent="0.3">
      <c r="A30" s="40" t="s">
        <v>150</v>
      </c>
      <c r="C30" s="56">
        <v>828958</v>
      </c>
      <c r="D30" s="56">
        <v>862603</v>
      </c>
      <c r="E30" s="56">
        <v>875562</v>
      </c>
      <c r="F30" s="57" t="s">
        <v>101</v>
      </c>
    </row>
    <row r="31" spans="1:6" x14ac:dyDescent="0.3">
      <c r="A31" s="40" t="s">
        <v>151</v>
      </c>
      <c r="C31" s="56">
        <v>1639226</v>
      </c>
      <c r="D31" s="56">
        <v>1569440</v>
      </c>
      <c r="E31" s="56">
        <v>1900514</v>
      </c>
      <c r="F31" s="57" t="s">
        <v>101</v>
      </c>
    </row>
    <row r="32" spans="1:6" x14ac:dyDescent="0.3">
      <c r="A32" s="40" t="s">
        <v>152</v>
      </c>
      <c r="C32" s="56">
        <v>5340311</v>
      </c>
      <c r="D32" s="56">
        <v>5385928</v>
      </c>
      <c r="E32" s="56">
        <v>8696749</v>
      </c>
      <c r="F32" s="56">
        <v>23033122</v>
      </c>
    </row>
    <row r="33" spans="1:6" x14ac:dyDescent="0.3">
      <c r="A33" s="40" t="s">
        <v>153</v>
      </c>
      <c r="C33" s="56">
        <v>493580</v>
      </c>
      <c r="D33" s="56">
        <v>192529</v>
      </c>
      <c r="E33" s="56">
        <v>1681223</v>
      </c>
      <c r="F33" s="57" t="s">
        <v>101</v>
      </c>
    </row>
    <row r="34" spans="1:6" x14ac:dyDescent="0.3">
      <c r="A34" s="40" t="s">
        <v>154</v>
      </c>
      <c r="C34" s="56">
        <v>1025570</v>
      </c>
      <c r="D34" s="56">
        <v>997191</v>
      </c>
      <c r="E34" s="56">
        <v>1876294</v>
      </c>
      <c r="F34" s="57" t="s">
        <v>101</v>
      </c>
    </row>
    <row r="35" spans="1:6" x14ac:dyDescent="0.3">
      <c r="A35" s="40" t="s">
        <v>155</v>
      </c>
      <c r="C35" s="56">
        <v>-1624255</v>
      </c>
      <c r="D35" s="56">
        <v>-2550210</v>
      </c>
      <c r="E35" s="56">
        <v>-4199725</v>
      </c>
      <c r="F35" s="57" t="s">
        <v>101</v>
      </c>
    </row>
    <row r="36" spans="1:6" x14ac:dyDescent="0.3">
      <c r="A36" s="40" t="s">
        <v>156</v>
      </c>
      <c r="C36" s="56">
        <v>210337</v>
      </c>
      <c r="D36" s="56">
        <v>204581</v>
      </c>
      <c r="E36" s="56">
        <v>199121</v>
      </c>
      <c r="F36" s="56">
        <v>212603</v>
      </c>
    </row>
    <row r="37" spans="1:6" x14ac:dyDescent="0.3">
      <c r="A37" s="40" t="s">
        <v>157</v>
      </c>
      <c r="C37" s="56">
        <v>210337</v>
      </c>
      <c r="D37" s="56">
        <v>204581</v>
      </c>
      <c r="E37" s="56">
        <v>199121</v>
      </c>
      <c r="F37" s="56">
        <v>212603</v>
      </c>
    </row>
    <row r="38" spans="1:6" x14ac:dyDescent="0.3">
      <c r="A38" s="40" t="s">
        <v>158</v>
      </c>
      <c r="C38" s="56">
        <v>115325</v>
      </c>
      <c r="D38" s="56">
        <v>300121</v>
      </c>
      <c r="E38" s="56">
        <v>3059383</v>
      </c>
      <c r="F38" s="56">
        <v>6356411</v>
      </c>
    </row>
    <row r="39" spans="1:6" x14ac:dyDescent="0.3">
      <c r="A39" s="40" t="s">
        <v>159</v>
      </c>
      <c r="C39" s="56">
        <v>115325</v>
      </c>
      <c r="D39" s="56">
        <v>300121</v>
      </c>
      <c r="E39" s="57" t="s">
        <v>101</v>
      </c>
      <c r="F39" s="57" t="s">
        <v>101</v>
      </c>
    </row>
    <row r="40" spans="1:6" x14ac:dyDescent="0.3">
      <c r="A40" s="40" t="s">
        <v>160</v>
      </c>
      <c r="C40" s="56">
        <v>657698</v>
      </c>
      <c r="D40" s="56">
        <v>1289025</v>
      </c>
      <c r="E40" s="56">
        <v>4505585</v>
      </c>
      <c r="F40" s="57" t="s">
        <v>101</v>
      </c>
    </row>
    <row r="41" spans="1:6" x14ac:dyDescent="0.3">
      <c r="A41" s="40" t="s">
        <v>161</v>
      </c>
      <c r="C41" s="57">
        <v>0</v>
      </c>
      <c r="D41" s="57">
        <v>617</v>
      </c>
      <c r="E41" s="57">
        <v>0</v>
      </c>
      <c r="F41" s="57" t="s">
        <v>101</v>
      </c>
    </row>
    <row r="42" spans="1:6" x14ac:dyDescent="0.3">
      <c r="A42" s="40" t="s">
        <v>162</v>
      </c>
      <c r="C42" s="56">
        <v>848655</v>
      </c>
      <c r="D42" s="56">
        <v>128355</v>
      </c>
      <c r="E42" s="56">
        <v>636124</v>
      </c>
      <c r="F42" s="57" t="s">
        <v>101</v>
      </c>
    </row>
    <row r="43" spans="1:6" x14ac:dyDescent="0.3">
      <c r="A43" s="40" t="s">
        <v>163</v>
      </c>
      <c r="C43" s="56">
        <v>118616</v>
      </c>
      <c r="D43" s="56">
        <v>55549</v>
      </c>
      <c r="E43" s="56">
        <v>11456</v>
      </c>
      <c r="F43" s="56">
        <v>7512037</v>
      </c>
    </row>
    <row r="44" spans="1:6" s="49" customFormat="1" x14ac:dyDescent="0.3">
      <c r="A44" s="49" t="s">
        <v>164</v>
      </c>
      <c r="C44" s="58">
        <v>20859628</v>
      </c>
      <c r="D44" s="58">
        <v>27470973</v>
      </c>
      <c r="E44" s="58">
        <v>44820178</v>
      </c>
      <c r="F44" s="58">
        <v>68617165</v>
      </c>
    </row>
    <row r="45" spans="1:6" x14ac:dyDescent="0.3">
      <c r="A45" s="40" t="s">
        <v>165</v>
      </c>
      <c r="C45" s="56">
        <v>9498858</v>
      </c>
      <c r="D45" s="56">
        <v>13976240</v>
      </c>
      <c r="E45" s="56">
        <v>29198152</v>
      </c>
      <c r="F45" s="56">
        <v>45852054</v>
      </c>
    </row>
    <row r="46" spans="1:6" x14ac:dyDescent="0.3">
      <c r="A46" s="40" t="s">
        <v>166</v>
      </c>
      <c r="C46" s="56">
        <v>6950797</v>
      </c>
      <c r="D46" s="56">
        <v>10102823</v>
      </c>
      <c r="E46" s="56">
        <v>19192534</v>
      </c>
      <c r="F46" s="56">
        <v>39548960</v>
      </c>
    </row>
    <row r="47" spans="1:6" x14ac:dyDescent="0.3">
      <c r="A47" s="40" t="s">
        <v>167</v>
      </c>
      <c r="C47" s="56">
        <v>6598736</v>
      </c>
      <c r="D47" s="56">
        <v>9730685</v>
      </c>
      <c r="E47" s="56">
        <v>18654006</v>
      </c>
      <c r="F47" s="56">
        <v>25894598</v>
      </c>
    </row>
    <row r="48" spans="1:6" x14ac:dyDescent="0.3">
      <c r="A48" s="40" t="s">
        <v>168</v>
      </c>
      <c r="C48" s="56">
        <v>3111699</v>
      </c>
      <c r="D48" s="56">
        <v>6368253</v>
      </c>
      <c r="E48" s="56">
        <v>12638991</v>
      </c>
      <c r="F48" s="56">
        <v>25223687</v>
      </c>
    </row>
    <row r="49" spans="1:6" x14ac:dyDescent="0.3">
      <c r="A49" s="40" t="s">
        <v>169</v>
      </c>
      <c r="C49" s="56">
        <v>43986</v>
      </c>
      <c r="D49" s="56">
        <v>181658</v>
      </c>
      <c r="E49" s="56">
        <v>627794</v>
      </c>
      <c r="F49" s="56">
        <v>286300</v>
      </c>
    </row>
    <row r="50" spans="1:6" x14ac:dyDescent="0.3">
      <c r="A50" s="40" t="s">
        <v>170</v>
      </c>
      <c r="C50" s="56">
        <v>309729</v>
      </c>
      <c r="D50" s="56">
        <v>344603</v>
      </c>
      <c r="E50" s="56">
        <v>687200</v>
      </c>
      <c r="F50" s="56">
        <v>384611</v>
      </c>
    </row>
    <row r="51" spans="1:6" x14ac:dyDescent="0.3">
      <c r="A51" s="40" t="s">
        <v>171</v>
      </c>
      <c r="C51" s="56">
        <v>3133322</v>
      </c>
      <c r="D51" s="56">
        <v>2836171</v>
      </c>
      <c r="E51" s="56">
        <v>4700021</v>
      </c>
      <c r="F51" s="57" t="s">
        <v>101</v>
      </c>
    </row>
    <row r="52" spans="1:6" x14ac:dyDescent="0.3">
      <c r="A52" s="40" t="s">
        <v>172</v>
      </c>
      <c r="C52" s="56">
        <v>352061</v>
      </c>
      <c r="D52" s="56">
        <v>372138</v>
      </c>
      <c r="E52" s="56">
        <v>538528</v>
      </c>
      <c r="F52" s="56">
        <v>13654362</v>
      </c>
    </row>
    <row r="53" spans="1:6" x14ac:dyDescent="0.3">
      <c r="A53" s="40" t="s">
        <v>173</v>
      </c>
      <c r="C53" s="56">
        <v>105940</v>
      </c>
      <c r="D53" s="56">
        <v>98462</v>
      </c>
      <c r="E53" s="56">
        <v>41147</v>
      </c>
      <c r="F53" s="57" t="s">
        <v>101</v>
      </c>
    </row>
    <row r="54" spans="1:6" x14ac:dyDescent="0.3">
      <c r="A54" s="40" t="s">
        <v>174</v>
      </c>
      <c r="C54" s="56">
        <v>120161</v>
      </c>
      <c r="D54" s="56">
        <v>297446</v>
      </c>
      <c r="E54" s="56">
        <v>518426</v>
      </c>
      <c r="F54" s="57" t="s">
        <v>101</v>
      </c>
    </row>
    <row r="55" spans="1:6" x14ac:dyDescent="0.3">
      <c r="A55" s="40" t="s">
        <v>175</v>
      </c>
      <c r="C55" s="56">
        <v>1857137</v>
      </c>
      <c r="D55" s="56">
        <v>2510939</v>
      </c>
      <c r="E55" s="56">
        <v>8070338</v>
      </c>
      <c r="F55" s="56">
        <v>6303094</v>
      </c>
    </row>
    <row r="56" spans="1:6" x14ac:dyDescent="0.3">
      <c r="A56" s="40" t="s">
        <v>176</v>
      </c>
      <c r="C56" s="56">
        <v>1208056</v>
      </c>
      <c r="D56" s="56">
        <v>1930560</v>
      </c>
      <c r="E56" s="56">
        <v>7297962</v>
      </c>
      <c r="F56" s="56">
        <v>5277126</v>
      </c>
    </row>
    <row r="57" spans="1:6" x14ac:dyDescent="0.3">
      <c r="A57" s="40" t="s">
        <v>177</v>
      </c>
      <c r="C57" s="56">
        <v>188000</v>
      </c>
      <c r="D57" s="56">
        <v>1550000</v>
      </c>
      <c r="E57" s="56">
        <v>5230000</v>
      </c>
      <c r="F57" s="57" t="s">
        <v>101</v>
      </c>
    </row>
    <row r="58" spans="1:6" x14ac:dyDescent="0.3">
      <c r="A58" s="40" t="s">
        <v>178</v>
      </c>
      <c r="C58" s="56">
        <v>1020056</v>
      </c>
      <c r="D58" s="56">
        <v>380560</v>
      </c>
      <c r="E58" s="56">
        <v>2067962</v>
      </c>
      <c r="F58" s="56">
        <v>5277126</v>
      </c>
    </row>
    <row r="59" spans="1:6" x14ac:dyDescent="0.3">
      <c r="A59" s="40" t="s">
        <v>179</v>
      </c>
      <c r="C59" s="56">
        <v>649081</v>
      </c>
      <c r="D59" s="56">
        <v>580379</v>
      </c>
      <c r="E59" s="56">
        <v>772376</v>
      </c>
      <c r="F59" s="56">
        <v>1025968</v>
      </c>
    </row>
    <row r="60" spans="1:6" x14ac:dyDescent="0.3">
      <c r="A60" s="40" t="s">
        <v>180</v>
      </c>
      <c r="C60" s="56">
        <v>570763</v>
      </c>
      <c r="D60" s="56">
        <v>1065032</v>
      </c>
      <c r="E60" s="56">
        <v>1416854</v>
      </c>
      <c r="F60" s="57" t="s">
        <v>101</v>
      </c>
    </row>
    <row r="61" spans="1:6" x14ac:dyDescent="0.3">
      <c r="A61" s="40" t="s">
        <v>181</v>
      </c>
      <c r="C61" s="56">
        <v>486268</v>
      </c>
      <c r="D61" s="56">
        <v>1004337</v>
      </c>
      <c r="E61" s="56">
        <v>1384600</v>
      </c>
      <c r="F61" s="57" t="s">
        <v>101</v>
      </c>
    </row>
    <row r="62" spans="1:6" x14ac:dyDescent="0.3">
      <c r="A62" s="40" t="s">
        <v>182</v>
      </c>
      <c r="C62" s="56">
        <v>11360770</v>
      </c>
      <c r="D62" s="56">
        <v>13494733</v>
      </c>
      <c r="E62" s="56">
        <v>15622026</v>
      </c>
      <c r="F62" s="56">
        <v>22765111</v>
      </c>
    </row>
    <row r="63" spans="1:6" x14ac:dyDescent="0.3">
      <c r="A63" s="40" t="s">
        <v>183</v>
      </c>
      <c r="C63" s="56">
        <v>291843</v>
      </c>
      <c r="D63" s="56">
        <v>655500</v>
      </c>
      <c r="E63" s="56">
        <v>1444551</v>
      </c>
      <c r="F63" s="57" t="s">
        <v>101</v>
      </c>
    </row>
    <row r="64" spans="1:6" x14ac:dyDescent="0.3">
      <c r="A64" s="40" t="s">
        <v>184</v>
      </c>
      <c r="C64" s="56">
        <v>8841960</v>
      </c>
      <c r="D64" s="56">
        <v>7008647</v>
      </c>
      <c r="E64" s="56">
        <v>12088015</v>
      </c>
      <c r="F64" s="56">
        <v>17402895</v>
      </c>
    </row>
    <row r="65" spans="1:6" x14ac:dyDescent="0.3">
      <c r="A65" s="40" t="s">
        <v>185</v>
      </c>
      <c r="C65" s="56">
        <v>7154798</v>
      </c>
      <c r="D65" s="56">
        <v>5938279</v>
      </c>
      <c r="E65" s="56">
        <v>9739176</v>
      </c>
      <c r="F65" s="56">
        <v>10885799</v>
      </c>
    </row>
    <row r="66" spans="1:6" x14ac:dyDescent="0.3">
      <c r="A66" s="40" t="s">
        <v>186</v>
      </c>
      <c r="C66" s="56">
        <v>1687162</v>
      </c>
      <c r="D66" s="56">
        <v>1070368</v>
      </c>
      <c r="E66" s="56">
        <v>2348839</v>
      </c>
      <c r="F66" s="56">
        <v>6517096</v>
      </c>
    </row>
    <row r="67" spans="1:6" x14ac:dyDescent="0.3">
      <c r="A67" s="40" t="s">
        <v>187</v>
      </c>
      <c r="C67" s="56">
        <v>709344</v>
      </c>
      <c r="D67" s="56">
        <v>1053681</v>
      </c>
      <c r="E67" s="56">
        <v>1801647</v>
      </c>
      <c r="F67" s="56">
        <v>218189</v>
      </c>
    </row>
    <row r="68" spans="1:6" x14ac:dyDescent="0.3">
      <c r="A68" s="40" t="s">
        <v>188</v>
      </c>
      <c r="C68" s="57" t="s">
        <v>101</v>
      </c>
      <c r="D68" s="57" t="s">
        <v>101</v>
      </c>
      <c r="E68" s="56">
        <v>25199</v>
      </c>
      <c r="F68" s="56">
        <v>218189</v>
      </c>
    </row>
    <row r="69" spans="1:6" x14ac:dyDescent="0.3">
      <c r="A69" s="40" t="s">
        <v>189</v>
      </c>
      <c r="C69" s="56">
        <v>636582</v>
      </c>
      <c r="D69" s="56">
        <v>1004197</v>
      </c>
      <c r="E69" s="56">
        <v>1764150</v>
      </c>
      <c r="F69" s="57" t="s">
        <v>101</v>
      </c>
    </row>
    <row r="70" spans="1:6" x14ac:dyDescent="0.3">
      <c r="A70" s="40" t="s">
        <v>190</v>
      </c>
      <c r="C70" s="57">
        <v>0</v>
      </c>
      <c r="D70" s="57" t="s">
        <v>101</v>
      </c>
      <c r="E70" s="57" t="s">
        <v>101</v>
      </c>
      <c r="F70" s="57" t="s">
        <v>101</v>
      </c>
    </row>
    <row r="71" spans="1:6" x14ac:dyDescent="0.3">
      <c r="A71" s="40" t="s">
        <v>191</v>
      </c>
      <c r="C71" s="56">
        <v>1455787</v>
      </c>
      <c r="D71" s="56">
        <v>4691287</v>
      </c>
      <c r="E71" s="57" t="s">
        <v>101</v>
      </c>
      <c r="F71" s="57" t="s">
        <v>101</v>
      </c>
    </row>
    <row r="72" spans="1:6" x14ac:dyDescent="0.3">
      <c r="A72" s="40" t="s">
        <v>192</v>
      </c>
      <c r="C72" s="56">
        <v>61836</v>
      </c>
      <c r="D72" s="56">
        <v>85618</v>
      </c>
      <c r="E72" s="56">
        <v>287813</v>
      </c>
      <c r="F72" s="56">
        <v>5144027</v>
      </c>
    </row>
    <row r="73" spans="1:6" s="49" customFormat="1" x14ac:dyDescent="0.3">
      <c r="A73" s="49" t="s">
        <v>193</v>
      </c>
      <c r="C73" s="58">
        <v>-6277599</v>
      </c>
      <c r="D73" s="58">
        <v>27170956</v>
      </c>
      <c r="E73" s="58">
        <v>38063423</v>
      </c>
      <c r="F73" s="58">
        <v>27646760</v>
      </c>
    </row>
    <row r="74" spans="1:6" x14ac:dyDescent="0.3">
      <c r="A74" s="40" t="s">
        <v>194</v>
      </c>
      <c r="C74" s="56">
        <v>-6299686</v>
      </c>
      <c r="D74" s="56">
        <v>27168831</v>
      </c>
      <c r="E74" s="56">
        <v>34709924</v>
      </c>
      <c r="F74" s="56">
        <v>23868165</v>
      </c>
    </row>
    <row r="75" spans="1:6" x14ac:dyDescent="0.3">
      <c r="A75" s="40" t="s">
        <v>195</v>
      </c>
      <c r="C75" s="56">
        <v>1827</v>
      </c>
      <c r="D75" s="56">
        <v>2679</v>
      </c>
      <c r="E75" s="56">
        <v>2892</v>
      </c>
      <c r="F75" s="57" t="s">
        <v>101</v>
      </c>
    </row>
    <row r="76" spans="1:6" x14ac:dyDescent="0.3">
      <c r="A76" s="40" t="s">
        <v>196</v>
      </c>
      <c r="C76" s="56">
        <v>1827</v>
      </c>
      <c r="D76" s="56">
        <v>2679</v>
      </c>
      <c r="E76" s="56">
        <v>2892</v>
      </c>
      <c r="F76" s="57" t="s">
        <v>101</v>
      </c>
    </row>
    <row r="77" spans="1:6" x14ac:dyDescent="0.3">
      <c r="A77" s="40" t="s">
        <v>197</v>
      </c>
      <c r="C77" s="56">
        <v>40227856</v>
      </c>
      <c r="D77" s="56">
        <v>78880014</v>
      </c>
      <c r="E77" s="56">
        <v>92467072</v>
      </c>
      <c r="F77" s="57" t="s">
        <v>101</v>
      </c>
    </row>
    <row r="78" spans="1:6" x14ac:dyDescent="0.3">
      <c r="A78" s="40" t="s">
        <v>198</v>
      </c>
      <c r="C78" s="56">
        <v>-46326321</v>
      </c>
      <c r="D78" s="56">
        <v>-51648410</v>
      </c>
      <c r="E78" s="56">
        <v>-55634140</v>
      </c>
      <c r="F78" s="57" t="s">
        <v>101</v>
      </c>
    </row>
    <row r="79" spans="1:6" x14ac:dyDescent="0.3">
      <c r="A79" s="40" t="s">
        <v>199</v>
      </c>
      <c r="C79" s="57">
        <v>0</v>
      </c>
      <c r="D79" s="57" t="s">
        <v>101</v>
      </c>
      <c r="E79" s="56">
        <v>1849600</v>
      </c>
      <c r="F79" s="57" t="s">
        <v>101</v>
      </c>
    </row>
    <row r="80" spans="1:6" x14ac:dyDescent="0.3">
      <c r="A80" s="40" t="s">
        <v>200</v>
      </c>
      <c r="C80" s="56">
        <v>-203048</v>
      </c>
      <c r="D80" s="56">
        <v>-65452</v>
      </c>
      <c r="E80" s="56">
        <v>-276300</v>
      </c>
      <c r="F80" s="57" t="s">
        <v>101</v>
      </c>
    </row>
    <row r="81" spans="1:6" x14ac:dyDescent="0.3">
      <c r="A81" s="40" t="s">
        <v>201</v>
      </c>
      <c r="C81" s="56">
        <v>22087</v>
      </c>
      <c r="D81" s="56">
        <v>2125</v>
      </c>
      <c r="E81" s="56">
        <v>3353499</v>
      </c>
      <c r="F81" s="56">
        <v>3778595</v>
      </c>
    </row>
    <row r="82" spans="1:6" x14ac:dyDescent="0.3">
      <c r="A82" s="40" t="s">
        <v>202</v>
      </c>
      <c r="C82" s="56">
        <v>855112</v>
      </c>
      <c r="D82" s="56">
        <v>33107110</v>
      </c>
      <c r="E82" s="56">
        <v>44449100</v>
      </c>
      <c r="F82" s="56">
        <v>34753964</v>
      </c>
    </row>
    <row r="83" spans="1:6" x14ac:dyDescent="0.3">
      <c r="A83" s="40" t="s">
        <v>203</v>
      </c>
      <c r="C83" s="56">
        <v>-6299686</v>
      </c>
      <c r="D83" s="56">
        <v>27168831</v>
      </c>
      <c r="E83" s="56">
        <v>34709924</v>
      </c>
      <c r="F83" s="56">
        <v>23868165</v>
      </c>
    </row>
    <row r="84" spans="1:6" x14ac:dyDescent="0.3">
      <c r="A84" s="40" t="s">
        <v>204</v>
      </c>
      <c r="C84" s="56">
        <v>2336243</v>
      </c>
      <c r="D84" s="56">
        <v>1650747</v>
      </c>
      <c r="E84" s="56">
        <v>3121215</v>
      </c>
      <c r="F84" s="56">
        <v>7543064</v>
      </c>
    </row>
    <row r="85" spans="1:6" x14ac:dyDescent="0.3">
      <c r="A85" s="40" t="s">
        <v>205</v>
      </c>
      <c r="C85" s="56">
        <v>-6510023</v>
      </c>
      <c r="D85" s="56">
        <v>26964250</v>
      </c>
      <c r="E85" s="56">
        <v>34510803</v>
      </c>
      <c r="F85" s="56">
        <v>23655562</v>
      </c>
    </row>
    <row r="86" spans="1:6" x14ac:dyDescent="0.3">
      <c r="A86" s="40" t="s">
        <v>206</v>
      </c>
      <c r="C86" s="56">
        <v>-4570850</v>
      </c>
      <c r="D86" s="56">
        <v>32230577</v>
      </c>
      <c r="E86" s="56">
        <v>34443163</v>
      </c>
      <c r="F86" s="56">
        <v>13297698</v>
      </c>
    </row>
    <row r="87" spans="1:6" x14ac:dyDescent="0.3">
      <c r="A87" s="40" t="s">
        <v>207</v>
      </c>
      <c r="C87" s="56">
        <v>2063168</v>
      </c>
      <c r="D87" s="56">
        <v>35037670</v>
      </c>
      <c r="E87" s="56">
        <v>51747062</v>
      </c>
      <c r="F87" s="56">
        <v>40031090</v>
      </c>
    </row>
    <row r="88" spans="1:6" x14ac:dyDescent="0.3">
      <c r="A88" s="40" t="s">
        <v>208</v>
      </c>
      <c r="C88" s="56">
        <v>-6510023</v>
      </c>
      <c r="D88" s="56">
        <v>26964250</v>
      </c>
      <c r="E88" s="56">
        <v>34510803</v>
      </c>
      <c r="F88" s="56">
        <v>23655562</v>
      </c>
    </row>
    <row r="89" spans="1:6" x14ac:dyDescent="0.3">
      <c r="A89" s="40" t="s">
        <v>209</v>
      </c>
      <c r="C89" s="56">
        <v>10699097</v>
      </c>
      <c r="D89" s="56">
        <v>9519586</v>
      </c>
      <c r="E89" s="56">
        <v>20158353</v>
      </c>
      <c r="F89" s="56">
        <v>23705989</v>
      </c>
    </row>
    <row r="90" spans="1:6" x14ac:dyDescent="0.3">
      <c r="A90" s="40" t="s">
        <v>210</v>
      </c>
      <c r="C90" s="56">
        <v>7500015</v>
      </c>
      <c r="D90" s="57" t="s">
        <v>101</v>
      </c>
      <c r="E90" s="56">
        <v>1703419</v>
      </c>
      <c r="F90" s="57" t="s">
        <v>101</v>
      </c>
    </row>
    <row r="91" spans="1:6" x14ac:dyDescent="0.3">
      <c r="A91" s="40" t="s">
        <v>211</v>
      </c>
      <c r="C91" s="56">
        <v>1067468</v>
      </c>
      <c r="D91" s="56">
        <v>1529031</v>
      </c>
      <c r="E91" s="56">
        <v>1710208</v>
      </c>
      <c r="F91" s="57" t="s">
        <v>101</v>
      </c>
    </row>
    <row r="92" spans="1:6" x14ac:dyDescent="0.3">
      <c r="A92" s="40" t="s">
        <v>212</v>
      </c>
      <c r="C92" s="56">
        <v>1064473</v>
      </c>
      <c r="D92" s="56">
        <v>1526539</v>
      </c>
      <c r="E92" s="56">
        <v>1692127</v>
      </c>
      <c r="F92" s="57" t="s">
        <v>101</v>
      </c>
    </row>
    <row r="93" spans="1:6" x14ac:dyDescent="0.3">
      <c r="A93" s="40" t="s">
        <v>213</v>
      </c>
      <c r="C93" s="56">
        <v>2995</v>
      </c>
      <c r="D93" s="56">
        <v>2492</v>
      </c>
      <c r="E93" s="56">
        <v>18080</v>
      </c>
      <c r="F93" s="57" t="s">
        <v>101</v>
      </c>
    </row>
    <row r="95" spans="1:6" s="63" customFormat="1" x14ac:dyDescent="0.3">
      <c r="A95" s="63" t="s">
        <v>315</v>
      </c>
      <c r="C95" s="66">
        <f>C73+C44-C2</f>
        <v>0</v>
      </c>
      <c r="D95" s="66">
        <f t="shared" ref="D95:F95" si="1">D73+D44-D2</f>
        <v>0</v>
      </c>
      <c r="E95" s="66">
        <f t="shared" si="1"/>
        <v>0</v>
      </c>
      <c r="F95" s="6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17A8-FE32-4B7F-95B4-43DD2A950C80}">
  <dimension ref="A1:H74"/>
  <sheetViews>
    <sheetView topLeftCell="A61" workbookViewId="0">
      <selection activeCell="F2" sqref="F2"/>
    </sheetView>
  </sheetViews>
  <sheetFormatPr defaultRowHeight="16.5" x14ac:dyDescent="0.3"/>
  <cols>
    <col min="1" max="1" width="44.28515625" style="40" customWidth="1"/>
    <col min="2" max="2" width="3.85546875" style="40" customWidth="1"/>
    <col min="3" max="4" width="11.5703125" style="40" customWidth="1"/>
    <col min="5" max="5" width="14.28515625" style="40" customWidth="1"/>
    <col min="6" max="6" width="9.140625" style="40"/>
    <col min="7" max="7" width="9.42578125" style="40" bestFit="1" customWidth="1"/>
    <col min="8" max="16384" width="9.140625" style="40"/>
  </cols>
  <sheetData>
    <row r="1" spans="1:8" x14ac:dyDescent="0.3">
      <c r="A1" s="46"/>
      <c r="B1" s="46"/>
      <c r="C1" s="46">
        <v>2019</v>
      </c>
      <c r="D1" s="46">
        <f>C1+1</f>
        <v>2020</v>
      </c>
      <c r="E1" s="46">
        <f t="shared" ref="E1:F1" si="0">D1+1</f>
        <v>2021</v>
      </c>
      <c r="F1" s="46">
        <f t="shared" si="0"/>
        <v>2022</v>
      </c>
      <c r="G1" s="47" t="s">
        <v>85</v>
      </c>
      <c r="H1" s="47" t="s">
        <v>88</v>
      </c>
    </row>
    <row r="2" spans="1:8" s="49" customFormat="1" x14ac:dyDescent="0.3">
      <c r="A2" s="49" t="s">
        <v>215</v>
      </c>
      <c r="C2" s="58">
        <v>-8721706</v>
      </c>
      <c r="D2" s="58">
        <v>1950894</v>
      </c>
      <c r="E2" s="58">
        <v>1966386</v>
      </c>
      <c r="F2" s="59"/>
    </row>
    <row r="3" spans="1:8" x14ac:dyDescent="0.3">
      <c r="A3" s="40" t="s">
        <v>216</v>
      </c>
      <c r="C3" s="56">
        <v>-8721706</v>
      </c>
      <c r="D3" s="56">
        <v>1950894</v>
      </c>
      <c r="E3" s="56">
        <v>1966386</v>
      </c>
      <c r="F3" s="57"/>
    </row>
    <row r="4" spans="1:8" x14ac:dyDescent="0.3">
      <c r="A4" s="40" t="s">
        <v>217</v>
      </c>
      <c r="C4" s="56">
        <v>-11295652</v>
      </c>
      <c r="D4" s="56">
        <v>-5304082</v>
      </c>
      <c r="E4" s="56">
        <v>-4016949</v>
      </c>
      <c r="F4" s="57"/>
    </row>
    <row r="5" spans="1:8" x14ac:dyDescent="0.3">
      <c r="A5" s="40" t="s">
        <v>218</v>
      </c>
      <c r="C5" s="56">
        <v>88477</v>
      </c>
      <c r="D5" s="56">
        <v>651074</v>
      </c>
      <c r="E5" s="56">
        <v>-126900</v>
      </c>
      <c r="F5" s="57"/>
    </row>
    <row r="6" spans="1:8" x14ac:dyDescent="0.3">
      <c r="A6" s="40" t="s">
        <v>219</v>
      </c>
      <c r="C6" s="56">
        <v>-40722</v>
      </c>
      <c r="D6" s="57">
        <v>0</v>
      </c>
      <c r="E6" s="57">
        <v>0</v>
      </c>
      <c r="F6" s="57"/>
    </row>
    <row r="7" spans="1:8" x14ac:dyDescent="0.3">
      <c r="A7" s="40" t="s">
        <v>220</v>
      </c>
      <c r="C7" s="56">
        <v>50845</v>
      </c>
      <c r="D7" s="56">
        <v>127662</v>
      </c>
      <c r="E7" s="56">
        <v>31107</v>
      </c>
      <c r="F7" s="57"/>
    </row>
    <row r="8" spans="1:8" x14ac:dyDescent="0.3">
      <c r="A8" s="40" t="s">
        <v>221</v>
      </c>
      <c r="C8" s="56">
        <v>13876</v>
      </c>
      <c r="D8" s="56">
        <v>457382</v>
      </c>
      <c r="E8" s="56">
        <v>10111</v>
      </c>
      <c r="F8" s="57"/>
    </row>
    <row r="9" spans="1:8" x14ac:dyDescent="0.3">
      <c r="A9" s="40" t="s">
        <v>222</v>
      </c>
      <c r="C9" s="57" t="s">
        <v>101</v>
      </c>
      <c r="D9" s="57" t="s">
        <v>101</v>
      </c>
      <c r="E9" s="56">
        <v>-105608</v>
      </c>
      <c r="F9" s="57"/>
    </row>
    <row r="10" spans="1:8" x14ac:dyDescent="0.3">
      <c r="A10" s="40" t="s">
        <v>223</v>
      </c>
      <c r="C10" s="56">
        <v>64478</v>
      </c>
      <c r="D10" s="56">
        <v>66030</v>
      </c>
      <c r="E10" s="56">
        <v>-62510</v>
      </c>
      <c r="F10" s="57"/>
    </row>
    <row r="11" spans="1:8" x14ac:dyDescent="0.3">
      <c r="A11" s="40" t="s">
        <v>224</v>
      </c>
      <c r="C11" s="56">
        <v>1520973</v>
      </c>
      <c r="D11" s="56">
        <v>1545721</v>
      </c>
      <c r="E11" s="56">
        <v>2351914</v>
      </c>
      <c r="F11" s="57"/>
    </row>
    <row r="12" spans="1:8" x14ac:dyDescent="0.3">
      <c r="A12" s="40" t="s">
        <v>225</v>
      </c>
      <c r="C12" s="56">
        <v>1520973</v>
      </c>
      <c r="D12" s="56">
        <v>1545721</v>
      </c>
      <c r="E12" s="56">
        <v>2351914</v>
      </c>
      <c r="F12" s="57"/>
    </row>
    <row r="13" spans="1:8" x14ac:dyDescent="0.3">
      <c r="A13" s="40" t="s">
        <v>226</v>
      </c>
      <c r="C13" s="56">
        <v>1520973</v>
      </c>
      <c r="D13" s="56">
        <v>1545721</v>
      </c>
      <c r="E13" s="56">
        <v>2351914</v>
      </c>
      <c r="F13" s="57"/>
    </row>
    <row r="14" spans="1:8" x14ac:dyDescent="0.3">
      <c r="A14" s="40" t="s">
        <v>227</v>
      </c>
      <c r="C14" s="57" t="s">
        <v>101</v>
      </c>
      <c r="D14" s="56">
        <v>9654</v>
      </c>
      <c r="E14" s="57" t="s">
        <v>101</v>
      </c>
      <c r="F14" s="57"/>
    </row>
    <row r="15" spans="1:8" x14ac:dyDescent="0.3">
      <c r="A15" s="40" t="s">
        <v>228</v>
      </c>
      <c r="C15" s="57" t="s">
        <v>101</v>
      </c>
      <c r="D15" s="56">
        <v>9654</v>
      </c>
      <c r="E15" s="57" t="s">
        <v>101</v>
      </c>
      <c r="F15" s="57"/>
    </row>
    <row r="16" spans="1:8" x14ac:dyDescent="0.3">
      <c r="A16" s="40" t="s">
        <v>229</v>
      </c>
      <c r="C16" s="56">
        <v>85705</v>
      </c>
      <c r="D16" s="56">
        <v>31560</v>
      </c>
      <c r="E16" s="56">
        <v>1105</v>
      </c>
      <c r="F16" s="57"/>
    </row>
    <row r="17" spans="1:6" x14ac:dyDescent="0.3">
      <c r="A17" s="40" t="s">
        <v>230</v>
      </c>
      <c r="C17" s="56">
        <v>108459</v>
      </c>
      <c r="D17" s="56">
        <v>9654</v>
      </c>
      <c r="E17" s="56">
        <v>54332</v>
      </c>
      <c r="F17" s="57"/>
    </row>
    <row r="18" spans="1:6" x14ac:dyDescent="0.3">
      <c r="A18" s="40" t="s">
        <v>86</v>
      </c>
      <c r="C18" s="56">
        <v>333495</v>
      </c>
      <c r="D18" s="56">
        <v>187094</v>
      </c>
      <c r="E18" s="56">
        <v>1010140</v>
      </c>
      <c r="F18" s="57"/>
    </row>
    <row r="19" spans="1:6" x14ac:dyDescent="0.3">
      <c r="A19" s="40" t="s">
        <v>231</v>
      </c>
      <c r="C19" s="56">
        <v>436837</v>
      </c>
      <c r="D19" s="56">
        <v>4829873</v>
      </c>
      <c r="E19" s="56">
        <v>2692744</v>
      </c>
      <c r="F19" s="57"/>
    </row>
    <row r="20" spans="1:6" x14ac:dyDescent="0.3">
      <c r="A20" s="40" t="s">
        <v>232</v>
      </c>
      <c r="C20" s="56">
        <v>-764577</v>
      </c>
      <c r="D20" s="56">
        <v>139096</v>
      </c>
      <c r="E20" s="56">
        <v>-3161869</v>
      </c>
      <c r="F20" s="57"/>
    </row>
    <row r="21" spans="1:6" x14ac:dyDescent="0.3">
      <c r="A21" s="40" t="s">
        <v>233</v>
      </c>
      <c r="C21" s="56">
        <v>-681556</v>
      </c>
      <c r="D21" s="56">
        <v>237928</v>
      </c>
      <c r="E21" s="56">
        <v>-1717747</v>
      </c>
      <c r="F21" s="57"/>
    </row>
    <row r="22" spans="1:6" x14ac:dyDescent="0.3">
      <c r="A22" s="40" t="s">
        <v>234</v>
      </c>
      <c r="C22" s="56">
        <v>569163</v>
      </c>
      <c r="D22" s="56">
        <v>-197828</v>
      </c>
      <c r="E22" s="56">
        <v>-990550</v>
      </c>
      <c r="F22" s="57"/>
    </row>
    <row r="23" spans="1:6" x14ac:dyDescent="0.3">
      <c r="A23" s="40" t="s">
        <v>235</v>
      </c>
      <c r="C23" s="56">
        <v>-58728</v>
      </c>
      <c r="D23" s="56">
        <v>135441</v>
      </c>
      <c r="E23" s="56">
        <v>-38908</v>
      </c>
      <c r="F23" s="57"/>
    </row>
    <row r="24" spans="1:6" x14ac:dyDescent="0.3">
      <c r="A24" s="40" t="s">
        <v>236</v>
      </c>
      <c r="C24" s="56">
        <v>956940</v>
      </c>
      <c r="D24" s="56">
        <v>4284278</v>
      </c>
      <c r="E24" s="56">
        <v>9534993</v>
      </c>
      <c r="F24" s="57"/>
    </row>
    <row r="25" spans="1:6" x14ac:dyDescent="0.3">
      <c r="A25" s="40" t="s">
        <v>237</v>
      </c>
      <c r="C25" s="56">
        <v>108579</v>
      </c>
      <c r="D25" s="56">
        <v>3447767</v>
      </c>
      <c r="E25" s="56">
        <v>7049892</v>
      </c>
      <c r="F25" s="57"/>
    </row>
    <row r="26" spans="1:6" x14ac:dyDescent="0.3">
      <c r="A26" s="40" t="s">
        <v>238</v>
      </c>
      <c r="C26" s="56">
        <v>-7948</v>
      </c>
      <c r="D26" s="56">
        <v>130542</v>
      </c>
      <c r="E26" s="56">
        <v>446984</v>
      </c>
      <c r="F26" s="57"/>
    </row>
    <row r="27" spans="1:6" x14ac:dyDescent="0.3">
      <c r="A27" s="40" t="s">
        <v>239</v>
      </c>
      <c r="C27" s="56">
        <v>-7948</v>
      </c>
      <c r="D27" s="56">
        <v>130542</v>
      </c>
      <c r="E27" s="56">
        <v>446984</v>
      </c>
      <c r="F27" s="57"/>
    </row>
    <row r="28" spans="1:6" x14ac:dyDescent="0.3">
      <c r="A28" s="40" t="s">
        <v>240</v>
      </c>
      <c r="C28" s="56">
        <v>116527</v>
      </c>
      <c r="D28" s="56">
        <v>3256552</v>
      </c>
      <c r="E28" s="56">
        <v>6260311</v>
      </c>
      <c r="F28" s="57"/>
    </row>
    <row r="29" spans="1:6" x14ac:dyDescent="0.3">
      <c r="A29" s="40" t="s">
        <v>241</v>
      </c>
      <c r="C29" s="56">
        <v>848361</v>
      </c>
      <c r="D29" s="56">
        <v>836511</v>
      </c>
      <c r="E29" s="56">
        <v>2485101</v>
      </c>
      <c r="F29" s="57"/>
    </row>
    <row r="30" spans="1:6" x14ac:dyDescent="0.3">
      <c r="A30" s="40" t="s">
        <v>242</v>
      </c>
      <c r="C30" s="56">
        <v>-243936</v>
      </c>
      <c r="D30" s="56">
        <v>131657</v>
      </c>
      <c r="E30" s="56">
        <v>-3705762</v>
      </c>
      <c r="F30" s="57"/>
    </row>
    <row r="31" spans="1:6" x14ac:dyDescent="0.3">
      <c r="A31" s="40" t="s">
        <v>243</v>
      </c>
      <c r="C31" s="56">
        <v>-124416</v>
      </c>
      <c r="D31" s="56">
        <v>-44680</v>
      </c>
      <c r="E31" s="56">
        <v>1029641</v>
      </c>
      <c r="F31" s="57"/>
    </row>
    <row r="32" spans="1:6" x14ac:dyDescent="0.3">
      <c r="A32" s="40" t="s">
        <v>244</v>
      </c>
      <c r="C32" s="56">
        <v>102391</v>
      </c>
      <c r="D32" s="56">
        <v>381909</v>
      </c>
      <c r="E32" s="56">
        <v>25199</v>
      </c>
      <c r="F32" s="57"/>
    </row>
    <row r="33" spans="1:6" s="49" customFormat="1" x14ac:dyDescent="0.3">
      <c r="A33" s="49" t="s">
        <v>245</v>
      </c>
      <c r="C33" s="58">
        <v>3382069</v>
      </c>
      <c r="D33" s="58">
        <v>-5071060</v>
      </c>
      <c r="E33" s="58">
        <v>-39764704</v>
      </c>
      <c r="F33" s="59"/>
    </row>
    <row r="34" spans="1:6" x14ac:dyDescent="0.3">
      <c r="A34" s="40" t="s">
        <v>246</v>
      </c>
      <c r="C34" s="56">
        <v>3382069</v>
      </c>
      <c r="D34" s="56">
        <v>-5071060</v>
      </c>
      <c r="E34" s="56">
        <v>-39764704</v>
      </c>
      <c r="F34" s="57"/>
    </row>
    <row r="35" spans="1:6" x14ac:dyDescent="0.3">
      <c r="A35" s="40" t="s">
        <v>247</v>
      </c>
      <c r="C35" s="56">
        <v>-1706787</v>
      </c>
      <c r="D35" s="56">
        <v>-1127686</v>
      </c>
      <c r="E35" s="57" t="s">
        <v>101</v>
      </c>
      <c r="F35" s="57"/>
    </row>
    <row r="36" spans="1:6" x14ac:dyDescent="0.3">
      <c r="A36" s="40" t="s">
        <v>248</v>
      </c>
      <c r="C36" s="56">
        <v>-1706787</v>
      </c>
      <c r="D36" s="56">
        <v>-964614</v>
      </c>
      <c r="E36" s="56">
        <v>-4077638</v>
      </c>
      <c r="F36" s="57"/>
    </row>
    <row r="37" spans="1:6" x14ac:dyDescent="0.3">
      <c r="A37" s="40" t="s">
        <v>249</v>
      </c>
      <c r="C37" s="56">
        <v>-1706787</v>
      </c>
      <c r="D37" s="56">
        <v>-1127686</v>
      </c>
      <c r="E37" s="56">
        <v>-4078764</v>
      </c>
      <c r="F37" s="57"/>
    </row>
    <row r="38" spans="1:6" x14ac:dyDescent="0.3">
      <c r="A38" s="40" t="s">
        <v>250</v>
      </c>
      <c r="C38" s="57" t="s">
        <v>101</v>
      </c>
      <c r="D38" s="56">
        <v>163072</v>
      </c>
      <c r="E38" s="56">
        <v>1126</v>
      </c>
      <c r="F38" s="57"/>
    </row>
    <row r="39" spans="1:6" x14ac:dyDescent="0.3">
      <c r="A39" s="40" t="s">
        <v>251</v>
      </c>
      <c r="C39" s="56">
        <v>45153</v>
      </c>
      <c r="D39" s="56">
        <v>-250826</v>
      </c>
      <c r="E39" s="56">
        <v>-592570</v>
      </c>
      <c r="F39" s="57"/>
    </row>
    <row r="40" spans="1:6" x14ac:dyDescent="0.3">
      <c r="A40" s="40" t="s">
        <v>252</v>
      </c>
      <c r="C40" s="56">
        <v>-31500</v>
      </c>
      <c r="D40" s="56">
        <v>-250826</v>
      </c>
      <c r="E40" s="56">
        <v>-592570</v>
      </c>
      <c r="F40" s="57"/>
    </row>
    <row r="41" spans="1:6" x14ac:dyDescent="0.3">
      <c r="A41" s="40" t="s">
        <v>253</v>
      </c>
      <c r="C41" s="56">
        <v>76653</v>
      </c>
      <c r="D41" s="57">
        <v>0</v>
      </c>
      <c r="E41" s="57">
        <v>0</v>
      </c>
      <c r="F41" s="57"/>
    </row>
    <row r="42" spans="1:6" x14ac:dyDescent="0.3">
      <c r="A42" s="40" t="s">
        <v>254</v>
      </c>
      <c r="C42" s="56">
        <v>5043703</v>
      </c>
      <c r="D42" s="56">
        <v>-3855620</v>
      </c>
      <c r="E42" s="56">
        <v>-35144496</v>
      </c>
      <c r="F42" s="57"/>
    </row>
    <row r="43" spans="1:6" x14ac:dyDescent="0.3">
      <c r="A43" s="40" t="s">
        <v>255</v>
      </c>
      <c r="C43" s="56">
        <v>-2202762</v>
      </c>
      <c r="D43" s="56">
        <v>-7594110</v>
      </c>
      <c r="E43" s="56">
        <v>-136266219</v>
      </c>
      <c r="F43" s="57"/>
    </row>
    <row r="44" spans="1:6" x14ac:dyDescent="0.3">
      <c r="A44" s="40" t="s">
        <v>256</v>
      </c>
      <c r="C44" s="56">
        <v>7246465</v>
      </c>
      <c r="D44" s="56">
        <v>3738490</v>
      </c>
      <c r="E44" s="56">
        <v>101121723</v>
      </c>
      <c r="F44" s="57"/>
    </row>
    <row r="45" spans="1:6" x14ac:dyDescent="0.3">
      <c r="A45" s="40" t="s">
        <v>257</v>
      </c>
      <c r="C45" s="57" t="s">
        <v>101</v>
      </c>
      <c r="D45" s="57" t="s">
        <v>101</v>
      </c>
      <c r="E45" s="56">
        <v>50000</v>
      </c>
      <c r="F45" s="57"/>
    </row>
    <row r="46" spans="1:6" s="49" customFormat="1" x14ac:dyDescent="0.3">
      <c r="A46" s="49" t="s">
        <v>258</v>
      </c>
      <c r="C46" s="58">
        <v>3094953</v>
      </c>
      <c r="D46" s="58">
        <v>41357435</v>
      </c>
      <c r="E46" s="58">
        <v>18128743</v>
      </c>
      <c r="F46" s="59"/>
    </row>
    <row r="47" spans="1:6" x14ac:dyDescent="0.3">
      <c r="A47" s="40" t="s">
        <v>259</v>
      </c>
      <c r="C47" s="56">
        <v>3094953</v>
      </c>
      <c r="D47" s="56">
        <v>41357435</v>
      </c>
      <c r="E47" s="56">
        <v>18128743</v>
      </c>
      <c r="F47" s="57"/>
    </row>
    <row r="48" spans="1:6" x14ac:dyDescent="0.3">
      <c r="A48" s="40" t="s">
        <v>260</v>
      </c>
      <c r="C48" s="56">
        <v>3044163</v>
      </c>
      <c r="D48" s="56">
        <v>3677450</v>
      </c>
      <c r="E48" s="56">
        <v>13207627</v>
      </c>
      <c r="F48" s="57"/>
    </row>
    <row r="49" spans="1:7" x14ac:dyDescent="0.3">
      <c r="A49" s="40" t="s">
        <v>261</v>
      </c>
      <c r="C49" s="56">
        <v>3044163</v>
      </c>
      <c r="D49" s="56">
        <v>3677450</v>
      </c>
      <c r="E49" s="56">
        <v>13207627</v>
      </c>
      <c r="F49" s="57"/>
    </row>
    <row r="50" spans="1:7" x14ac:dyDescent="0.3">
      <c r="A50" s="40" t="s">
        <v>262</v>
      </c>
      <c r="C50" s="56">
        <v>5699037</v>
      </c>
      <c r="D50" s="56">
        <v>4970591</v>
      </c>
      <c r="E50" s="56">
        <v>15672755</v>
      </c>
      <c r="F50" s="57"/>
    </row>
    <row r="51" spans="1:7" x14ac:dyDescent="0.3">
      <c r="A51" s="40" t="s">
        <v>263</v>
      </c>
      <c r="C51" s="56">
        <v>-2654874</v>
      </c>
      <c r="D51" s="56">
        <v>-1293141</v>
      </c>
      <c r="E51" s="56">
        <v>-2465128</v>
      </c>
      <c r="F51" s="57"/>
    </row>
    <row r="52" spans="1:7" x14ac:dyDescent="0.3">
      <c r="A52" s="40" t="s">
        <v>264</v>
      </c>
      <c r="C52" s="57" t="s">
        <v>101</v>
      </c>
      <c r="D52" s="56">
        <v>640651</v>
      </c>
      <c r="E52" s="57" t="s">
        <v>101</v>
      </c>
      <c r="F52" s="57"/>
    </row>
    <row r="53" spans="1:7" x14ac:dyDescent="0.3">
      <c r="A53" s="40" t="s">
        <v>265</v>
      </c>
      <c r="C53" s="57" t="s">
        <v>101</v>
      </c>
      <c r="D53" s="56">
        <v>1605464</v>
      </c>
      <c r="E53" s="57" t="s">
        <v>101</v>
      </c>
      <c r="F53" s="57"/>
    </row>
    <row r="54" spans="1:7" x14ac:dyDescent="0.3">
      <c r="A54" s="40" t="s">
        <v>266</v>
      </c>
      <c r="C54" s="57" t="s">
        <v>101</v>
      </c>
      <c r="D54" s="56">
        <v>-964813</v>
      </c>
      <c r="E54" s="57" t="s">
        <v>101</v>
      </c>
      <c r="F54" s="57"/>
    </row>
    <row r="55" spans="1:7" x14ac:dyDescent="0.3">
      <c r="A55" s="40" t="s">
        <v>267</v>
      </c>
      <c r="C55" s="57">
        <v>0</v>
      </c>
      <c r="D55" s="56">
        <v>34607139</v>
      </c>
      <c r="E55" s="56">
        <v>12677554</v>
      </c>
      <c r="F55" s="57"/>
    </row>
    <row r="56" spans="1:7" x14ac:dyDescent="0.3">
      <c r="A56" s="40" t="s">
        <v>268</v>
      </c>
      <c r="C56" s="57">
        <v>0</v>
      </c>
      <c r="D56" s="56">
        <v>34607139</v>
      </c>
      <c r="E56" s="56">
        <v>12677554</v>
      </c>
      <c r="F56" s="57"/>
    </row>
    <row r="57" spans="1:7" x14ac:dyDescent="0.3">
      <c r="A57" s="40" t="s">
        <v>269</v>
      </c>
      <c r="C57" s="57">
        <v>0</v>
      </c>
      <c r="D57" s="57">
        <v>0</v>
      </c>
      <c r="E57" s="57" t="s">
        <v>101</v>
      </c>
      <c r="F57" s="57"/>
    </row>
    <row r="58" spans="1:7" x14ac:dyDescent="0.3">
      <c r="A58" s="40" t="s">
        <v>270</v>
      </c>
      <c r="C58" s="57">
        <v>0</v>
      </c>
      <c r="D58" s="57">
        <v>0</v>
      </c>
      <c r="E58" s="57" t="s">
        <v>101</v>
      </c>
      <c r="F58" s="57"/>
    </row>
    <row r="59" spans="1:7" x14ac:dyDescent="0.3">
      <c r="A59" s="40" t="s">
        <v>271</v>
      </c>
      <c r="C59" s="57">
        <v>0</v>
      </c>
      <c r="D59" s="57">
        <v>0</v>
      </c>
      <c r="E59" s="57" t="s">
        <v>101</v>
      </c>
      <c r="F59" s="57"/>
    </row>
    <row r="60" spans="1:7" x14ac:dyDescent="0.3">
      <c r="A60" s="40" t="s">
        <v>272</v>
      </c>
      <c r="C60" s="57">
        <v>0</v>
      </c>
      <c r="D60" s="57">
        <v>0</v>
      </c>
      <c r="E60" s="57" t="s">
        <v>101</v>
      </c>
      <c r="F60" s="57"/>
    </row>
    <row r="61" spans="1:7" x14ac:dyDescent="0.3">
      <c r="A61" s="40" t="s">
        <v>273</v>
      </c>
      <c r="C61" s="56">
        <v>50790</v>
      </c>
      <c r="D61" s="56">
        <v>154861</v>
      </c>
      <c r="E61" s="56">
        <v>144562</v>
      </c>
      <c r="F61" s="57"/>
    </row>
    <row r="62" spans="1:7" x14ac:dyDescent="0.3">
      <c r="A62" s="40" t="s">
        <v>274</v>
      </c>
      <c r="C62" s="57" t="s">
        <v>101</v>
      </c>
      <c r="D62" s="56">
        <v>2917985</v>
      </c>
      <c r="E62" s="56">
        <v>-7901000</v>
      </c>
      <c r="F62" s="57"/>
    </row>
    <row r="63" spans="1:7" x14ac:dyDescent="0.3">
      <c r="A63" s="40" t="s">
        <v>275</v>
      </c>
      <c r="C63" s="56">
        <v>989869</v>
      </c>
      <c r="D63" s="56">
        <v>38545098</v>
      </c>
      <c r="E63" s="56">
        <v>18374564</v>
      </c>
      <c r="F63" s="57"/>
    </row>
    <row r="64" spans="1:7" s="49" customFormat="1" x14ac:dyDescent="0.3">
      <c r="A64" s="49" t="s">
        <v>276</v>
      </c>
      <c r="C64" s="58">
        <v>-2244684</v>
      </c>
      <c r="D64" s="58">
        <v>38237269</v>
      </c>
      <c r="E64" s="58">
        <v>-19669575</v>
      </c>
      <c r="F64" s="59"/>
      <c r="G64" s="62"/>
    </row>
    <row r="65" spans="1:6" x14ac:dyDescent="0.3">
      <c r="A65" s="40" t="s">
        <v>277</v>
      </c>
      <c r="C65" s="56">
        <v>10166</v>
      </c>
      <c r="D65" s="56">
        <v>-682040</v>
      </c>
      <c r="E65" s="56">
        <v>-500959</v>
      </c>
      <c r="F65" s="57"/>
    </row>
    <row r="66" spans="1:6" x14ac:dyDescent="0.3">
      <c r="A66" s="40" t="s">
        <v>278</v>
      </c>
      <c r="C66" s="56">
        <v>3224387</v>
      </c>
      <c r="D66" s="56">
        <v>989869</v>
      </c>
      <c r="E66" s="56">
        <v>38545098</v>
      </c>
      <c r="F66" s="57"/>
    </row>
    <row r="67" spans="1:6" x14ac:dyDescent="0.3">
      <c r="A67" s="40" t="s">
        <v>279</v>
      </c>
      <c r="C67" s="56">
        <v>18189</v>
      </c>
      <c r="D67" s="56">
        <v>13172</v>
      </c>
      <c r="E67" s="56">
        <v>6007</v>
      </c>
      <c r="F67" s="57"/>
    </row>
    <row r="68" spans="1:6" x14ac:dyDescent="0.3">
      <c r="A68" s="40" t="s">
        <v>280</v>
      </c>
      <c r="C68" s="56">
        <v>260377</v>
      </c>
      <c r="D68" s="56">
        <v>333877</v>
      </c>
      <c r="E68" s="56">
        <v>218830</v>
      </c>
      <c r="F68" s="57"/>
    </row>
    <row r="69" spans="1:6" x14ac:dyDescent="0.3">
      <c r="A69" s="40" t="s">
        <v>281</v>
      </c>
      <c r="C69" s="56">
        <v>-1706787</v>
      </c>
      <c r="D69" s="56">
        <v>-1127686</v>
      </c>
      <c r="E69" s="56">
        <v>-4078764</v>
      </c>
      <c r="F69" s="57"/>
    </row>
    <row r="70" spans="1:6" x14ac:dyDescent="0.3">
      <c r="A70" s="40" t="s">
        <v>282</v>
      </c>
      <c r="C70" s="57">
        <v>0</v>
      </c>
      <c r="D70" s="56">
        <v>34607139</v>
      </c>
      <c r="E70" s="56">
        <v>12677554</v>
      </c>
      <c r="F70" s="57"/>
    </row>
    <row r="71" spans="1:6" x14ac:dyDescent="0.3">
      <c r="A71" s="40" t="s">
        <v>283</v>
      </c>
      <c r="C71" s="56">
        <v>5699037</v>
      </c>
      <c r="D71" s="56">
        <v>4970591</v>
      </c>
      <c r="E71" s="56">
        <v>15672755</v>
      </c>
      <c r="F71" s="57"/>
    </row>
    <row r="72" spans="1:6" x14ac:dyDescent="0.3">
      <c r="A72" s="40" t="s">
        <v>284</v>
      </c>
      <c r="C72" s="56">
        <v>-2654874</v>
      </c>
      <c r="D72" s="56">
        <v>-1293141</v>
      </c>
      <c r="E72" s="56">
        <v>-2465128</v>
      </c>
      <c r="F72" s="57"/>
    </row>
    <row r="73" spans="1:6" x14ac:dyDescent="0.3">
      <c r="A73" s="40" t="s">
        <v>285</v>
      </c>
      <c r="C73" s="57">
        <v>0</v>
      </c>
      <c r="D73" s="57">
        <v>0</v>
      </c>
      <c r="E73" s="57" t="s">
        <v>101</v>
      </c>
      <c r="F73" s="57"/>
    </row>
    <row r="74" spans="1:6" x14ac:dyDescent="0.3">
      <c r="A74" s="40" t="s">
        <v>286</v>
      </c>
      <c r="C74" s="56">
        <v>-10428493</v>
      </c>
      <c r="D74" s="56">
        <v>823208</v>
      </c>
      <c r="E74" s="56">
        <v>-2112378</v>
      </c>
      <c r="F7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KO</vt:lpstr>
      <vt:lpstr>IncomeStatements-quarterly</vt:lpstr>
      <vt:lpstr>schedule</vt:lpstr>
      <vt:lpstr>Assumptions</vt:lpstr>
      <vt:lpstr>FINAL</vt:lpstr>
      <vt:lpstr>IncomeStatements</vt:lpstr>
      <vt:lpstr>BalanceSheets</vt:lpstr>
      <vt:lpstr>cashflowStatements</vt:lpstr>
      <vt:lpstr>KO!Print_Area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Fidelity Investments</dc:creator>
  <cp:lastModifiedBy>linearpg</cp:lastModifiedBy>
  <cp:lastPrinted>2007-10-22T14:51:34Z</cp:lastPrinted>
  <dcterms:created xsi:type="dcterms:W3CDTF">2005-06-23T13:16:59Z</dcterms:created>
  <dcterms:modified xsi:type="dcterms:W3CDTF">2023-04-01T10:02:51Z</dcterms:modified>
</cp:coreProperties>
</file>