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ly_Financial_Statement" sheetId="1" r:id="rId4"/>
    <sheet state="visible" name="Yearly_Profit_Loss_Statement" sheetId="2" r:id="rId5"/>
  </sheets>
  <definedNames/>
  <calcPr/>
  <extLst>
    <ext uri="GoogleSheetsCustomDataVersion2">
      <go:sheetsCustomData xmlns:go="http://customooxmlschemas.google.com/" r:id="rId6" roundtripDataChecksum="2wee3beXFygpA/V1kIbHKKIuk/zGsY/yDXrsNdXAcBY="/>
    </ext>
  </extLst>
</workbook>
</file>

<file path=xl/sharedStrings.xml><?xml version="1.0" encoding="utf-8"?>
<sst xmlns="http://schemas.openxmlformats.org/spreadsheetml/2006/main" count="25" uniqueCount="24">
  <si>
    <t>Year</t>
  </si>
  <si>
    <t>Equity</t>
  </si>
  <si>
    <t>Assets</t>
  </si>
  <si>
    <t>Liabilities</t>
  </si>
  <si>
    <t>Current Assets</t>
  </si>
  <si>
    <t>Non-current Assets</t>
  </si>
  <si>
    <t>Current Liabilities</t>
  </si>
  <si>
    <t>Non Current Liabilities</t>
  </si>
  <si>
    <t>ROE</t>
  </si>
  <si>
    <t>ROA</t>
  </si>
  <si>
    <t>Debt/Equity</t>
  </si>
  <si>
    <t>Debt/Asset</t>
  </si>
  <si>
    <t>SBP Policy Rate</t>
  </si>
  <si>
    <t>Sales</t>
  </si>
  <si>
    <t>Other Revenues</t>
  </si>
  <si>
    <t>Earnings(Pre Tax)</t>
  </si>
  <si>
    <t>Earnings(Post Tax)</t>
  </si>
  <si>
    <t>Crude Oil (Barrels)</t>
  </si>
  <si>
    <t>Gas (MMcf)</t>
  </si>
  <si>
    <t>LPG (Tons)</t>
  </si>
  <si>
    <t>Sulphur (Tons)</t>
  </si>
  <si>
    <t>Payouts/Dividends</t>
  </si>
  <si>
    <t>Payouts/Dividends Ratio</t>
  </si>
  <si>
    <t>USD to PKR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</si>
</sst>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horizontal="right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31.86"/>
    <col customWidth="1" min="3" max="4" width="29.86"/>
    <col customWidth="1" min="5" max="5" width="26.71"/>
    <col customWidth="1" min="6" max="6" width="20.86"/>
    <col customWidth="1" min="7" max="7" width="22.29"/>
    <col customWidth="1" min="8" max="8" width="21.43"/>
    <col customWidth="1" min="9" max="9" width="13.86"/>
    <col customWidth="1" min="10" max="10" width="18.0"/>
    <col customWidth="1" min="11" max="11" width="17.43"/>
    <col customWidth="1" min="12" max="12" width="17.29"/>
    <col customWidth="1" min="13" max="13" width="18.86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>
        <v>1999.0</v>
      </c>
      <c r="B2" s="3">
        <f>33140*1000000</f>
        <v>33140000000</v>
      </c>
      <c r="C2" s="3">
        <f>54489*1000000</f>
        <v>54489000000</v>
      </c>
      <c r="D2" s="4">
        <f t="shared" ref="D2:D4" si="1">C2-B2</f>
        <v>21349000000</v>
      </c>
      <c r="E2" s="4">
        <f>24133*1000000</f>
        <v>24133000000</v>
      </c>
      <c r="F2" s="4">
        <f t="shared" ref="F2:F4" si="2">C2-E2</f>
        <v>30356000000</v>
      </c>
      <c r="G2" s="4">
        <f>10814*1000000</f>
        <v>10814000000</v>
      </c>
      <c r="H2" s="4">
        <f t="shared" ref="H2:H4" si="3">D2-G2</f>
        <v>10535000000</v>
      </c>
      <c r="I2" s="5">
        <f>Yearly_Profit_Loss_Statement!E2/B2</f>
        <v>0.1372963186</v>
      </c>
      <c r="J2" s="6">
        <f>Yearly_Profit_Loss_Statement!E2/C2</f>
        <v>0.08350309237</v>
      </c>
      <c r="K2" s="6">
        <f t="shared" ref="K2:K24" si="4">D2/B2</f>
        <v>0.6442063971</v>
      </c>
      <c r="L2" s="6">
        <f t="shared" ref="L2:L24" si="5">D2/C2</f>
        <v>0.3918038503</v>
      </c>
      <c r="M2" s="6">
        <v>0.141666666666666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">
        <v>2000.0</v>
      </c>
      <c r="B3" s="3">
        <f>41499*1000000</f>
        <v>41499000000</v>
      </c>
      <c r="C3" s="3">
        <f>59218*1000000</f>
        <v>59218000000</v>
      </c>
      <c r="D3" s="4">
        <f t="shared" si="1"/>
        <v>17719000000</v>
      </c>
      <c r="E3" s="4">
        <f>29291*1000000</f>
        <v>29291000000</v>
      </c>
      <c r="F3" s="4">
        <f t="shared" si="2"/>
        <v>29927000000</v>
      </c>
      <c r="G3" s="4">
        <f>7853*1000000</f>
        <v>7853000000</v>
      </c>
      <c r="H3" s="4">
        <f t="shared" si="3"/>
        <v>9866000000</v>
      </c>
      <c r="I3" s="5">
        <f>Yearly_Profit_Loss_Statement!E3/B3</f>
        <v>0.254463963</v>
      </c>
      <c r="J3" s="6">
        <f>Yearly_Profit_Loss_Statement!E3/C3</f>
        <v>0.1783241582</v>
      </c>
      <c r="K3" s="6">
        <f t="shared" si="4"/>
        <v>0.426974144</v>
      </c>
      <c r="L3" s="6">
        <f t="shared" si="5"/>
        <v>0.2992164545</v>
      </c>
      <c r="M3" s="6">
        <v>0.12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">
        <v>2001.0</v>
      </c>
      <c r="B4" s="3">
        <f>51279*1000000</f>
        <v>51279000000</v>
      </c>
      <c r="C4" s="3">
        <f>67762*1000000</f>
        <v>67762000000</v>
      </c>
      <c r="D4" s="4">
        <f t="shared" si="1"/>
        <v>16483000000</v>
      </c>
      <c r="E4" s="4">
        <f>38121*1000000</f>
        <v>38121000000</v>
      </c>
      <c r="F4" s="4">
        <f t="shared" si="2"/>
        <v>29641000000</v>
      </c>
      <c r="G4" s="4">
        <f>10970*1000000</f>
        <v>10970000000</v>
      </c>
      <c r="H4" s="4">
        <f t="shared" si="3"/>
        <v>5513000000</v>
      </c>
      <c r="I4" s="5">
        <f>Yearly_Profit_Loss_Statement!E4/B4</f>
        <v>0.3217691453</v>
      </c>
      <c r="J4" s="6">
        <f>Yearly_Profit_Loss_Statement!E4/C4</f>
        <v>0.2434993064</v>
      </c>
      <c r="K4" s="6">
        <f t="shared" si="4"/>
        <v>0.3214376255</v>
      </c>
      <c r="L4" s="6">
        <f t="shared" si="5"/>
        <v>0.2432484283</v>
      </c>
      <c r="M4" s="6">
        <v>0.125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">
        <v>2002.0</v>
      </c>
      <c r="B5" s="7">
        <f>57239568*1000</f>
        <v>57239568000</v>
      </c>
      <c r="C5" s="7">
        <f t="shared" ref="C5:C6" si="6">D5+B5</f>
        <v>74875595000</v>
      </c>
      <c r="D5" s="8">
        <f t="shared" ref="D5:D6" si="7">(G5+H5)</f>
        <v>17636027000</v>
      </c>
      <c r="E5" s="7">
        <f>36677661*1000</f>
        <v>36677661000</v>
      </c>
      <c r="F5" s="8">
        <f>(3138364+32986+428860+491500)*1000</f>
        <v>4091710000</v>
      </c>
      <c r="G5" s="7">
        <f>7142303*1000</f>
        <v>7142303000</v>
      </c>
      <c r="H5" s="8">
        <f>(4099026+6394698)*1000</f>
        <v>10493724000</v>
      </c>
      <c r="I5" s="5">
        <f>Yearly_Profit_Loss_Statement!E5/B5</f>
        <v>0.2929791504</v>
      </c>
      <c r="J5" s="6">
        <f>Yearly_Profit_Loss_Statement!E5/C5</f>
        <v>0.223971509</v>
      </c>
      <c r="K5" s="6">
        <f t="shared" si="4"/>
        <v>0.3081090165</v>
      </c>
      <c r="L5" s="6">
        <f t="shared" si="5"/>
        <v>0.2355377209</v>
      </c>
      <c r="M5" s="6">
        <v>0.0825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">
        <v>2003.0</v>
      </c>
      <c r="B6" s="7">
        <f>64096779*1000</f>
        <v>64096779000</v>
      </c>
      <c r="C6" s="7">
        <f t="shared" si="6"/>
        <v>81815042000</v>
      </c>
      <c r="D6" s="8">
        <f t="shared" si="7"/>
        <v>17718263000</v>
      </c>
      <c r="E6" s="7">
        <f>44039954*1000</f>
        <v>44039954000</v>
      </c>
      <c r="F6" s="7">
        <f>(2279147+34029+541948+491500)*1000</f>
        <v>3346624000</v>
      </c>
      <c r="G6" s="7">
        <f>6455075*1000</f>
        <v>6455075000</v>
      </c>
      <c r="H6" s="8">
        <f>(6455075+4808113)*1000</f>
        <v>11263188000</v>
      </c>
      <c r="I6" s="5">
        <f>Yearly_Profit_Loss_Statement!E6/B6</f>
        <v>0.3224811031</v>
      </c>
      <c r="J6" s="6">
        <f>Yearly_Profit_Loss_Statement!E6/C6</f>
        <v>0.2526430286</v>
      </c>
      <c r="K6" s="6">
        <f t="shared" si="4"/>
        <v>0.2764298499</v>
      </c>
      <c r="L6" s="6">
        <f t="shared" si="5"/>
        <v>0.2165648586</v>
      </c>
      <c r="M6" s="6">
        <v>0.075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">
        <v>2004.0</v>
      </c>
      <c r="B7" s="8">
        <f>(40.18+43.01)*1000000000</f>
        <v>83190000000</v>
      </c>
      <c r="C7" s="8">
        <f>104.94*1000000000</f>
        <v>104940000000</v>
      </c>
      <c r="D7" s="8">
        <f t="shared" ref="D7:D21" si="8">C7-B7</f>
        <v>21750000000</v>
      </c>
      <c r="E7" s="8">
        <f>57.87*1000000000</f>
        <v>57870000000</v>
      </c>
      <c r="F7" s="8">
        <f t="shared" ref="F7:F18" si="9">C7-E7</f>
        <v>47070000000</v>
      </c>
      <c r="G7" s="8">
        <f>4.4*1000000000</f>
        <v>4400000000</v>
      </c>
      <c r="H7" s="8">
        <f>17.36*1000000000</f>
        <v>17360000000</v>
      </c>
      <c r="I7" s="5">
        <f>Yearly_Profit_Loss_Statement!E7/B7</f>
        <v>0.2693833393</v>
      </c>
      <c r="J7" s="6">
        <f>Yearly_Profit_Loss_Statement!E7/C7</f>
        <v>0.2135506003</v>
      </c>
      <c r="K7" s="6">
        <f t="shared" si="4"/>
        <v>0.2614496935</v>
      </c>
      <c r="L7" s="6">
        <f t="shared" si="5"/>
        <v>0.2072612922</v>
      </c>
      <c r="M7" s="6">
        <v>0.075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">
        <v>2005.0</v>
      </c>
      <c r="B8" s="8">
        <f>(47.06+43.01)*1000000000</f>
        <v>90070000000</v>
      </c>
      <c r="C8" s="8">
        <f>123.28*1000000000</f>
        <v>123280000000</v>
      </c>
      <c r="D8" s="8">
        <f t="shared" si="8"/>
        <v>33210000000</v>
      </c>
      <c r="E8" s="8">
        <f>72.71*1000000000</f>
        <v>72710000000</v>
      </c>
      <c r="F8" s="8">
        <f t="shared" si="9"/>
        <v>50570000000</v>
      </c>
      <c r="G8" s="8">
        <f>13.59*1000000000</f>
        <v>13590000000</v>
      </c>
      <c r="H8" s="8">
        <f>19.62*1000000000</f>
        <v>19620000000</v>
      </c>
      <c r="I8" s="5">
        <f>Yearly_Profit_Loss_Statement!E8/B8</f>
        <v>0.3660486288</v>
      </c>
      <c r="J8" s="6">
        <f>Yearly_Profit_Loss_Statement!E8/C8</f>
        <v>0.267439974</v>
      </c>
      <c r="K8" s="6">
        <f t="shared" si="4"/>
        <v>0.368713223</v>
      </c>
      <c r="L8" s="6">
        <f t="shared" si="5"/>
        <v>0.2693867618</v>
      </c>
      <c r="M8" s="6">
        <v>0.09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">
        <v>2006.0</v>
      </c>
      <c r="B9" s="8">
        <f>(58.46+43.01)*1000000000</f>
        <v>101470000000</v>
      </c>
      <c r="C9" s="8">
        <f>129.21*1000000000</f>
        <v>129210000000</v>
      </c>
      <c r="D9" s="8">
        <f t="shared" si="8"/>
        <v>27740000000</v>
      </c>
      <c r="E9" s="8">
        <f>76.82*1000000000</f>
        <v>76820000000</v>
      </c>
      <c r="F9" s="8">
        <f t="shared" si="9"/>
        <v>52390000000</v>
      </c>
      <c r="G9" s="8">
        <f>11.09*1000000000</f>
        <v>11090000000</v>
      </c>
      <c r="H9" s="8">
        <f>16.65*1000000000</f>
        <v>16650000000</v>
      </c>
      <c r="I9" s="5">
        <f>Yearly_Profit_Loss_Statement!E9/B9</f>
        <v>0.4513649354</v>
      </c>
      <c r="J9" s="6">
        <f>Yearly_Profit_Loss_Statement!E9/C9</f>
        <v>0.354461729</v>
      </c>
      <c r="K9" s="6">
        <f t="shared" si="4"/>
        <v>0.273381295</v>
      </c>
      <c r="L9" s="6">
        <f t="shared" si="5"/>
        <v>0.2146892655</v>
      </c>
      <c r="M9" s="6">
        <v>0.095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">
        <v>2007.0</v>
      </c>
      <c r="B10" s="8">
        <f>(63.93+43.01)*1000000000</f>
        <v>106940000000</v>
      </c>
      <c r="C10" s="8">
        <f>136.75*1000000000</f>
        <v>136750000000</v>
      </c>
      <c r="D10" s="8">
        <f t="shared" si="8"/>
        <v>29810000000</v>
      </c>
      <c r="E10" s="8">
        <f>74.92*1000000000</f>
        <v>74920000000</v>
      </c>
      <c r="F10" s="8">
        <f t="shared" si="9"/>
        <v>61830000000</v>
      </c>
      <c r="G10" s="8">
        <f>11.26*1000000000</f>
        <v>11260000000</v>
      </c>
      <c r="H10" s="8">
        <f>18.55*1000000000</f>
        <v>18550000000</v>
      </c>
      <c r="I10" s="5">
        <f>Yearly_Profit_Loss_Statement!E10/B10</f>
        <v>0.4231344679</v>
      </c>
      <c r="J10" s="6">
        <f>Yearly_Profit_Loss_Statement!E10/C10</f>
        <v>0.3308957952</v>
      </c>
      <c r="K10" s="6">
        <f t="shared" si="4"/>
        <v>0.2787544417</v>
      </c>
      <c r="L10" s="6">
        <f t="shared" si="5"/>
        <v>0.2179890311</v>
      </c>
      <c r="M10" s="6">
        <v>0.1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">
        <v>2008.0</v>
      </c>
      <c r="B11" s="8">
        <f>(67.41+43.01)*1000000000</f>
        <v>110420000000</v>
      </c>
      <c r="C11" s="8">
        <f>152.31*1000000000</f>
        <v>152310000000</v>
      </c>
      <c r="D11" s="8">
        <f t="shared" si="8"/>
        <v>41890000000</v>
      </c>
      <c r="E11" s="8">
        <f>79.82*1000000000</f>
        <v>79820000000</v>
      </c>
      <c r="F11" s="8">
        <f t="shared" si="9"/>
        <v>72490000000</v>
      </c>
      <c r="G11" s="8">
        <f>21.44*1000000000</f>
        <v>21440000000</v>
      </c>
      <c r="H11" s="8">
        <f>20.46*1000000000</f>
        <v>20460000000</v>
      </c>
      <c r="I11" s="5">
        <f>Yearly_Profit_Loss_Statement!E11/B11</f>
        <v>0.4015576888</v>
      </c>
      <c r="J11" s="6">
        <f>Yearly_Profit_Loss_Statement!E11/C11</f>
        <v>0.2911168013</v>
      </c>
      <c r="K11" s="6">
        <f t="shared" si="4"/>
        <v>0.3793696794</v>
      </c>
      <c r="L11" s="6">
        <f t="shared" si="5"/>
        <v>0.2750311864</v>
      </c>
      <c r="M11" s="6">
        <v>0.12625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">
        <v>2009.0</v>
      </c>
      <c r="B12" s="8">
        <f>(83.16+43.01)*1000000000</f>
        <v>126170000000</v>
      </c>
      <c r="C12" s="8">
        <f>177.99*1000000000</f>
        <v>177990000000</v>
      </c>
      <c r="D12" s="8">
        <f t="shared" si="8"/>
        <v>51820000000</v>
      </c>
      <c r="E12" s="8">
        <f>86.83*1000000000</f>
        <v>86830000000</v>
      </c>
      <c r="F12" s="8">
        <f t="shared" si="9"/>
        <v>91160000000</v>
      </c>
      <c r="G12" s="8">
        <f>21.29*1000000000</f>
        <v>21290000000</v>
      </c>
      <c r="H12" s="8">
        <f>30.53*1000000000</f>
        <v>30530000000</v>
      </c>
      <c r="I12" s="5">
        <f>Yearly_Profit_Loss_Statement!E12/B12</f>
        <v>0.4401997305</v>
      </c>
      <c r="J12" s="6">
        <f>Yearly_Profit_Loss_Statement!E12/C12</f>
        <v>0.3120400022</v>
      </c>
      <c r="K12" s="6">
        <f t="shared" si="4"/>
        <v>0.410715701</v>
      </c>
      <c r="L12" s="6">
        <f t="shared" si="5"/>
        <v>0.2911399517</v>
      </c>
      <c r="M12" s="6">
        <v>0.13166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">
        <v>2010.0</v>
      </c>
      <c r="B13" s="7">
        <f>114.38*1000000000</f>
        <v>114380000000</v>
      </c>
      <c r="C13" s="7">
        <f>228.87*1000000000</f>
        <v>228870000000</v>
      </c>
      <c r="D13" s="7">
        <f t="shared" si="8"/>
        <v>114490000000</v>
      </c>
      <c r="E13" s="7">
        <f>120.43*1000000000</f>
        <v>120430000000</v>
      </c>
      <c r="F13" s="8">
        <f t="shared" si="9"/>
        <v>108440000000</v>
      </c>
      <c r="G13" s="7">
        <f>34.84*1000000000</f>
        <v>34840000000</v>
      </c>
      <c r="H13" s="7">
        <f>36.63*1000000000</f>
        <v>36630000000</v>
      </c>
      <c r="I13" s="5">
        <f>Yearly_Profit_Loss_Statement!E13/B13</f>
        <v>0.5173981465</v>
      </c>
      <c r="J13" s="6">
        <f>Yearly_Profit_Loss_Statement!E13/C13</f>
        <v>0.2585747368</v>
      </c>
      <c r="K13" s="6">
        <f t="shared" si="4"/>
        <v>1.000961707</v>
      </c>
      <c r="L13" s="6">
        <f t="shared" si="5"/>
        <v>0.5002403111</v>
      </c>
      <c r="M13" s="6">
        <v>0.135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">
        <v>2011.0</v>
      </c>
      <c r="B14" s="7">
        <f>158.56*1000000000</f>
        <v>158560000000</v>
      </c>
      <c r="C14" s="7">
        <f>261.78*1000000000</f>
        <v>261780000000</v>
      </c>
      <c r="D14" s="7">
        <f t="shared" si="8"/>
        <v>103220000000</v>
      </c>
      <c r="E14" s="7">
        <f>149.6*1000000000</f>
        <v>149600000000</v>
      </c>
      <c r="F14" s="8">
        <f t="shared" si="9"/>
        <v>112180000000</v>
      </c>
      <c r="G14" s="7">
        <f>21.78*1000000000</f>
        <v>21780000000</v>
      </c>
      <c r="H14" s="7">
        <f>38.44*1000000000</f>
        <v>38440000000</v>
      </c>
      <c r="I14" s="5">
        <f>Yearly_Profit_Loss_Statement!E14/B14</f>
        <v>0.4006685166</v>
      </c>
      <c r="J14" s="6">
        <f>Yearly_Profit_Loss_Statement!E14/C14</f>
        <v>0.2426846971</v>
      </c>
      <c r="K14" s="6">
        <f t="shared" si="4"/>
        <v>0.6509838547</v>
      </c>
      <c r="L14" s="6">
        <f t="shared" si="5"/>
        <v>0.3943005577</v>
      </c>
      <c r="M14" s="6">
        <v>0.1275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">
        <v>2012.0</v>
      </c>
      <c r="B15" s="7">
        <f>220.37*1000000000</f>
        <v>220370000000</v>
      </c>
      <c r="C15" s="7">
        <f>338.29*1000000000</f>
        <v>338290000000</v>
      </c>
      <c r="D15" s="7">
        <f t="shared" si="8"/>
        <v>117920000000</v>
      </c>
      <c r="E15" s="7">
        <f>214.85*1000000000</f>
        <v>214850000000</v>
      </c>
      <c r="F15" s="8">
        <f t="shared" si="9"/>
        <v>123440000000</v>
      </c>
      <c r="G15" s="7">
        <f>32.21*1000000000</f>
        <v>32210000000</v>
      </c>
      <c r="H15" s="7">
        <f>42.69*1000000000</f>
        <v>42690000000</v>
      </c>
      <c r="I15" s="5">
        <f>Yearly_Profit_Loss_Statement!E15/B15</f>
        <v>0.439760403</v>
      </c>
      <c r="J15" s="6">
        <f>Yearly_Profit_Loss_Statement!E15/C15</f>
        <v>0.2864701883</v>
      </c>
      <c r="K15" s="6">
        <f t="shared" si="4"/>
        <v>0.535100059</v>
      </c>
      <c r="L15" s="6">
        <f t="shared" si="5"/>
        <v>0.348576665</v>
      </c>
      <c r="M15" s="6">
        <v>0.1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">
        <v>2013.0</v>
      </c>
      <c r="B16" s="7">
        <f>269.26*1000000000</f>
        <v>269260000000</v>
      </c>
      <c r="C16" s="7">
        <f>413.93*1000000000</f>
        <v>413930000000</v>
      </c>
      <c r="D16" s="7">
        <f t="shared" si="8"/>
        <v>144670000000</v>
      </c>
      <c r="E16" s="7">
        <f>134.25*1000000000</f>
        <v>134250000000</v>
      </c>
      <c r="F16" s="8">
        <f t="shared" si="9"/>
        <v>279680000000</v>
      </c>
      <c r="G16" s="7">
        <f>58.38*1000000000</f>
        <v>58380000000</v>
      </c>
      <c r="H16" s="7">
        <f>43.29*1000000000</f>
        <v>43290000000</v>
      </c>
      <c r="I16" s="5">
        <f>Yearly_Profit_Loss_Statement!E16/B16</f>
        <v>0.3389660551</v>
      </c>
      <c r="J16" s="6">
        <f>Yearly_Profit_Loss_Statement!E16/C16</f>
        <v>0.2204962192</v>
      </c>
      <c r="K16" s="6">
        <f t="shared" si="4"/>
        <v>0.5372873802</v>
      </c>
      <c r="L16" s="6">
        <f t="shared" si="5"/>
        <v>0.3495035392</v>
      </c>
      <c r="M16" s="6">
        <v>0.095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">
        <v>2014.0</v>
      </c>
      <c r="B17" s="7">
        <f>352.66*1000000000</f>
        <v>352660000000</v>
      </c>
      <c r="C17" s="7">
        <f>496.23*1000000000</f>
        <v>496230000000</v>
      </c>
      <c r="D17" s="7">
        <f t="shared" si="8"/>
        <v>143570000000</v>
      </c>
      <c r="E17" s="7">
        <f>194.16*1000000000</f>
        <v>194160000000</v>
      </c>
      <c r="F17" s="8">
        <f t="shared" si="9"/>
        <v>302070000000</v>
      </c>
      <c r="G17" s="7">
        <f>48.05*1000000000</f>
        <v>48050000000</v>
      </c>
      <c r="H17" s="7">
        <f>52.52*1000000000</f>
        <v>52520000000</v>
      </c>
      <c r="I17" s="5">
        <f>Yearly_Profit_Loss_Statement!E17/B17</f>
        <v>0.3513582487</v>
      </c>
      <c r="J17" s="6">
        <f>Yearly_Profit_Loss_Statement!E17/C17</f>
        <v>0.2497027588</v>
      </c>
      <c r="K17" s="6">
        <f t="shared" si="4"/>
        <v>0.4071059944</v>
      </c>
      <c r="L17" s="6">
        <f t="shared" si="5"/>
        <v>0.289321484</v>
      </c>
      <c r="M17" s="6">
        <v>0.095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">
        <v>2015.0</v>
      </c>
      <c r="B18" s="7">
        <f>399.51*1000000000</f>
        <v>399510000000</v>
      </c>
      <c r="C18" s="7">
        <f>553.79*1000000000</f>
        <v>553790000000</v>
      </c>
      <c r="D18" s="7">
        <f t="shared" si="8"/>
        <v>154280000000</v>
      </c>
      <c r="E18" s="7">
        <f>219.78*1000000000</f>
        <v>219780000000</v>
      </c>
      <c r="F18" s="8">
        <f t="shared" si="9"/>
        <v>334010000000</v>
      </c>
      <c r="G18" s="7">
        <f>61.9*1000000000</f>
        <v>61900000000</v>
      </c>
      <c r="H18" s="7">
        <f>49.37*1000000000</f>
        <v>49370000000</v>
      </c>
      <c r="I18" s="5">
        <f>Yearly_Profit_Loss_Statement!E18/B18</f>
        <v>0.2183925309</v>
      </c>
      <c r="J18" s="6">
        <f>Yearly_Profit_Loss_Statement!E18/C18</f>
        <v>0.1575506961</v>
      </c>
      <c r="K18" s="6">
        <f t="shared" si="4"/>
        <v>0.386173062</v>
      </c>
      <c r="L18" s="6">
        <f t="shared" si="5"/>
        <v>0.278589357</v>
      </c>
      <c r="M18" s="6">
        <v>0.075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">
        <v>2016.0</v>
      </c>
      <c r="B19" s="7">
        <f>478632567*1000</f>
        <v>478632567000</v>
      </c>
      <c r="C19" s="7">
        <f>589565539*1000</f>
        <v>589565539000</v>
      </c>
      <c r="D19" s="7">
        <f t="shared" si="8"/>
        <v>110932972000</v>
      </c>
      <c r="E19" s="7">
        <f>254800670*1000</f>
        <v>254800670000</v>
      </c>
      <c r="F19" s="7">
        <f>334764869*1000</f>
        <v>334764869000</v>
      </c>
      <c r="G19" s="7">
        <f>58969148*1000</f>
        <v>58969148000</v>
      </c>
      <c r="H19" s="7">
        <f>51963824*1000</f>
        <v>51963824000</v>
      </c>
      <c r="I19" s="5">
        <f>Yearly_Profit_Loss_Statement!E19/B19</f>
        <v>0.1252944412</v>
      </c>
      <c r="J19" s="6">
        <f>Yearly_Profit_Loss_Statement!E19/C19</f>
        <v>0.1017189711</v>
      </c>
      <c r="K19" s="6">
        <f t="shared" si="4"/>
        <v>0.2317706309</v>
      </c>
      <c r="L19" s="6">
        <f t="shared" si="5"/>
        <v>0.1881605431</v>
      </c>
      <c r="M19" s="6">
        <v>0.0625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">
        <v>2017.0</v>
      </c>
      <c r="B20" s="7">
        <f>512984337*1000</f>
        <v>512984337000</v>
      </c>
      <c r="C20" s="7">
        <f>627287973*1000</f>
        <v>627287973000</v>
      </c>
      <c r="D20" s="7">
        <f t="shared" si="8"/>
        <v>114303636000</v>
      </c>
      <c r="E20" s="7">
        <f>342460219*1000</f>
        <v>342460219000</v>
      </c>
      <c r="F20" s="7">
        <f>284827754*1000</f>
        <v>284827754000</v>
      </c>
      <c r="G20" s="7">
        <f>53610444*1000</f>
        <v>53610444000</v>
      </c>
      <c r="H20" s="7">
        <f>60693192*1000</f>
        <v>60693192000</v>
      </c>
      <c r="I20" s="5">
        <f>Yearly_Profit_Loss_Statement!E20/B20</f>
        <v>0.124370269</v>
      </c>
      <c r="J20" s="6">
        <f>Yearly_Profit_Loss_Statement!E20/C20</f>
        <v>0.1017076729</v>
      </c>
      <c r="K20" s="6">
        <f t="shared" si="4"/>
        <v>0.2228209085</v>
      </c>
      <c r="L20" s="6">
        <f t="shared" si="5"/>
        <v>0.182218759</v>
      </c>
      <c r="M20" s="6">
        <v>0.0625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">
        <v>2018.0</v>
      </c>
      <c r="B21" s="7">
        <f>550556422*1000</f>
        <v>550556422000</v>
      </c>
      <c r="C21" s="7">
        <f>666477197*1000</f>
        <v>666477197000</v>
      </c>
      <c r="D21" s="7">
        <f t="shared" si="8"/>
        <v>115920775000</v>
      </c>
      <c r="E21" s="7">
        <f>405857905*1000</f>
        <v>405857905000</v>
      </c>
      <c r="F21" s="7">
        <f>260619292*1000</f>
        <v>260619292000</v>
      </c>
      <c r="G21" s="7">
        <f>55194887*1000</f>
        <v>55194887000</v>
      </c>
      <c r="H21" s="7">
        <f>60725888*1000</f>
        <v>60725888000</v>
      </c>
      <c r="I21" s="5">
        <f>Yearly_Profit_Loss_Statement!E21/B21</f>
        <v>0.1430189475</v>
      </c>
      <c r="J21" s="6">
        <f>Yearly_Profit_Loss_Statement!E21/C21</f>
        <v>0.1181435769</v>
      </c>
      <c r="K21" s="6">
        <f t="shared" si="4"/>
        <v>0.2105520349</v>
      </c>
      <c r="L21" s="6">
        <f t="shared" si="5"/>
        <v>0.1739305944</v>
      </c>
      <c r="M21" s="6">
        <f>0.082</f>
        <v>0.082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">
        <v>2019.0</v>
      </c>
      <c r="B22" s="7">
        <f>646214995*1000</f>
        <v>646214995000</v>
      </c>
      <c r="C22" s="7">
        <f>795058357*1000</f>
        <v>795058357000</v>
      </c>
      <c r="D22" s="7">
        <f>148843362*1000</f>
        <v>148843362000</v>
      </c>
      <c r="E22" s="7">
        <f>509465463*1000</f>
        <v>509465463000</v>
      </c>
      <c r="F22" s="7">
        <f>285592894*1000</f>
        <v>285592894000</v>
      </c>
      <c r="G22" s="7">
        <f>69902275*1000</f>
        <v>69902275000</v>
      </c>
      <c r="H22" s="7">
        <f>78941087*1000</f>
        <v>78941087000</v>
      </c>
      <c r="I22" s="5">
        <f>Yearly_Profit_Loss_Statement!E22/B22</f>
        <v>0.1832052814</v>
      </c>
      <c r="J22" s="6">
        <f>Yearly_Profit_Loss_Statement!E22/C22</f>
        <v>0.1489073084</v>
      </c>
      <c r="K22" s="6">
        <f t="shared" si="4"/>
        <v>0.2303310247</v>
      </c>
      <c r="L22" s="6">
        <f t="shared" si="5"/>
        <v>0.1872106125</v>
      </c>
      <c r="M22" s="6">
        <v>0.12833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">
        <v>2020.0</v>
      </c>
      <c r="B23" s="7">
        <f>710563976*1000</f>
        <v>710563976000</v>
      </c>
      <c r="C23" s="7">
        <f>888973636*1000</f>
        <v>888973636000</v>
      </c>
      <c r="D23" s="7">
        <f>178409660*1000</f>
        <v>178409660000</v>
      </c>
      <c r="E23" s="7">
        <f>555071602*1000</f>
        <v>555071602000</v>
      </c>
      <c r="F23" s="7">
        <f>333902034*1000</f>
        <v>333902034000</v>
      </c>
      <c r="G23" s="7">
        <f>89357746*1000</f>
        <v>89357746000</v>
      </c>
      <c r="H23" s="7">
        <f>89051914*1000</f>
        <v>89051914000</v>
      </c>
      <c r="I23" s="5">
        <f>Yearly_Profit_Loss_Statement!E23/B23</f>
        <v>0.1420561743</v>
      </c>
      <c r="J23" s="6">
        <f>Yearly_Profit_Loss_Statement!E23/C23</f>
        <v>0.1135466744</v>
      </c>
      <c r="K23" s="6">
        <f t="shared" si="4"/>
        <v>0.2510817689</v>
      </c>
      <c r="L23" s="6">
        <f t="shared" si="5"/>
        <v>0.2006917334</v>
      </c>
      <c r="M23" s="6">
        <v>0.112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">
        <v>2021.0</v>
      </c>
      <c r="B24" s="7">
        <f>769644045*1000</f>
        <v>769644045000</v>
      </c>
      <c r="C24" s="7">
        <f>955993814*1000</f>
        <v>955993814000</v>
      </c>
      <c r="D24" s="7">
        <f>186349769*1000</f>
        <v>186349769000</v>
      </c>
      <c r="E24" s="7">
        <f>650669655*1000</f>
        <v>650669655000</v>
      </c>
      <c r="F24" s="7">
        <f>305324159*1000</f>
        <v>305324159000</v>
      </c>
      <c r="G24" s="7">
        <f>101679608*1000</f>
        <v>101679608000</v>
      </c>
      <c r="H24" s="7">
        <f>84670161*1000</f>
        <v>84670161000</v>
      </c>
      <c r="I24" s="5">
        <f>Yearly_Profit_Loss_Statement!E24/B24</f>
        <v>0.1189251065</v>
      </c>
      <c r="J24" s="6">
        <f>Yearly_Profit_Loss_Statement!E24/C24</f>
        <v>0.09574329735</v>
      </c>
      <c r="K24" s="6">
        <f t="shared" si="4"/>
        <v>0.2421246162</v>
      </c>
      <c r="L24" s="6">
        <f t="shared" si="5"/>
        <v>0.1949277979</v>
      </c>
      <c r="M24" s="6">
        <v>0.0958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"/>
      <c r="B25" s="8"/>
      <c r="C25" s="8"/>
      <c r="D25" s="7"/>
      <c r="E25" s="7"/>
      <c r="F25" s="7"/>
      <c r="G25" s="7"/>
      <c r="H25" s="7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"/>
      <c r="B26" s="8"/>
      <c r="C26" s="8"/>
      <c r="D26" s="8"/>
      <c r="E26" s="7"/>
      <c r="F26" s="7"/>
      <c r="G26" s="7"/>
      <c r="H26" s="7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2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2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2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2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2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2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2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2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2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2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2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2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2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2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2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2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2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2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2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2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2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2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2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2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2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2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2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2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2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2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2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2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2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2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2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2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2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2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2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2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2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2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2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2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2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2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2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2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2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2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2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2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2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2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2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2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2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2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2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2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2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2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2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2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2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2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2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2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2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2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2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2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2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2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2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2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2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2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2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2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2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2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2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2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2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2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2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2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2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2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2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2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2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2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2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2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2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2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2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2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2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2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2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2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2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2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2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2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2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2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2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2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2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2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2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2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2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2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2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2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2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2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2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2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2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2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2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2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2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2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2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2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2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2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2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2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2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2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2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2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2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2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2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2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2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2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2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2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2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2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2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2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2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2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2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2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2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2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2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2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2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2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2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2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2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2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2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2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2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2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2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2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2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2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2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2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2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2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2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2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2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2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2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2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2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2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2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2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2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2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2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2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2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2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2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2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2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2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2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2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2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2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2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2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2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2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2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2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2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2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2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2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2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2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2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2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2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2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2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2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2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2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2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2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2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2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2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2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2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2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2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2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2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2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2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2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2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2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2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2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2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2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21.43"/>
    <col customWidth="1" min="3" max="3" width="28.86"/>
    <col customWidth="1" min="4" max="4" width="21.71"/>
    <col customWidth="1" min="5" max="5" width="24.29"/>
    <col customWidth="1" min="6" max="6" width="27.14"/>
    <col customWidth="1" min="7" max="7" width="17.29"/>
    <col customWidth="1" min="8" max="8" width="21.43"/>
    <col customWidth="1" min="9" max="9" width="13.86"/>
    <col customWidth="1" min="10" max="10" width="22.14"/>
    <col customWidth="1" min="11" max="11" width="27.0"/>
    <col customWidth="1" min="12" max="12" width="22.43"/>
    <col customWidth="1" min="13" max="13" width="18.29"/>
    <col customWidth="1" min="14" max="14" width="16.43"/>
    <col customWidth="1" min="15" max="15" width="17.57"/>
    <col customWidth="1" min="16" max="16" width="14.29"/>
    <col customWidth="1" min="17" max="26" width="8.71"/>
  </cols>
  <sheetData>
    <row r="1" ht="14.25" customHeight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9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>
        <v>1999.0</v>
      </c>
      <c r="B2" s="3">
        <f>14.23*1000000000</f>
        <v>14230000000</v>
      </c>
      <c r="C2" s="8">
        <f>0.6*1000000000</f>
        <v>600000000</v>
      </c>
      <c r="D2" s="8">
        <f>4.77*1000000000</f>
        <v>4770000000</v>
      </c>
      <c r="E2" s="8">
        <f>4.55*1000000000</f>
        <v>4550000000</v>
      </c>
      <c r="F2" s="8">
        <v>8074.0</v>
      </c>
      <c r="G2" s="8">
        <v>115967.0</v>
      </c>
      <c r="H2" s="8">
        <v>90425.0</v>
      </c>
      <c r="I2" s="8">
        <v>29880.0</v>
      </c>
      <c r="J2" s="8">
        <f>1075*1000000</f>
        <v>1075000000</v>
      </c>
      <c r="K2" s="5">
        <f t="shared" ref="K2:K24" si="1">J2/E2</f>
        <v>0.2362637363</v>
      </c>
      <c r="L2" s="10">
        <v>51.36785769230769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">
        <v>2000.0</v>
      </c>
      <c r="B3" s="3">
        <f>25.3*1000000000</f>
        <v>25300000000</v>
      </c>
      <c r="C3" s="8">
        <f>0.91*1000000000</f>
        <v>910000000</v>
      </c>
      <c r="D3" s="8">
        <f>12.95*1000000000</f>
        <v>12950000000</v>
      </c>
      <c r="E3" s="8">
        <f>10.56*1000000000</f>
        <v>10560000000</v>
      </c>
      <c r="F3" s="8">
        <v>8907.0</v>
      </c>
      <c r="G3" s="8">
        <v>161534.0</v>
      </c>
      <c r="H3" s="8">
        <v>93004.0</v>
      </c>
      <c r="I3" s="8">
        <v>13445.0</v>
      </c>
      <c r="J3" s="8">
        <f>2150*1000000</f>
        <v>2150000000</v>
      </c>
      <c r="K3" s="5">
        <f t="shared" si="1"/>
        <v>0.2035984848</v>
      </c>
      <c r="L3" s="11">
        <v>53.87578846153846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">
        <v>2001.0</v>
      </c>
      <c r="B4" s="3">
        <f>38.3*1000000000</f>
        <v>38300000000</v>
      </c>
      <c r="C4" s="8">
        <f>1.6*1000000000</f>
        <v>1600000000</v>
      </c>
      <c r="D4" s="8">
        <f>23.23*1000000000</f>
        <v>23230000000</v>
      </c>
      <c r="E4" s="8">
        <f>16.5*1000000000</f>
        <v>16500000000</v>
      </c>
      <c r="F4" s="8">
        <v>8535.0</v>
      </c>
      <c r="G4" s="8">
        <v>217927.0</v>
      </c>
      <c r="H4" s="8">
        <v>77402.0</v>
      </c>
      <c r="I4" s="8">
        <v>16670.0</v>
      </c>
      <c r="J4" s="8">
        <f>6666*1000000</f>
        <v>6666000000</v>
      </c>
      <c r="K4" s="5">
        <f t="shared" si="1"/>
        <v>0.404</v>
      </c>
      <c r="L4" s="11">
        <v>61.67615384615384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">
        <v>2002.0</v>
      </c>
      <c r="B5" s="3">
        <f>39.81*1000000000</f>
        <v>39810000000</v>
      </c>
      <c r="C5" s="8">
        <f>2.04*1000000000</f>
        <v>2040000000</v>
      </c>
      <c r="D5" s="8">
        <f>25.69*1000000000</f>
        <v>25690000000</v>
      </c>
      <c r="E5" s="8">
        <f>16.77*1000000000</f>
        <v>16770000000</v>
      </c>
      <c r="F5" s="8">
        <v>8705.0</v>
      </c>
      <c r="G5" s="8">
        <v>245537.0</v>
      </c>
      <c r="H5" s="8">
        <v>93136.0</v>
      </c>
      <c r="I5" s="8">
        <v>23234.0</v>
      </c>
      <c r="J5" s="8">
        <f>10752*1000000</f>
        <v>10752000000</v>
      </c>
      <c r="K5" s="5">
        <f t="shared" si="1"/>
        <v>0.6411449016</v>
      </c>
      <c r="L5" s="11">
        <v>59.54311538461538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">
        <v>2003.0</v>
      </c>
      <c r="B6" s="3">
        <f>45.07*1000000000</f>
        <v>45070000000</v>
      </c>
      <c r="C6" s="8">
        <f>1.99*1000000000</f>
        <v>1990000000</v>
      </c>
      <c r="D6" s="8">
        <f>26.42*1000000000</f>
        <v>26420000000</v>
      </c>
      <c r="E6" s="8">
        <f>20.67*1000000000</f>
        <v>20670000000</v>
      </c>
      <c r="F6" s="8">
        <v>9413.0</v>
      </c>
      <c r="G6" s="8">
        <v>274006.0</v>
      </c>
      <c r="H6" s="8">
        <v>90304.0</v>
      </c>
      <c r="I6" s="8">
        <v>15889.0</v>
      </c>
      <c r="J6" s="8">
        <f>12903*1000000</f>
        <v>12903000000</v>
      </c>
      <c r="K6" s="5">
        <f t="shared" si="1"/>
        <v>0.6242380261</v>
      </c>
      <c r="L6" s="11">
        <v>57.70334865900384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">
        <v>2004.0</v>
      </c>
      <c r="B7" s="3">
        <f>51.33*1000000000</f>
        <v>51330000000</v>
      </c>
      <c r="C7" s="8">
        <f>1.31*1000000000</f>
        <v>1310000000</v>
      </c>
      <c r="D7" s="8">
        <f>30.52*1000000000</f>
        <v>30520000000</v>
      </c>
      <c r="E7" s="8">
        <f>22.41*1000000000</f>
        <v>22410000000</v>
      </c>
      <c r="F7" s="8">
        <v>9941.0</v>
      </c>
      <c r="G7" s="8">
        <v>277408.0</v>
      </c>
      <c r="H7" s="8">
        <v>101322.0</v>
      </c>
      <c r="I7" s="8">
        <v>18917.0</v>
      </c>
      <c r="J7" s="8">
        <f>17.2*1000000000</f>
        <v>17200000000</v>
      </c>
      <c r="K7" s="5">
        <f t="shared" si="1"/>
        <v>0.7675145025</v>
      </c>
      <c r="L7" s="11">
        <v>58.35117624521072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">
        <v>2005.0</v>
      </c>
      <c r="B8" s="3">
        <f>73.71*1000000000</f>
        <v>73710000000</v>
      </c>
      <c r="C8" s="8">
        <f>2.28*1000000000</f>
        <v>2280000000</v>
      </c>
      <c r="D8" s="8">
        <f>49.02*1000000000</f>
        <v>49020000000</v>
      </c>
      <c r="E8" s="8">
        <f>32.97*1000000000</f>
        <v>32970000000</v>
      </c>
      <c r="F8" s="8">
        <v>13045.0</v>
      </c>
      <c r="G8" s="8">
        <v>329385.0</v>
      </c>
      <c r="H8" s="8">
        <v>120063.0</v>
      </c>
      <c r="I8" s="8">
        <v>25884.0</v>
      </c>
      <c r="J8" s="8">
        <f>32.26*1000000000</f>
        <v>32260000000</v>
      </c>
      <c r="K8" s="5">
        <f t="shared" si="1"/>
        <v>0.9784652715</v>
      </c>
      <c r="L8" s="11">
        <v>59.60324230769231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">
        <v>2006.0</v>
      </c>
      <c r="B9" s="3">
        <f>97.31*1000000000</f>
        <v>97310000000</v>
      </c>
      <c r="C9" s="8">
        <f>4.4*1000000000</f>
        <v>4400000000</v>
      </c>
      <c r="D9" s="8">
        <f>65.76*1000000000</f>
        <v>65760000000</v>
      </c>
      <c r="E9" s="8">
        <f>45.8*1000000000</f>
        <v>45800000000</v>
      </c>
      <c r="F9" s="8">
        <v>12956.0</v>
      </c>
      <c r="G9" s="8">
        <v>344164.0</v>
      </c>
      <c r="H9" s="8">
        <v>128654.0</v>
      </c>
      <c r="I9" s="8">
        <v>22006.0</v>
      </c>
      <c r="J9" s="8">
        <f t="shared" ref="J9:J10" si="2">38.71*1000000000</f>
        <v>38710000000</v>
      </c>
      <c r="K9" s="5">
        <f t="shared" si="1"/>
        <v>0.8451965066</v>
      </c>
      <c r="L9" s="11">
        <v>60.30653076923077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">
        <v>2007.0</v>
      </c>
      <c r="B10" s="3">
        <f>100.73*1000000000</f>
        <v>100730000000</v>
      </c>
      <c r="C10" s="8">
        <f>4.03*1000000000</f>
        <v>4030000000</v>
      </c>
      <c r="D10" s="8">
        <f>60.75*1000000000</f>
        <v>60750000000</v>
      </c>
      <c r="E10" s="8">
        <f>45.25*1000000000</f>
        <v>45250000000</v>
      </c>
      <c r="F10" s="8">
        <v>13930.0</v>
      </c>
      <c r="G10" s="8">
        <v>344032.0</v>
      </c>
      <c r="H10" s="8">
        <v>139480.0</v>
      </c>
      <c r="I10" s="8">
        <v>16638.0</v>
      </c>
      <c r="J10" s="8">
        <f t="shared" si="2"/>
        <v>38710000000</v>
      </c>
      <c r="K10" s="5">
        <f t="shared" si="1"/>
        <v>0.8554696133</v>
      </c>
      <c r="L10" s="11">
        <v>60.77381992337165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">
        <v>2008.0</v>
      </c>
      <c r="B11" s="3">
        <f>125.91*1000000000</f>
        <v>125910000000</v>
      </c>
      <c r="C11" s="8">
        <f>3.91*1000000000</f>
        <v>3910000000</v>
      </c>
      <c r="D11" s="8">
        <f>78.31*1000000000</f>
        <v>78310000000</v>
      </c>
      <c r="E11" s="8">
        <f>44.34*1000000000</f>
        <v>44340000000</v>
      </c>
      <c r="F11" s="8">
        <v>15037.0</v>
      </c>
      <c r="G11" s="8">
        <v>358868.0</v>
      </c>
      <c r="H11" s="8">
        <v>125482.0</v>
      </c>
      <c r="I11" s="8">
        <v>29065.0</v>
      </c>
      <c r="J11" s="8">
        <f>0.92*E11</f>
        <v>40792800000</v>
      </c>
      <c r="K11" s="5">
        <f t="shared" si="1"/>
        <v>0.92</v>
      </c>
      <c r="L11" s="11">
        <v>70.5979961832061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">
        <v>2009.0</v>
      </c>
      <c r="B12" s="3">
        <f>130.83*1000000000</f>
        <v>130830000000</v>
      </c>
      <c r="C12" s="8">
        <f>3.43*1000000000</f>
        <v>3430000000</v>
      </c>
      <c r="D12" s="8">
        <f>80.93*1000000000</f>
        <v>80930000000</v>
      </c>
      <c r="E12" s="8">
        <f>55.54*1000000000</f>
        <v>55540000000</v>
      </c>
      <c r="F12" s="8">
        <v>14438.0</v>
      </c>
      <c r="G12" s="8">
        <v>364036.0</v>
      </c>
      <c r="H12" s="8">
        <v>79145.0</v>
      </c>
      <c r="I12" s="8">
        <v>24673.0</v>
      </c>
      <c r="J12" s="8">
        <f>0.64*E12</f>
        <v>35545600000</v>
      </c>
      <c r="K12" s="5">
        <f t="shared" si="1"/>
        <v>0.64</v>
      </c>
      <c r="L12" s="11">
        <v>81.56358237547893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">
        <v>2010.0</v>
      </c>
      <c r="B13" s="3">
        <f>142.57*1000000000</f>
        <v>142570000000</v>
      </c>
      <c r="C13" s="8">
        <f>3.36*1000000000</f>
        <v>3360000000</v>
      </c>
      <c r="D13" s="8">
        <f>88.55*1000000000</f>
        <v>88550000000</v>
      </c>
      <c r="E13" s="8">
        <f>59.18*1000000000</f>
        <v>59180000000</v>
      </c>
      <c r="F13" s="8">
        <v>13343.0</v>
      </c>
      <c r="G13" s="8">
        <v>354327.0</v>
      </c>
      <c r="H13" s="8">
        <v>73881.0</v>
      </c>
      <c r="I13" s="8">
        <v>20018.0</v>
      </c>
      <c r="J13" s="8">
        <f>0.4*E13</f>
        <v>23672000000</v>
      </c>
      <c r="K13" s="5">
        <f t="shared" si="1"/>
        <v>0.4</v>
      </c>
      <c r="L13" s="11">
        <v>85.1976245210728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>
        <v>2011.0</v>
      </c>
      <c r="B14" s="12">
        <f>155.63*1000000000</f>
        <v>155630000000</v>
      </c>
      <c r="C14" s="8">
        <f>3.38*1000000000</f>
        <v>3380000000</v>
      </c>
      <c r="D14" s="8">
        <f>90.98*1000000000</f>
        <v>90980000000</v>
      </c>
      <c r="E14" s="8">
        <f>63.53*1000000000</f>
        <v>63530000000</v>
      </c>
      <c r="F14" s="8">
        <v>13224.0</v>
      </c>
      <c r="G14" s="8">
        <v>362924.0</v>
      </c>
      <c r="H14" s="8">
        <v>71061.0</v>
      </c>
      <c r="I14" s="8">
        <v>34400.0</v>
      </c>
      <c r="J14" s="8">
        <f>0.37*E14</f>
        <v>23506100000</v>
      </c>
      <c r="K14" s="5">
        <f t="shared" si="1"/>
        <v>0.37</v>
      </c>
      <c r="L14" s="11">
        <v>86.41772875816994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>
        <v>2012.0</v>
      </c>
      <c r="B15" s="12">
        <f>197.84*1000000000</f>
        <v>197840000000</v>
      </c>
      <c r="C15" s="8">
        <f>9.75*1000000000</f>
        <v>9750000000</v>
      </c>
      <c r="D15" s="8">
        <f>133.08*1000000000</f>
        <v>133080000000</v>
      </c>
      <c r="E15" s="8">
        <f>96.91*1000000000</f>
        <v>96910000000</v>
      </c>
      <c r="F15" s="8">
        <v>13713.0</v>
      </c>
      <c r="G15" s="8">
        <v>381863.0</v>
      </c>
      <c r="H15" s="8">
        <v>75005.0</v>
      </c>
      <c r="I15" s="8">
        <v>21400.0</v>
      </c>
      <c r="J15" s="8">
        <f>0.32*E15</f>
        <v>31011200000</v>
      </c>
      <c r="K15" s="5">
        <f t="shared" si="1"/>
        <v>0.32</v>
      </c>
      <c r="L15" s="11">
        <v>93.41035143769967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">
        <v>2013.0</v>
      </c>
      <c r="B16" s="12">
        <f>223.37*1000000000</f>
        <v>223370000000</v>
      </c>
      <c r="C16" s="8">
        <f>15.8*1000000000</f>
        <v>15800000000</v>
      </c>
      <c r="D16" s="8">
        <f>146.81*1000000000</f>
        <v>146810000000</v>
      </c>
      <c r="E16" s="8">
        <f>91.27*1000000000</f>
        <v>91270000000</v>
      </c>
      <c r="F16" s="8">
        <v>14183.0</v>
      </c>
      <c r="G16" s="8">
        <v>392513.0</v>
      </c>
      <c r="H16" s="8">
        <v>41003.0</v>
      </c>
      <c r="I16" s="8">
        <v>14493.0</v>
      </c>
      <c r="J16" s="8">
        <f>0.39*E16</f>
        <v>35595300000</v>
      </c>
      <c r="K16" s="5">
        <f t="shared" si="1"/>
        <v>0.39</v>
      </c>
      <c r="L16" s="11">
        <v>101.5817731629393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">
        <v>2014.0</v>
      </c>
      <c r="B17" s="12">
        <f>257.01*1000000000</f>
        <v>257010000000</v>
      </c>
      <c r="C17" s="8">
        <f>19.24*1000000000</f>
        <v>19240000000</v>
      </c>
      <c r="D17" s="8">
        <f>172.35*1000000000</f>
        <v>172350000000</v>
      </c>
      <c r="E17" s="8">
        <f>123.91*1000000000</f>
        <v>123910000000</v>
      </c>
      <c r="F17" s="8">
        <v>14734.0</v>
      </c>
      <c r="G17" s="8">
        <v>416238.0</v>
      </c>
      <c r="H17" s="8">
        <v>64088.0</v>
      </c>
      <c r="I17" s="8">
        <v>27707.0</v>
      </c>
      <c r="J17" s="8">
        <f>0.32*E17</f>
        <v>39651200000</v>
      </c>
      <c r="K17" s="5">
        <f t="shared" si="1"/>
        <v>0.32</v>
      </c>
      <c r="L17" s="11">
        <v>101.0089137380192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">
        <v>2015.0</v>
      </c>
      <c r="B18" s="12">
        <f>210.62*1000000000</f>
        <v>210620000000</v>
      </c>
      <c r="C18" s="8">
        <f>20.23*1000000000</f>
        <v>20230000000</v>
      </c>
      <c r="D18" s="8">
        <f>127.03*1000000000</f>
        <v>127030000000</v>
      </c>
      <c r="E18" s="8">
        <f>87.25*1000000000</f>
        <v>87250000000</v>
      </c>
      <c r="F18" s="8">
        <v>14591.0</v>
      </c>
      <c r="G18" s="8">
        <v>404128.0</v>
      </c>
      <c r="H18" s="8">
        <v>95629.0</v>
      </c>
      <c r="I18" s="8">
        <v>23600.0</v>
      </c>
      <c r="J18" s="8">
        <f>0.38*E18</f>
        <v>33155000000</v>
      </c>
      <c r="K18" s="5">
        <f t="shared" si="1"/>
        <v>0.38</v>
      </c>
      <c r="L18" s="11">
        <v>102.7824920127795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">
        <v>2016.0</v>
      </c>
      <c r="B19" s="12">
        <f>162.87*1000000000</f>
        <v>162870000000</v>
      </c>
      <c r="C19" s="8">
        <f>16.89*1000000000</f>
        <v>16890000000</v>
      </c>
      <c r="D19" s="8">
        <f>80.51*1000000000</f>
        <v>80510000000</v>
      </c>
      <c r="E19" s="8">
        <f>59.97*1000000000</f>
        <v>59970000000</v>
      </c>
      <c r="F19" s="8">
        <v>14461.0</v>
      </c>
      <c r="G19" s="8">
        <v>386637.0</v>
      </c>
      <c r="H19" s="8">
        <v>125241.0</v>
      </c>
      <c r="I19" s="8">
        <v>15800.0</v>
      </c>
      <c r="J19" s="8">
        <f>0.37*E19</f>
        <v>22188900000</v>
      </c>
      <c r="K19" s="5">
        <f t="shared" si="1"/>
        <v>0.37</v>
      </c>
      <c r="L19" s="11">
        <v>104.7209744408946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">
        <v>2017.0</v>
      </c>
      <c r="B20" s="12">
        <f>171.83*1000000000</f>
        <v>171830000000</v>
      </c>
      <c r="C20" s="8">
        <f>17.85*1000000000</f>
        <v>17850000000</v>
      </c>
      <c r="D20" s="8">
        <f>89.14*1000000000</f>
        <v>89140000000</v>
      </c>
      <c r="E20" s="8">
        <f>63.8*1000000000</f>
        <v>63800000000</v>
      </c>
      <c r="F20" s="8">
        <v>15744.0</v>
      </c>
      <c r="G20" s="8">
        <v>383692.0</v>
      </c>
      <c r="H20" s="8">
        <v>164407.0</v>
      </c>
      <c r="I20" s="8">
        <v>23800.0</v>
      </c>
      <c r="J20" s="8">
        <f>0.4*E20</f>
        <v>25520000000</v>
      </c>
      <c r="K20" s="5">
        <f t="shared" si="1"/>
        <v>0.4</v>
      </c>
      <c r="L20" s="11">
        <v>105.3410743801653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">
        <v>2018.0</v>
      </c>
      <c r="B21" s="3">
        <f>205.34*1000000000</f>
        <v>205340000000</v>
      </c>
      <c r="C21" s="8">
        <f>19.08*1000000000</f>
        <v>19080000000</v>
      </c>
      <c r="D21" s="8">
        <f>112.63*1000000000</f>
        <v>112630000000</v>
      </c>
      <c r="E21" s="8">
        <f>78.74*1000000000</f>
        <v>78740000000</v>
      </c>
      <c r="F21" s="8">
        <v>14867.0</v>
      </c>
      <c r="G21" s="8">
        <v>373192.0</v>
      </c>
      <c r="H21" s="8">
        <v>250984.0</v>
      </c>
      <c r="I21" s="8">
        <v>24800.0</v>
      </c>
      <c r="J21" s="8">
        <f>0.55*E21</f>
        <v>43307000000</v>
      </c>
      <c r="K21" s="5">
        <f t="shared" si="1"/>
        <v>0.55</v>
      </c>
      <c r="L21" s="11">
        <v>121.3709049079755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">
        <v>2019.0</v>
      </c>
      <c r="B22" s="3">
        <f>261.48*1000000000</f>
        <v>261480000000</v>
      </c>
      <c r="C22" s="8">
        <f>37.15*1000000000</f>
        <v>37150000000</v>
      </c>
      <c r="D22" s="8">
        <f>176.6*1000000000</f>
        <v>176600000000</v>
      </c>
      <c r="E22" s="8">
        <f>118.39*1000000000</f>
        <v>118390000000</v>
      </c>
      <c r="F22" s="8">
        <v>14555.0</v>
      </c>
      <c r="G22" s="8">
        <v>370217.0</v>
      </c>
      <c r="H22" s="8">
        <v>294167.0</v>
      </c>
      <c r="I22" s="8">
        <v>20900.0</v>
      </c>
      <c r="J22" s="8">
        <f>0.4*E22</f>
        <v>47356000000</v>
      </c>
      <c r="K22" s="5">
        <f t="shared" si="1"/>
        <v>0.4</v>
      </c>
      <c r="L22" s="11">
        <v>150.1040923566879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">
        <v>2020.0</v>
      </c>
      <c r="B23" s="3">
        <f>232.93*1000000000</f>
        <v>232930000000</v>
      </c>
      <c r="C23" s="8">
        <f>39.88*1000000000</f>
        <v>39880000000</v>
      </c>
      <c r="D23" s="8">
        <f>144.36*1000000000</f>
        <v>144360000000</v>
      </c>
      <c r="E23" s="8">
        <f>100.94*1000000000</f>
        <v>100940000000</v>
      </c>
      <c r="F23" s="8">
        <v>12919.0</v>
      </c>
      <c r="G23" s="8">
        <v>326879.0</v>
      </c>
      <c r="H23" s="8">
        <v>269806.0</v>
      </c>
      <c r="I23" s="8">
        <v>19000.0</v>
      </c>
      <c r="J23" s="8">
        <f>0.29*E23</f>
        <v>29272600000</v>
      </c>
      <c r="K23" s="5">
        <f t="shared" si="1"/>
        <v>0.29</v>
      </c>
      <c r="L23" s="11">
        <v>161.1289028776978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">
        <v>2021.0</v>
      </c>
      <c r="B24" s="3">
        <f>239.1*1000000000</f>
        <v>239100000000</v>
      </c>
      <c r="C24" s="8">
        <f>20.27*1000000000</f>
        <v>20270000000</v>
      </c>
      <c r="D24" s="8">
        <f>128.99*1000000000</f>
        <v>128990000000</v>
      </c>
      <c r="E24" s="8">
        <f>91.53*1000000000</f>
        <v>91530000000</v>
      </c>
      <c r="F24" s="8">
        <v>13230.0</v>
      </c>
      <c r="G24" s="8">
        <v>317443.0</v>
      </c>
      <c r="H24" s="8">
        <v>293310.0</v>
      </c>
      <c r="I24" s="8">
        <v>24000.0</v>
      </c>
      <c r="J24" s="8">
        <f>0.32*E24</f>
        <v>29289600000</v>
      </c>
      <c r="K24" s="5">
        <f t="shared" si="1"/>
        <v>0.32</v>
      </c>
      <c r="L24" s="11">
        <v>162.393795620438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/>
      <c r="B25" s="3"/>
      <c r="C25" s="8"/>
      <c r="D25" s="8"/>
      <c r="E25" s="8"/>
      <c r="F25" s="8"/>
      <c r="G25" s="8"/>
      <c r="H25" s="8"/>
      <c r="I25" s="8"/>
      <c r="J25" s="8"/>
      <c r="K25" s="5"/>
      <c r="L25" s="1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"/>
      <c r="B26" s="3"/>
      <c r="C26" s="8"/>
      <c r="D26" s="8"/>
      <c r="E26" s="8"/>
      <c r="F26" s="8"/>
      <c r="G26" s="8"/>
      <c r="H26" s="8"/>
      <c r="I26" s="8"/>
      <c r="J26" s="8"/>
      <c r="K26" s="5"/>
      <c r="L26" s="11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"/>
      <c r="B27" s="5"/>
      <c r="C27" s="5"/>
      <c r="D27" s="5"/>
      <c r="E27" s="5"/>
      <c r="F27" s="5"/>
      <c r="G27" s="5"/>
      <c r="H27" s="5"/>
      <c r="I27" s="5"/>
      <c r="J27" s="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1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Siraj</dc:creator>
</cp:coreProperties>
</file>