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siril\Documents\Data Science_Data_analyst project\Excel\"/>
    </mc:Choice>
  </mc:AlternateContent>
  <xr:revisionPtr revIDLastSave="0" documentId="13_ncr:1_{C6CC3CDB-8941-4D91-9309-22474AE040DF}" xr6:coauthVersionLast="47" xr6:coauthVersionMax="47" xr10:uidLastSave="{00000000-0000-0000-0000-000000000000}"/>
  <bookViews>
    <workbookView xWindow="-120" yWindow="-120" windowWidth="29040" windowHeight="15840" activeTab="2" xr2:uid="{80B03DDA-BDD0-47B8-A359-1EAD1C979E94}"/>
  </bookViews>
  <sheets>
    <sheet name="Raw_data" sheetId="1" r:id="rId1"/>
    <sheet name="Analysis" sheetId="6" r:id="rId2"/>
    <sheet name="Dashboard" sheetId="2" r:id="rId3"/>
  </sheets>
  <definedNames>
    <definedName name="Slicer_Month">#N/A</definedName>
  </definedNames>
  <calcPr calcId="191029"/>
  <pivotCaches>
    <pivotCache cacheId="9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5" i="2" l="1"/>
  <c r="O24" i="2"/>
  <c r="I20" i="2"/>
  <c r="J20" i="2"/>
  <c r="I21" i="2"/>
  <c r="J21" i="2"/>
  <c r="I22" i="2"/>
  <c r="J22" i="2"/>
  <c r="I23" i="2"/>
  <c r="J23" i="2"/>
  <c r="J19" i="2"/>
  <c r="I19" i="2"/>
  <c r="J25" i="2" l="1"/>
  <c r="J24" i="2"/>
  <c r="M19" i="2" s="1"/>
  <c r="M23" i="2" l="1"/>
  <c r="M20" i="2"/>
  <c r="M21" i="2"/>
  <c r="M22" i="2"/>
  <c r="D5" i="6"/>
  <c r="D6" i="6"/>
  <c r="D7" i="6"/>
  <c r="D8" i="6"/>
  <c r="D9" i="6"/>
  <c r="D10" i="6"/>
  <c r="D11" i="6"/>
  <c r="D12" i="6"/>
  <c r="D13" i="6"/>
  <c r="D14" i="6"/>
  <c r="D15" i="6"/>
  <c r="D4" i="6"/>
  <c r="U20" i="2"/>
  <c r="V20" i="2"/>
  <c r="U21" i="2"/>
  <c r="V21" i="2"/>
  <c r="U22" i="2"/>
  <c r="V22" i="2"/>
  <c r="U23" i="2"/>
  <c r="V23" i="2"/>
  <c r="U24" i="2"/>
  <c r="V24" i="2"/>
  <c r="U25" i="2"/>
  <c r="V25" i="2"/>
  <c r="U26" i="2"/>
  <c r="V26" i="2"/>
  <c r="U27" i="2"/>
  <c r="V27" i="2"/>
  <c r="U28" i="2"/>
  <c r="V28" i="2"/>
  <c r="V19" i="2"/>
  <c r="U19" i="2"/>
  <c r="M25" i="2" l="1"/>
  <c r="M24" i="2"/>
  <c r="V30" i="2"/>
  <c r="V29" i="2"/>
  <c r="Y22" i="2" s="1"/>
  <c r="Y26" i="2" l="1"/>
  <c r="Y25" i="2"/>
  <c r="Y27" i="2"/>
  <c r="Y19" i="2"/>
  <c r="Y28" i="2"/>
  <c r="Y23" i="2"/>
  <c r="Y20" i="2"/>
  <c r="Y21" i="2"/>
  <c r="Y24" i="2"/>
  <c r="Y29" i="2" l="1"/>
  <c r="Y30" i="2"/>
  <c r="P20" i="2"/>
  <c r="P21" i="2"/>
  <c r="P22" i="2"/>
  <c r="P23" i="2"/>
  <c r="P24" i="2"/>
  <c r="P25" i="2"/>
  <c r="P26" i="2"/>
  <c r="P27" i="2"/>
  <c r="P28" i="2"/>
  <c r="P29" i="2"/>
  <c r="P30" i="2"/>
  <c r="P19" i="2"/>
  <c r="O20" i="2"/>
  <c r="O21" i="2"/>
  <c r="O22" i="2"/>
  <c r="O23" i="2"/>
  <c r="O26" i="2"/>
  <c r="O27" i="2"/>
  <c r="O28" i="2"/>
  <c r="O29" i="2"/>
  <c r="O30" i="2"/>
  <c r="O19" i="2"/>
  <c r="E20" i="2"/>
  <c r="E21" i="2"/>
  <c r="E22" i="2"/>
  <c r="E23" i="2"/>
  <c r="E24" i="2"/>
  <c r="E25" i="2"/>
  <c r="E26" i="2"/>
  <c r="E27" i="2"/>
  <c r="E28" i="2"/>
  <c r="E29" i="2"/>
  <c r="E30" i="2"/>
  <c r="E19" i="2"/>
  <c r="D20" i="2"/>
  <c r="D19" i="2"/>
  <c r="D21" i="2"/>
  <c r="D22" i="2"/>
  <c r="D23" i="2"/>
  <c r="D24" i="2"/>
  <c r="D25" i="2"/>
  <c r="D26" i="2"/>
  <c r="D27" i="2"/>
  <c r="D28" i="2"/>
  <c r="D29" i="2"/>
  <c r="D30" i="2"/>
  <c r="P32" i="2" l="1"/>
  <c r="P31" i="2"/>
  <c r="H10" i="2" s="1"/>
  <c r="E31" i="2"/>
  <c r="H9" i="2" s="1"/>
  <c r="E32" i="2"/>
  <c r="H11" i="2" l="1"/>
  <c r="J11" i="2" s="1"/>
  <c r="C214" i="1"/>
  <c r="C216" i="1"/>
  <c r="C218" i="1"/>
  <c r="C220" i="1"/>
  <c r="F214" i="1"/>
  <c r="F216" i="1"/>
  <c r="F218" i="1"/>
  <c r="F220" i="1"/>
  <c r="C219" i="1"/>
  <c r="F219" i="1"/>
  <c r="C217" i="1"/>
  <c r="F217" i="1"/>
  <c r="C215" i="1"/>
  <c r="F215" i="1"/>
  <c r="C213" i="1"/>
  <c r="F213" i="1"/>
  <c r="C212" i="1"/>
  <c r="F212" i="1"/>
  <c r="C207" i="1"/>
  <c r="F207" i="1"/>
  <c r="C208" i="1"/>
  <c r="F208" i="1"/>
  <c r="D211" i="1"/>
  <c r="C211" i="1"/>
  <c r="F211" i="1"/>
  <c r="C210" i="1"/>
  <c r="F210" i="1"/>
  <c r="C209" i="1"/>
  <c r="F209" i="1"/>
  <c r="D206" i="1"/>
  <c r="C206" i="1"/>
  <c r="F206" i="1"/>
  <c r="C205" i="1"/>
  <c r="F205" i="1"/>
  <c r="C204" i="1"/>
  <c r="F204" i="1"/>
  <c r="C203" i="1"/>
  <c r="F203" i="1"/>
  <c r="C202" i="1"/>
  <c r="F202" i="1"/>
  <c r="C199" i="1"/>
  <c r="F199" i="1"/>
  <c r="C201" i="1"/>
  <c r="F201" i="1"/>
  <c r="C200" i="1"/>
  <c r="F200" i="1"/>
  <c r="D198" i="1"/>
  <c r="C198" i="1"/>
  <c r="F198" i="1"/>
  <c r="C196" i="1"/>
  <c r="F196" i="1"/>
  <c r="C195" i="1"/>
  <c r="F195" i="1"/>
  <c r="C197" i="1"/>
  <c r="F197" i="1"/>
  <c r="C194" i="1"/>
  <c r="F194" i="1"/>
  <c r="C193" i="1"/>
  <c r="F193" i="1"/>
  <c r="D190" i="1"/>
  <c r="C192" i="1"/>
  <c r="F192" i="1"/>
  <c r="C191" i="1"/>
  <c r="F191" i="1"/>
  <c r="C190" i="1"/>
  <c r="F190" i="1"/>
  <c r="C189" i="1"/>
  <c r="F189" i="1"/>
  <c r="C188" i="1"/>
  <c r="F188" i="1"/>
  <c r="C187" i="1"/>
  <c r="F187" i="1"/>
  <c r="C186" i="1"/>
  <c r="F186" i="1"/>
  <c r="C185" i="1"/>
  <c r="F185" i="1"/>
  <c r="C184" i="1"/>
  <c r="F184" i="1"/>
  <c r="C183" i="1"/>
  <c r="F183" i="1"/>
  <c r="C182" i="1"/>
  <c r="F182" i="1"/>
  <c r="D181" i="1"/>
  <c r="C181" i="1"/>
  <c r="F181" i="1"/>
  <c r="D180" i="1"/>
  <c r="C180" i="1"/>
  <c r="F180" i="1"/>
  <c r="D179" i="1"/>
  <c r="C179" i="1"/>
  <c r="F179" i="1"/>
  <c r="C178" i="1"/>
  <c r="F178" i="1"/>
  <c r="C177" i="1"/>
  <c r="F177" i="1"/>
  <c r="C176" i="1"/>
  <c r="F176" i="1"/>
  <c r="C175" i="1"/>
  <c r="F175" i="1"/>
  <c r="D174" i="1"/>
  <c r="C174" i="1"/>
  <c r="F174" i="1"/>
  <c r="C173" i="1"/>
  <c r="F173" i="1"/>
  <c r="D172" i="1"/>
  <c r="C172" i="1"/>
  <c r="F172" i="1"/>
  <c r="C171" i="1"/>
  <c r="F171" i="1"/>
  <c r="C170" i="1"/>
  <c r="F170" i="1"/>
  <c r="C169" i="1"/>
  <c r="F169" i="1"/>
  <c r="C168" i="1"/>
  <c r="F168" i="1"/>
  <c r="C167" i="1"/>
  <c r="F167" i="1"/>
  <c r="C166" i="1"/>
  <c r="F166" i="1"/>
  <c r="C164" i="1"/>
  <c r="F164" i="1"/>
  <c r="C162" i="1"/>
  <c r="F162" i="1"/>
  <c r="C159" i="1"/>
  <c r="F159" i="1"/>
  <c r="C158" i="1"/>
  <c r="F158" i="1"/>
  <c r="C157" i="1"/>
  <c r="F157" i="1"/>
  <c r="D156" i="1"/>
  <c r="C156" i="1"/>
  <c r="F156" i="1"/>
  <c r="D161" i="1"/>
  <c r="C161" i="1"/>
  <c r="F161" i="1"/>
  <c r="C152" i="1"/>
  <c r="F152" i="1"/>
  <c r="C153" i="1"/>
  <c r="F153" i="1"/>
  <c r="D150" i="1"/>
  <c r="C150" i="1"/>
  <c r="F150" i="1"/>
  <c r="C151" i="1"/>
  <c r="F151" i="1"/>
  <c r="C149" i="1"/>
  <c r="F149" i="1"/>
  <c r="C165" i="1"/>
  <c r="F165" i="1"/>
  <c r="C163" i="1"/>
  <c r="F163" i="1"/>
  <c r="C147" i="1"/>
  <c r="F147" i="1"/>
  <c r="C145" i="1"/>
  <c r="F145" i="1"/>
  <c r="C146" i="1"/>
  <c r="F146" i="1"/>
  <c r="C144" i="1"/>
  <c r="F144" i="1"/>
  <c r="C143" i="1"/>
  <c r="F143" i="1"/>
  <c r="C142" i="1"/>
  <c r="F142" i="1"/>
  <c r="C141" i="1"/>
  <c r="F141" i="1"/>
  <c r="J9" i="2" l="1"/>
  <c r="J10" i="2"/>
  <c r="C160" i="1"/>
  <c r="F160" i="1"/>
  <c r="C155" i="1"/>
  <c r="F155" i="1"/>
  <c r="C154" i="1"/>
  <c r="F154" i="1"/>
  <c r="C148" i="1"/>
  <c r="F148" i="1"/>
  <c r="C140" i="1"/>
  <c r="F140" i="1"/>
  <c r="C139" i="1"/>
  <c r="F139" i="1"/>
  <c r="C138" i="1"/>
  <c r="F138" i="1"/>
  <c r="C137" i="1"/>
  <c r="F137" i="1"/>
  <c r="C136" i="1"/>
  <c r="F136" i="1"/>
  <c r="C135" i="1"/>
  <c r="F135" i="1"/>
  <c r="C134" i="1"/>
  <c r="F134" i="1"/>
  <c r="D129" i="1"/>
  <c r="C133" i="1"/>
  <c r="F133" i="1"/>
  <c r="C132" i="1"/>
  <c r="F132" i="1"/>
  <c r="C131" i="1"/>
  <c r="F131" i="1"/>
  <c r="C130" i="1"/>
  <c r="F130" i="1"/>
  <c r="C129" i="1"/>
  <c r="F129" i="1"/>
  <c r="C128" i="1"/>
  <c r="F128" i="1"/>
  <c r="C127" i="1"/>
  <c r="F127" i="1"/>
  <c r="D126" i="1"/>
  <c r="C126" i="1"/>
  <c r="F126" i="1"/>
  <c r="C125" i="1"/>
  <c r="F125" i="1"/>
  <c r="C124" i="1"/>
  <c r="F124" i="1"/>
  <c r="C123" i="1"/>
  <c r="F123" i="1"/>
  <c r="C121" i="1"/>
  <c r="C122" i="1"/>
  <c r="F121" i="1"/>
  <c r="F122" i="1"/>
  <c r="C120" i="1"/>
  <c r="F120" i="1"/>
  <c r="C119" i="1"/>
  <c r="F119" i="1"/>
  <c r="C118" i="1"/>
  <c r="F118" i="1"/>
  <c r="C117" i="1"/>
  <c r="F117" i="1"/>
  <c r="D116" i="1"/>
  <c r="C116" i="1"/>
  <c r="F116" i="1"/>
  <c r="C115" i="1"/>
  <c r="F115" i="1"/>
  <c r="C114" i="1"/>
  <c r="F114" i="1"/>
  <c r="C113" i="1"/>
  <c r="F113" i="1"/>
  <c r="C112" i="1"/>
  <c r="F112" i="1"/>
  <c r="C111" i="1"/>
  <c r="F111" i="1"/>
  <c r="C110" i="1"/>
  <c r="F110" i="1"/>
  <c r="C109" i="1"/>
  <c r="F109" i="1"/>
  <c r="D108" i="1"/>
  <c r="C108" i="1"/>
  <c r="F108" i="1"/>
  <c r="C106" i="1"/>
  <c r="F106" i="1"/>
  <c r="C107" i="1"/>
  <c r="F107" i="1"/>
  <c r="C105" i="1"/>
  <c r="F105" i="1"/>
  <c r="C104" i="1"/>
  <c r="F104" i="1"/>
  <c r="C103" i="1"/>
  <c r="F103" i="1"/>
  <c r="C101" i="1"/>
  <c r="F101" i="1"/>
  <c r="D99" i="1"/>
  <c r="C97" i="1"/>
  <c r="F97" i="1"/>
  <c r="C98" i="1"/>
  <c r="F98" i="1"/>
  <c r="C99" i="1"/>
  <c r="F99" i="1"/>
  <c r="C100" i="1"/>
  <c r="F100" i="1"/>
  <c r="D96" i="1"/>
  <c r="C96" i="1"/>
  <c r="F96" i="1"/>
  <c r="C92" i="1"/>
  <c r="F92" i="1"/>
  <c r="C91" i="1"/>
  <c r="F91" i="1"/>
  <c r="C87" i="1"/>
  <c r="F87" i="1"/>
  <c r="C86" i="1"/>
  <c r="F86" i="1"/>
  <c r="C85" i="1"/>
  <c r="F85" i="1"/>
  <c r="C84" i="1"/>
  <c r="F84" i="1"/>
  <c r="C83" i="1"/>
  <c r="F83" i="1"/>
  <c r="C93" i="1"/>
  <c r="F93" i="1"/>
  <c r="C82" i="1"/>
  <c r="F82" i="1"/>
  <c r="D80" i="1"/>
  <c r="C80" i="1"/>
  <c r="F80" i="1"/>
  <c r="C78" i="1"/>
  <c r="F78" i="1"/>
  <c r="C77" i="1"/>
  <c r="F77" i="1"/>
  <c r="C79" i="1"/>
  <c r="F79" i="1"/>
  <c r="C81" i="1"/>
  <c r="F81" i="1"/>
  <c r="D76" i="1"/>
  <c r="C76" i="1"/>
  <c r="F76" i="1"/>
  <c r="C75" i="1"/>
  <c r="F75" i="1"/>
  <c r="C73" i="1"/>
  <c r="F73" i="1"/>
  <c r="C72" i="1"/>
  <c r="F72" i="1"/>
  <c r="C70" i="1"/>
  <c r="F70" i="1"/>
  <c r="C67" i="1"/>
  <c r="F67" i="1"/>
  <c r="C66" i="1"/>
  <c r="F66" i="1"/>
  <c r="C60" i="1"/>
  <c r="C61" i="1"/>
  <c r="C62" i="1"/>
  <c r="F60" i="1"/>
  <c r="F61" i="1"/>
  <c r="F62" i="1"/>
  <c r="C63" i="1"/>
  <c r="F63" i="1"/>
  <c r="C64" i="1"/>
  <c r="F64" i="1"/>
  <c r="C102" i="1"/>
  <c r="F102" i="1"/>
  <c r="C95" i="1"/>
  <c r="F95" i="1"/>
  <c r="C94" i="1"/>
  <c r="F94" i="1"/>
  <c r="C58" i="1"/>
  <c r="F58" i="1"/>
  <c r="C57" i="1"/>
  <c r="F57" i="1"/>
  <c r="C56" i="1"/>
  <c r="F56" i="1"/>
  <c r="C90" i="1"/>
  <c r="F90" i="1"/>
  <c r="C89" i="1"/>
  <c r="F89" i="1"/>
  <c r="C88" i="1"/>
  <c r="F88" i="1"/>
  <c r="D55" i="1"/>
  <c r="C55" i="1"/>
  <c r="F55" i="1"/>
  <c r="C53" i="1"/>
  <c r="F53" i="1"/>
  <c r="C54" i="1"/>
  <c r="F54" i="1"/>
  <c r="D52" i="1"/>
  <c r="C52" i="1"/>
  <c r="F52" i="1"/>
  <c r="C51" i="1"/>
  <c r="F51" i="1"/>
  <c r="D49" i="1"/>
  <c r="C49" i="1"/>
  <c r="F49" i="1"/>
  <c r="C47" i="1"/>
  <c r="F47" i="1"/>
  <c r="C45" i="1"/>
  <c r="F45" i="1"/>
  <c r="C46" i="1"/>
  <c r="F46" i="1"/>
  <c r="D44" i="1"/>
  <c r="C44" i="1"/>
  <c r="F44" i="1"/>
  <c r="C43" i="1"/>
  <c r="F43" i="1"/>
  <c r="C42" i="1"/>
  <c r="F42" i="1"/>
  <c r="D41" i="1"/>
  <c r="C41" i="1"/>
  <c r="F41" i="1"/>
  <c r="C39" i="1"/>
  <c r="F39" i="1"/>
  <c r="C37" i="1"/>
  <c r="F37" i="1"/>
  <c r="C36" i="1"/>
  <c r="F36" i="1"/>
  <c r="D34" i="1"/>
  <c r="C34" i="1"/>
  <c r="F34" i="1"/>
  <c r="C35" i="1"/>
  <c r="F35" i="1"/>
  <c r="C33" i="1"/>
  <c r="F33" i="1"/>
  <c r="C30" i="1"/>
  <c r="F30" i="1"/>
  <c r="C29" i="1"/>
  <c r="F29" i="1"/>
  <c r="C27" i="1"/>
  <c r="F27" i="1"/>
  <c r="C69" i="1" l="1"/>
  <c r="F69" i="1"/>
  <c r="C74" i="1"/>
  <c r="F74" i="1"/>
  <c r="C71" i="1"/>
  <c r="F71" i="1"/>
  <c r="C68" i="1"/>
  <c r="F68" i="1"/>
  <c r="C65" i="1"/>
  <c r="F65" i="1"/>
  <c r="C59" i="1"/>
  <c r="F59" i="1"/>
  <c r="C50" i="1"/>
  <c r="F50" i="1"/>
  <c r="C48" i="1"/>
  <c r="F48" i="1"/>
  <c r="C40" i="1"/>
  <c r="F40" i="1"/>
  <c r="C38" i="1"/>
  <c r="F38" i="1"/>
  <c r="C32" i="1"/>
  <c r="F32" i="1"/>
  <c r="C31" i="1"/>
  <c r="F31" i="1"/>
  <c r="C28" i="1"/>
  <c r="F28" i="1"/>
  <c r="C23" i="1"/>
  <c r="F23" i="1"/>
  <c r="C26" i="1"/>
  <c r="F26" i="1"/>
  <c r="D20" i="1"/>
  <c r="D16" i="1"/>
  <c r="D12" i="1"/>
  <c r="D8" i="1"/>
  <c r="D9" i="1"/>
  <c r="D6" i="1"/>
  <c r="C5" i="1"/>
  <c r="C6" i="1"/>
  <c r="C7" i="1"/>
  <c r="C8" i="1"/>
  <c r="C9" i="1"/>
  <c r="C10" i="1"/>
  <c r="C11" i="1"/>
  <c r="C12" i="1"/>
  <c r="C13" i="1"/>
  <c r="C14" i="1"/>
  <c r="C15" i="1"/>
  <c r="C16" i="1"/>
  <c r="C17" i="1"/>
  <c r="C18" i="1"/>
  <c r="C19" i="1"/>
  <c r="C20" i="1"/>
  <c r="C21" i="1"/>
  <c r="C22" i="1"/>
  <c r="C24" i="1"/>
  <c r="C25" i="1"/>
  <c r="F4" i="1"/>
  <c r="F5" i="1"/>
  <c r="F6" i="1"/>
  <c r="F7" i="1"/>
  <c r="F8" i="1"/>
  <c r="F9" i="1"/>
  <c r="F10" i="1"/>
  <c r="F11" i="1"/>
  <c r="F12" i="1"/>
  <c r="F13" i="1"/>
  <c r="F14" i="1"/>
  <c r="F15" i="1"/>
  <c r="F16" i="1"/>
  <c r="F17" i="1"/>
  <c r="F18" i="1"/>
  <c r="F19" i="1"/>
  <c r="F20" i="1"/>
  <c r="F21" i="1"/>
  <c r="F22" i="1"/>
  <c r="F24" i="1"/>
  <c r="F25" i="1"/>
  <c r="C4" i="1"/>
</calcChain>
</file>

<file path=xl/sharedStrings.xml><?xml version="1.0" encoding="utf-8"?>
<sst xmlns="http://schemas.openxmlformats.org/spreadsheetml/2006/main" count="367" uniqueCount="60">
  <si>
    <t>Month</t>
  </si>
  <si>
    <t>Date</t>
  </si>
  <si>
    <t>Categories</t>
  </si>
  <si>
    <t>Income/Expense</t>
  </si>
  <si>
    <t>Types</t>
  </si>
  <si>
    <t>Utilities</t>
  </si>
  <si>
    <t>Salary</t>
  </si>
  <si>
    <t>Bonus</t>
  </si>
  <si>
    <t>Income</t>
  </si>
  <si>
    <t>Expense</t>
  </si>
  <si>
    <t>Rent</t>
  </si>
  <si>
    <t>Car_Insurance</t>
  </si>
  <si>
    <t>Groceries</t>
  </si>
  <si>
    <t>Entertainment</t>
  </si>
  <si>
    <t>Other</t>
  </si>
  <si>
    <t>Description</t>
  </si>
  <si>
    <t>Amount</t>
  </si>
  <si>
    <t>Side Husle</t>
  </si>
  <si>
    <t>Send family money</t>
  </si>
  <si>
    <t>Account Balance</t>
  </si>
  <si>
    <t>Beginning balance of year 2023</t>
  </si>
  <si>
    <t>Ending Balance/Saving</t>
  </si>
  <si>
    <t>Personal Financial Dashboard</t>
  </si>
  <si>
    <t>Food &amp; Drink</t>
  </si>
  <si>
    <t>Travel</t>
  </si>
  <si>
    <t>Health &amp; Wellness</t>
  </si>
  <si>
    <t>Shopping</t>
  </si>
  <si>
    <t>Relocation money provided by employer</t>
  </si>
  <si>
    <t>Reimbursement from moving company</t>
  </si>
  <si>
    <t>Transfer money to another back account</t>
  </si>
  <si>
    <t>AWS</t>
  </si>
  <si>
    <t>From Specco</t>
  </si>
  <si>
    <t>chatgpt subscription</t>
  </si>
  <si>
    <t>Donation</t>
  </si>
  <si>
    <t>Sum of Amount</t>
  </si>
  <si>
    <t>Row Labels</t>
  </si>
  <si>
    <t>Apr</t>
  </si>
  <si>
    <t>Feb</t>
  </si>
  <si>
    <t>Jan</t>
  </si>
  <si>
    <t>Jun</t>
  </si>
  <si>
    <t>Mar</t>
  </si>
  <si>
    <t>May</t>
  </si>
  <si>
    <t>Check to Chase family</t>
  </si>
  <si>
    <t>Jul</t>
  </si>
  <si>
    <t>Tax return</t>
  </si>
  <si>
    <t>Aug</t>
  </si>
  <si>
    <t>Dec</t>
  </si>
  <si>
    <t>Nov</t>
  </si>
  <si>
    <t>Oct</t>
  </si>
  <si>
    <t>Sep</t>
  </si>
  <si>
    <t>Monthly Income</t>
  </si>
  <si>
    <t>Monthly Expense</t>
  </si>
  <si>
    <t>Total</t>
  </si>
  <si>
    <t>Total Income/Month</t>
  </si>
  <si>
    <t>Average</t>
  </si>
  <si>
    <t>Income by categories</t>
  </si>
  <si>
    <t>Expense by Categories</t>
  </si>
  <si>
    <t>Total Expense</t>
  </si>
  <si>
    <t>Total Expense/Month</t>
  </si>
  <si>
    <t>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</si>
</sst>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9" formatCode="0.0%"/>
  </numFmts>
  <fonts count="15" x14ac:knownFonts="1">
    <font>
      <sz val="11"/>
      <color theme="1"/>
      <name val="Calibri"/>
      <family val="2"/>
      <scheme val="minor"/>
    </font>
    <font>
      <b/>
      <sz val="11"/>
      <color theme="1"/>
      <name val="Calibri"/>
      <family val="2"/>
      <scheme val="minor"/>
    </font>
    <font>
      <b/>
      <sz val="16"/>
      <name val="Calibri"/>
      <family val="2"/>
      <scheme val="minor"/>
    </font>
    <font>
      <b/>
      <sz val="20"/>
      <color theme="0"/>
      <name val="Calibri"/>
      <family val="2"/>
      <scheme val="minor"/>
    </font>
    <font>
      <sz val="11"/>
      <color theme="0"/>
      <name val="Calibri"/>
      <family val="2"/>
      <scheme val="minor"/>
    </font>
    <font>
      <b/>
      <sz val="24"/>
      <name val="Calibri"/>
      <family val="2"/>
      <scheme val="minor"/>
    </font>
    <font>
      <b/>
      <sz val="24"/>
      <color theme="0"/>
      <name val="Calibri"/>
      <family val="2"/>
      <scheme val="minor"/>
    </font>
    <font>
      <sz val="14"/>
      <color theme="0"/>
      <name val="Calibri"/>
      <family val="2"/>
      <scheme val="minor"/>
    </font>
    <font>
      <sz val="11"/>
      <color theme="1"/>
      <name val="Calibri"/>
      <family val="2"/>
      <scheme val="minor"/>
    </font>
    <font>
      <sz val="16"/>
      <color theme="1"/>
      <name val="Calibri"/>
      <family val="2"/>
      <scheme val="minor"/>
    </font>
    <font>
      <b/>
      <sz val="16"/>
      <color theme="1"/>
      <name val="Calibri"/>
      <family val="2"/>
      <scheme val="minor"/>
    </font>
    <font>
      <b/>
      <sz val="14"/>
      <color theme="1"/>
      <name val="Calibri"/>
      <family val="2"/>
      <scheme val="minor"/>
    </font>
    <font>
      <b/>
      <sz val="14"/>
      <color theme="0"/>
      <name val="Calibri"/>
      <family val="2"/>
      <scheme val="minor"/>
    </font>
    <font>
      <b/>
      <sz val="24"/>
      <color theme="1"/>
      <name val="Calibri"/>
      <family val="2"/>
      <scheme val="minor"/>
    </font>
    <font>
      <sz val="48"/>
      <color theme="0"/>
      <name val="Calibri"/>
      <family val="2"/>
      <scheme val="minor"/>
    </font>
  </fonts>
  <fills count="10">
    <fill>
      <patternFill patternType="none"/>
    </fill>
    <fill>
      <patternFill patternType="gray125"/>
    </fill>
    <fill>
      <patternFill patternType="solid">
        <fgColor theme="1" tint="0.249977111117893"/>
        <bgColor indexed="64"/>
      </patternFill>
    </fill>
    <fill>
      <patternFill patternType="solid">
        <fgColor theme="3" tint="-0.249977111117893"/>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rgb="FFFBABB3"/>
        <bgColor indexed="64"/>
      </patternFill>
    </fill>
    <fill>
      <patternFill patternType="solid">
        <fgColor rgb="FFF86472"/>
        <bgColor indexed="64"/>
      </patternFill>
    </fill>
    <fill>
      <patternFill patternType="solid">
        <fgColor theme="9" tint="-0.249977111117893"/>
        <bgColor indexed="64"/>
      </patternFill>
    </fill>
    <fill>
      <patternFill patternType="solid">
        <fgColor theme="8" tint="0.39997558519241921"/>
        <bgColor indexed="64"/>
      </patternFill>
    </fill>
  </fills>
  <borders count="12">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style="thin">
        <color auto="1"/>
      </top>
      <bottom/>
      <diagonal/>
    </border>
  </borders>
  <cellStyleXfs count="2">
    <xf numFmtId="0" fontId="0" fillId="0" borderId="0"/>
    <xf numFmtId="9" fontId="8" fillId="0" borderId="0" applyFont="0" applyFill="0" applyBorder="0" applyAlignment="0" applyProtection="0"/>
  </cellStyleXfs>
  <cellXfs count="75">
    <xf numFmtId="0" fontId="0" fillId="0" borderId="0" xfId="0"/>
    <xf numFmtId="0" fontId="1" fillId="0" borderId="0" xfId="0" applyFont="1"/>
    <xf numFmtId="0" fontId="0" fillId="2" borderId="0" xfId="0" applyFill="1"/>
    <xf numFmtId="14" fontId="0" fillId="0" borderId="0" xfId="0" applyNumberFormat="1"/>
    <xf numFmtId="0" fontId="0" fillId="3" borderId="0" xfId="0" applyFill="1"/>
    <xf numFmtId="4"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3" fillId="2" borderId="0" xfId="0" applyFont="1" applyFill="1" applyAlignment="1">
      <alignment horizontal="center" vertical="center"/>
    </xf>
    <xf numFmtId="0" fontId="4" fillId="3" borderId="0" xfId="0" applyFont="1" applyFill="1"/>
    <xf numFmtId="0" fontId="0" fillId="2" borderId="0" xfId="0" applyFill="1" applyAlignment="1">
      <alignment horizontal="center"/>
    </xf>
    <xf numFmtId="0" fontId="2" fillId="4" borderId="3" xfId="0" applyFont="1" applyFill="1" applyBorder="1" applyAlignment="1">
      <alignment horizontal="center"/>
    </xf>
    <xf numFmtId="0" fontId="7" fillId="2" borderId="3" xfId="0" applyFont="1" applyFill="1" applyBorder="1" applyAlignment="1">
      <alignment horizontal="center"/>
    </xf>
    <xf numFmtId="164" fontId="7" fillId="2" borderId="1" xfId="0" applyNumberFormat="1" applyFont="1" applyFill="1" applyBorder="1" applyAlignment="1">
      <alignment horizontal="center"/>
    </xf>
    <xf numFmtId="164" fontId="7" fillId="2" borderId="2" xfId="0" applyNumberFormat="1" applyFont="1" applyFill="1" applyBorder="1" applyAlignment="1">
      <alignment horizontal="center"/>
    </xf>
    <xf numFmtId="0" fontId="2" fillId="4" borderId="1" xfId="0" applyFont="1" applyFill="1" applyBorder="1" applyAlignment="1">
      <alignment horizontal="center"/>
    </xf>
    <xf numFmtId="0" fontId="2" fillId="4" borderId="2" xfId="0" applyFont="1" applyFill="1" applyBorder="1" applyAlignment="1">
      <alignment horizontal="center"/>
    </xf>
    <xf numFmtId="0" fontId="0" fillId="3" borderId="0" xfId="0" applyFill="1" applyAlignment="1">
      <alignment horizontal="center"/>
    </xf>
    <xf numFmtId="0" fontId="3" fillId="2" borderId="4" xfId="0" applyFont="1" applyFill="1" applyBorder="1" applyAlignment="1">
      <alignment horizontal="center" vertical="center"/>
    </xf>
    <xf numFmtId="0" fontId="2" fillId="6" borderId="3" xfId="0" applyFont="1" applyFill="1" applyBorder="1" applyAlignment="1">
      <alignment horizontal="center"/>
    </xf>
    <xf numFmtId="0" fontId="2" fillId="6" borderId="1" xfId="0" applyFont="1" applyFill="1" applyBorder="1" applyAlignment="1">
      <alignment horizontal="center"/>
    </xf>
    <xf numFmtId="164" fontId="7" fillId="2" borderId="0" xfId="0" applyNumberFormat="1" applyFont="1" applyFill="1" applyAlignment="1">
      <alignment horizontal="center"/>
    </xf>
    <xf numFmtId="164" fontId="7" fillId="2" borderId="5" xfId="0" applyNumberFormat="1" applyFont="1" applyFill="1" applyBorder="1" applyAlignment="1">
      <alignment horizontal="center"/>
    </xf>
    <xf numFmtId="164" fontId="0" fillId="2" borderId="0" xfId="0" applyNumberFormat="1" applyFill="1"/>
    <xf numFmtId="0" fontId="2" fillId="6" borderId="6" xfId="0" applyFont="1" applyFill="1" applyBorder="1" applyAlignment="1">
      <alignment horizontal="center"/>
    </xf>
    <xf numFmtId="164" fontId="7" fillId="2" borderId="6" xfId="0" applyNumberFormat="1" applyFont="1" applyFill="1" applyBorder="1" applyAlignment="1">
      <alignment horizontal="center"/>
    </xf>
    <xf numFmtId="164" fontId="7" fillId="2" borderId="6" xfId="0" applyNumberFormat="1" applyFont="1" applyFill="1" applyBorder="1" applyAlignment="1">
      <alignment horizontal="center" vertical="center"/>
    </xf>
    <xf numFmtId="164" fontId="7" fillId="2" borderId="1" xfId="0" applyNumberFormat="1" applyFont="1" applyFill="1" applyBorder="1" applyAlignment="1">
      <alignment horizontal="center" vertical="center"/>
    </xf>
    <xf numFmtId="164" fontId="7" fillId="2" borderId="7" xfId="0" applyNumberFormat="1" applyFont="1" applyFill="1" applyBorder="1" applyAlignment="1">
      <alignment horizontal="center"/>
    </xf>
    <xf numFmtId="0" fontId="10" fillId="7" borderId="1" xfId="0" applyFont="1" applyFill="1" applyBorder="1" applyAlignment="1">
      <alignment horizontal="center"/>
    </xf>
    <xf numFmtId="0" fontId="7" fillId="2" borderId="3" xfId="0" applyFont="1" applyFill="1" applyBorder="1" applyAlignment="1">
      <alignment horizontal="left"/>
    </xf>
    <xf numFmtId="0" fontId="11" fillId="7" borderId="3" xfId="0" applyFont="1" applyFill="1" applyBorder="1" applyAlignment="1">
      <alignment horizontal="center"/>
    </xf>
    <xf numFmtId="0" fontId="6" fillId="2" borderId="0" xfId="0" applyFont="1" applyFill="1" applyAlignment="1">
      <alignment horizontal="center"/>
    </xf>
    <xf numFmtId="0" fontId="12" fillId="2" borderId="0" xfId="0" applyFont="1" applyFill="1"/>
    <xf numFmtId="0" fontId="10" fillId="7" borderId="6" xfId="0" applyFont="1" applyFill="1" applyBorder="1" applyAlignment="1">
      <alignment horizontal="center"/>
    </xf>
    <xf numFmtId="14" fontId="0" fillId="0" borderId="0" xfId="0" applyNumberFormat="1" applyAlignment="1">
      <alignment horizontal="left"/>
    </xf>
    <xf numFmtId="0" fontId="10" fillId="7" borderId="2" xfId="0" applyFont="1" applyFill="1" applyBorder="1" applyAlignment="1">
      <alignment horizontal="center"/>
    </xf>
    <xf numFmtId="0" fontId="10" fillId="7" borderId="3" xfId="0" applyFont="1" applyFill="1" applyBorder="1" applyAlignment="1">
      <alignment horizontal="center"/>
    </xf>
    <xf numFmtId="0" fontId="10" fillId="8" borderId="3" xfId="0" applyFont="1" applyFill="1" applyBorder="1" applyAlignment="1">
      <alignment horizontal="center"/>
    </xf>
    <xf numFmtId="0" fontId="10" fillId="8" borderId="1" xfId="0" applyFont="1" applyFill="1" applyBorder="1" applyAlignment="1">
      <alignment horizontal="center"/>
    </xf>
    <xf numFmtId="0" fontId="10" fillId="8" borderId="2" xfId="0" applyFont="1" applyFill="1" applyBorder="1" applyAlignment="1">
      <alignment horizontal="center"/>
    </xf>
    <xf numFmtId="0" fontId="10" fillId="8" borderId="3" xfId="0" applyFont="1" applyFill="1" applyBorder="1" applyAlignment="1">
      <alignment horizontal="center"/>
    </xf>
    <xf numFmtId="0" fontId="10" fillId="8" borderId="6" xfId="0" applyFont="1" applyFill="1" applyBorder="1" applyAlignment="1">
      <alignment horizontal="center"/>
    </xf>
    <xf numFmtId="0" fontId="2" fillId="5" borderId="3" xfId="0" applyFont="1" applyFill="1" applyBorder="1" applyAlignment="1">
      <alignment horizontal="center"/>
    </xf>
    <xf numFmtId="0" fontId="10" fillId="6" borderId="3" xfId="0" applyFont="1" applyFill="1" applyBorder="1" applyAlignment="1">
      <alignment horizontal="center" vertical="center"/>
    </xf>
    <xf numFmtId="9" fontId="0" fillId="0" borderId="0" xfId="1" applyFont="1"/>
    <xf numFmtId="0" fontId="12" fillId="2" borderId="3" xfId="0" applyFont="1" applyFill="1" applyBorder="1" applyAlignment="1">
      <alignment horizontal="center"/>
    </xf>
    <xf numFmtId="0" fontId="5" fillId="9" borderId="0" xfId="0" applyFont="1" applyFill="1" applyBorder="1"/>
    <xf numFmtId="164" fontId="13" fillId="9" borderId="0" xfId="0" applyNumberFormat="1" applyFont="1" applyFill="1" applyBorder="1" applyAlignment="1">
      <alignment horizontal="center"/>
    </xf>
    <xf numFmtId="164" fontId="5" fillId="9" borderId="0" xfId="0" applyNumberFormat="1" applyFont="1" applyFill="1" applyBorder="1" applyAlignment="1">
      <alignment horizontal="center"/>
    </xf>
    <xf numFmtId="164" fontId="7" fillId="2" borderId="3" xfId="0" applyNumberFormat="1" applyFont="1" applyFill="1" applyBorder="1" applyAlignment="1">
      <alignment horizontal="center"/>
    </xf>
    <xf numFmtId="0" fontId="7" fillId="2" borderId="10" xfId="0" applyFont="1" applyFill="1" applyBorder="1" applyAlignment="1">
      <alignment horizontal="left"/>
    </xf>
    <xf numFmtId="164" fontId="7" fillId="2" borderId="8" xfId="0" applyNumberFormat="1" applyFont="1" applyFill="1" applyBorder="1" applyAlignment="1">
      <alignment horizontal="center"/>
    </xf>
    <xf numFmtId="164" fontId="7" fillId="2" borderId="4" xfId="0" applyNumberFormat="1" applyFont="1" applyFill="1" applyBorder="1" applyAlignment="1">
      <alignment horizontal="center"/>
    </xf>
    <xf numFmtId="164" fontId="7" fillId="2" borderId="10" xfId="0" applyNumberFormat="1" applyFont="1" applyFill="1" applyBorder="1" applyAlignment="1">
      <alignment horizontal="center"/>
    </xf>
    <xf numFmtId="169" fontId="7" fillId="2" borderId="0" xfId="0" applyNumberFormat="1" applyFont="1" applyFill="1" applyAlignment="1">
      <alignment horizontal="center"/>
    </xf>
    <xf numFmtId="169" fontId="7" fillId="2" borderId="7" xfId="0" applyNumberFormat="1" applyFont="1" applyFill="1" applyBorder="1" applyAlignment="1">
      <alignment horizontal="center"/>
    </xf>
    <xf numFmtId="169" fontId="7" fillId="2" borderId="5" xfId="0" applyNumberFormat="1" applyFont="1" applyFill="1" applyBorder="1" applyAlignment="1">
      <alignment horizontal="center"/>
    </xf>
    <xf numFmtId="169" fontId="7" fillId="2" borderId="9" xfId="0" applyNumberFormat="1" applyFont="1" applyFill="1" applyBorder="1" applyAlignment="1">
      <alignment horizontal="center"/>
    </xf>
    <xf numFmtId="169" fontId="7" fillId="2" borderId="0" xfId="0" applyNumberFormat="1" applyFont="1" applyFill="1" applyBorder="1" applyAlignment="1">
      <alignment horizontal="center"/>
    </xf>
    <xf numFmtId="9" fontId="9" fillId="8" borderId="1" xfId="1" applyFont="1" applyFill="1" applyBorder="1" applyAlignment="1">
      <alignment horizontal="center"/>
    </xf>
    <xf numFmtId="0" fontId="7" fillId="2" borderId="11" xfId="0" applyFont="1" applyFill="1" applyBorder="1" applyAlignment="1">
      <alignment horizontal="left"/>
    </xf>
    <xf numFmtId="164" fontId="7" fillId="2" borderId="11" xfId="0" applyNumberFormat="1" applyFont="1" applyFill="1" applyBorder="1" applyAlignment="1">
      <alignment horizontal="center"/>
    </xf>
    <xf numFmtId="9" fontId="11" fillId="7" borderId="6" xfId="0" applyNumberFormat="1" applyFont="1" applyFill="1" applyBorder="1" applyAlignment="1">
      <alignment horizontal="center"/>
    </xf>
    <xf numFmtId="9" fontId="11" fillId="7" borderId="1" xfId="0" applyNumberFormat="1" applyFont="1" applyFill="1" applyBorder="1" applyAlignment="1">
      <alignment horizontal="center"/>
    </xf>
    <xf numFmtId="165" fontId="9" fillId="8" borderId="1" xfId="0" applyNumberFormat="1" applyFont="1" applyFill="1" applyBorder="1" applyAlignment="1">
      <alignment horizontal="center"/>
    </xf>
    <xf numFmtId="165" fontId="9" fillId="8" borderId="2" xfId="0" applyNumberFormat="1" applyFont="1" applyFill="1" applyBorder="1" applyAlignment="1">
      <alignment horizontal="center"/>
    </xf>
    <xf numFmtId="165" fontId="10" fillId="6" borderId="1" xfId="0" applyNumberFormat="1" applyFont="1" applyFill="1" applyBorder="1" applyAlignment="1">
      <alignment horizontal="center"/>
    </xf>
    <xf numFmtId="165" fontId="10" fillId="6" borderId="2" xfId="0" applyNumberFormat="1" applyFont="1" applyFill="1" applyBorder="1" applyAlignment="1">
      <alignment horizontal="center"/>
    </xf>
    <xf numFmtId="165" fontId="11" fillId="7" borderId="6" xfId="0" applyNumberFormat="1" applyFont="1" applyFill="1" applyBorder="1" applyAlignment="1">
      <alignment horizontal="center"/>
    </xf>
    <xf numFmtId="165" fontId="2" fillId="5" borderId="1" xfId="0" applyNumberFormat="1" applyFont="1" applyFill="1" applyBorder="1" applyAlignment="1">
      <alignment horizontal="center"/>
    </xf>
    <xf numFmtId="165" fontId="2" fillId="5" borderId="2" xfId="0" applyNumberFormat="1" applyFont="1" applyFill="1" applyBorder="1" applyAlignment="1">
      <alignment horizontal="center"/>
    </xf>
    <xf numFmtId="9" fontId="13" fillId="9" borderId="0" xfId="1" applyFont="1" applyFill="1"/>
    <xf numFmtId="0" fontId="14" fillId="3" borderId="0" xfId="0" applyFont="1" applyFill="1" applyAlignment="1">
      <alignment horizontal="center"/>
    </xf>
  </cellXfs>
  <cellStyles count="2">
    <cellStyle name="Normal" xfId="0" builtinId="0"/>
    <cellStyle name="Percent" xfId="1" builtinId="5"/>
  </cellStyles>
  <dxfs count="4">
    <dxf>
      <font>
        <b/>
        <i val="0"/>
        <strike val="0"/>
        <condense val="0"/>
        <extend val="0"/>
        <outline val="0"/>
        <shadow val="0"/>
        <u val="none"/>
        <vertAlign val="baseline"/>
        <sz val="11"/>
        <color theme="1"/>
        <name val="Calibri"/>
        <family val="2"/>
        <scheme val="minor"/>
      </font>
    </dxf>
    <dxf>
      <numFmt numFmtId="0" formatCode="General"/>
    </dxf>
    <dxf>
      <numFmt numFmtId="4" formatCode="#,##0.00"/>
    </dxf>
    <dxf>
      <numFmt numFmtId="0" formatCode="General"/>
    </dxf>
  </dxfs>
  <tableStyles count="0" defaultTableStyle="TableStyleMedium2" defaultPivotStyle="PivotStyleLight16"/>
  <colors>
    <mruColors>
      <color rgb="FFC367B1"/>
      <color rgb="FFFBABB3"/>
      <color rgb="FFF86472"/>
      <color rgb="FF71050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8.5566858540802079E-2"/>
          <c:w val="0.91779448621553883"/>
          <c:h val="0.74792441414494282"/>
        </c:manualLayout>
      </c:layout>
      <c:pie3D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Dashboard!$E$9:$E$11</c:f>
              <c:strCache>
                <c:ptCount val="3"/>
                <c:pt idx="0">
                  <c:v>Income</c:v>
                </c:pt>
                <c:pt idx="1">
                  <c:v>Expense</c:v>
                </c:pt>
                <c:pt idx="2">
                  <c:v>Ending Balance/Saving</c:v>
                </c:pt>
              </c:strCache>
            </c:strRef>
          </c:cat>
          <c:val>
            <c:numRef>
              <c:f>Dashboard!$J$9:$J$11</c:f>
              <c:numCache>
                <c:formatCode>0%</c:formatCode>
                <c:ptCount val="3"/>
                <c:pt idx="0">
                  <c:v>0.5</c:v>
                </c:pt>
                <c:pt idx="1">
                  <c:v>0.43802670158256091</c:v>
                </c:pt>
                <c:pt idx="2">
                  <c:v>6.1973298417439066E-2</c:v>
                </c:pt>
              </c:numCache>
            </c:numRef>
          </c:val>
          <c:extLst>
            <c:ext xmlns:c16="http://schemas.microsoft.com/office/drawing/2014/chart" uri="{C3380CC4-5D6E-409C-BE32-E72D297353CC}">
              <c16:uniqueId val="{00000000-CD6D-4B26-BDC1-71D0CF7ACDDD}"/>
            </c:ext>
          </c:extLst>
        </c:ser>
        <c:dLbls>
          <c:dLblPos val="bestFit"/>
          <c:showLegendKey val="0"/>
          <c:showVal val="0"/>
          <c:showCatName val="0"/>
          <c:showSerName val="0"/>
          <c:showPercent val="0"/>
          <c:showBubbleSize val="0"/>
          <c:showLeaderLines val="1"/>
        </c:dLbls>
      </c:pie3DChart>
      <c:spPr>
        <a:noFill/>
        <a:ln>
          <a:noFill/>
        </a:ln>
        <a:effectLst/>
      </c:spPr>
    </c:plotArea>
    <c:legend>
      <c:legendPos val="b"/>
      <c:layout>
        <c:manualLayout>
          <c:xMode val="edge"/>
          <c:yMode val="edge"/>
          <c:x val="0.63962809805944121"/>
          <c:y val="9.1251466423427713E-2"/>
          <c:w val="0.35824188695898623"/>
          <c:h val="0.752449343832021"/>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spPr>
            <a:gradFill rotWithShape="1">
              <a:gsLst>
                <a:gs pos="0">
                  <a:schemeClr val="accent6">
                    <a:lumMod val="7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invertIfNegative val="0"/>
          <c:cat>
            <c:strRef>
              <c:f>Dashboard!$I$19:$I$23</c:f>
              <c:strCache>
                <c:ptCount val="5"/>
                <c:pt idx="0">
                  <c:v>Salary</c:v>
                </c:pt>
                <c:pt idx="1">
                  <c:v>Bonus</c:v>
                </c:pt>
                <c:pt idx="2">
                  <c:v>Account Balance</c:v>
                </c:pt>
                <c:pt idx="3">
                  <c:v>Side Husle</c:v>
                </c:pt>
                <c:pt idx="4">
                  <c:v>Tax return</c:v>
                </c:pt>
              </c:strCache>
            </c:strRef>
          </c:cat>
          <c:val>
            <c:numRef>
              <c:f>Dashboard!$M$19:$M$23</c:f>
              <c:numCache>
                <c:formatCode>0.0%</c:formatCode>
                <c:ptCount val="5"/>
                <c:pt idx="0">
                  <c:v>0.49282635763782767</c:v>
                </c:pt>
                <c:pt idx="1">
                  <c:v>0.35058271209402181</c:v>
                </c:pt>
                <c:pt idx="2">
                  <c:v>0.1471666080068055</c:v>
                </c:pt>
                <c:pt idx="3">
                  <c:v>6.2861403887386575E-3</c:v>
                </c:pt>
                <c:pt idx="4">
                  <c:v>3.1381818726062311E-3</c:v>
                </c:pt>
              </c:numCache>
            </c:numRef>
          </c:val>
          <c:extLst>
            <c:ext xmlns:c16="http://schemas.microsoft.com/office/drawing/2014/chart" uri="{C3380CC4-5D6E-409C-BE32-E72D297353CC}">
              <c16:uniqueId val="{00000000-5DCA-4A0E-B1D6-69105657C01C}"/>
            </c:ext>
          </c:extLst>
        </c:ser>
        <c:dLbls>
          <c:showLegendKey val="0"/>
          <c:showVal val="0"/>
          <c:showCatName val="0"/>
          <c:showSerName val="0"/>
          <c:showPercent val="0"/>
          <c:showBubbleSize val="0"/>
        </c:dLbls>
        <c:gapWidth val="150"/>
        <c:shape val="box"/>
        <c:axId val="1879216767"/>
        <c:axId val="1879679311"/>
        <c:axId val="0"/>
      </c:bar3DChart>
      <c:catAx>
        <c:axId val="18792167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crossAx val="1879679311"/>
        <c:crosses val="autoZero"/>
        <c:auto val="1"/>
        <c:lblAlgn val="ctr"/>
        <c:lblOffset val="100"/>
        <c:noMultiLvlLbl val="0"/>
      </c:catAx>
      <c:valAx>
        <c:axId val="1879679311"/>
        <c:scaling>
          <c:orientation val="minMax"/>
        </c:scaling>
        <c:delete val="0"/>
        <c:axPos val="l"/>
        <c:majorGridlines>
          <c:spPr>
            <a:ln w="9525" cap="flat" cmpd="sng" algn="ctr">
              <a:solidFill>
                <a:schemeClr val="dk1">
                  <a:lumMod val="50000"/>
                  <a:lumOff val="5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crossAx val="187921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gradFill rotWithShape="1">
              <a:gsLst>
                <a:gs pos="0">
                  <a:srgbClr val="FF0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invertIfNegative val="0"/>
          <c:cat>
            <c:strRef>
              <c:f>Dashboard!$U$19:$U$28</c:f>
              <c:strCache>
                <c:ptCount val="10"/>
                <c:pt idx="0">
                  <c:v>Other</c:v>
                </c:pt>
                <c:pt idx="1">
                  <c:v>Rent</c:v>
                </c:pt>
                <c:pt idx="2">
                  <c:v>Shopping</c:v>
                </c:pt>
                <c:pt idx="3">
                  <c:v>Send family money</c:v>
                </c:pt>
                <c:pt idx="4">
                  <c:v>Health &amp; Wellness</c:v>
                </c:pt>
                <c:pt idx="5">
                  <c:v>Groceries</c:v>
                </c:pt>
                <c:pt idx="6">
                  <c:v>Food &amp; Drink</c:v>
                </c:pt>
                <c:pt idx="7">
                  <c:v>Travel</c:v>
                </c:pt>
                <c:pt idx="8">
                  <c:v>Utilities</c:v>
                </c:pt>
                <c:pt idx="9">
                  <c:v>Entertainment</c:v>
                </c:pt>
              </c:strCache>
            </c:strRef>
          </c:cat>
          <c:val>
            <c:numRef>
              <c:f>Dashboard!$Y$19:$Y$28</c:f>
              <c:numCache>
                <c:formatCode>0.0%</c:formatCode>
                <c:ptCount val="10"/>
                <c:pt idx="0">
                  <c:v>0.60154215648399556</c:v>
                </c:pt>
                <c:pt idx="1">
                  <c:v>0.20021636373355844</c:v>
                </c:pt>
                <c:pt idx="2">
                  <c:v>4.7800210191360104E-2</c:v>
                </c:pt>
                <c:pt idx="3">
                  <c:v>4.0470241168959344E-2</c:v>
                </c:pt>
                <c:pt idx="4">
                  <c:v>3.7929097064430199E-2</c:v>
                </c:pt>
                <c:pt idx="5">
                  <c:v>2.2138154250919098E-2</c:v>
                </c:pt>
                <c:pt idx="6">
                  <c:v>2.1582502864367057E-2</c:v>
                </c:pt>
                <c:pt idx="7">
                  <c:v>1.362537661122369E-2</c:v>
                </c:pt>
                <c:pt idx="8">
                  <c:v>1.1371495869194179E-2</c:v>
                </c:pt>
                <c:pt idx="9">
                  <c:v>3.3244017619921771E-3</c:v>
                </c:pt>
              </c:numCache>
            </c:numRef>
          </c:val>
          <c:extLst>
            <c:ext xmlns:c16="http://schemas.microsoft.com/office/drawing/2014/chart" uri="{C3380CC4-5D6E-409C-BE32-E72D297353CC}">
              <c16:uniqueId val="{00000000-ABBD-4F6A-9970-CEE1CD0D28FC}"/>
            </c:ext>
          </c:extLst>
        </c:ser>
        <c: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Dashboard!$U$19:$U$28</c:f>
              <c:strCache>
                <c:ptCount val="10"/>
                <c:pt idx="0">
                  <c:v>Other</c:v>
                </c:pt>
                <c:pt idx="1">
                  <c:v>Rent</c:v>
                </c:pt>
                <c:pt idx="2">
                  <c:v>Shopping</c:v>
                </c:pt>
                <c:pt idx="3">
                  <c:v>Send family money</c:v>
                </c:pt>
                <c:pt idx="4">
                  <c:v>Health &amp; Wellness</c:v>
                </c:pt>
                <c:pt idx="5">
                  <c:v>Groceries</c:v>
                </c:pt>
                <c:pt idx="6">
                  <c:v>Food &amp; Drink</c:v>
                </c:pt>
                <c:pt idx="7">
                  <c:v>Travel</c:v>
                </c:pt>
                <c:pt idx="8">
                  <c:v>Utilities</c:v>
                </c:pt>
                <c:pt idx="9">
                  <c:v>Entertainment</c:v>
                </c:pt>
              </c:strCache>
            </c:strRef>
          </c:cat>
          <c:val>
            <c:numRef>
              <c:f>Dashboard!$Z$19:$Z$28</c:f>
              <c:numCache>
                <c:formatCode>0.0%</c:formatCode>
                <c:ptCount val="10"/>
              </c:numCache>
            </c:numRef>
          </c:val>
          <c:extLst>
            <c:ext xmlns:c16="http://schemas.microsoft.com/office/drawing/2014/chart" uri="{C3380CC4-5D6E-409C-BE32-E72D297353CC}">
              <c16:uniqueId val="{00000001-ABBD-4F6A-9970-CEE1CD0D28FC}"/>
            </c:ext>
          </c:extLst>
        </c:ser>
        <c:dLbls>
          <c:showLegendKey val="0"/>
          <c:showVal val="0"/>
          <c:showCatName val="0"/>
          <c:showSerName val="0"/>
          <c:showPercent val="0"/>
          <c:showBubbleSize val="0"/>
        </c:dLbls>
        <c:gapWidth val="150"/>
        <c:shape val="box"/>
        <c:axId val="1808183583"/>
        <c:axId val="1863360863"/>
        <c:axId val="0"/>
      </c:bar3DChart>
      <c:catAx>
        <c:axId val="18081835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lt1">
                    <a:lumMod val="85000"/>
                  </a:schemeClr>
                </a:solidFill>
                <a:latin typeface="+mn-lt"/>
                <a:ea typeface="+mn-ea"/>
                <a:cs typeface="+mn-cs"/>
              </a:defRPr>
            </a:pPr>
            <a:endParaRPr lang="en-US"/>
          </a:p>
        </c:txPr>
        <c:crossAx val="1863360863"/>
        <c:crosses val="autoZero"/>
        <c:auto val="1"/>
        <c:lblAlgn val="ctr"/>
        <c:lblOffset val="100"/>
        <c:noMultiLvlLbl val="0"/>
      </c:catAx>
      <c:valAx>
        <c:axId val="1863360863"/>
        <c:scaling>
          <c:orientation val="minMax"/>
        </c:scaling>
        <c:delete val="0"/>
        <c:axPos val="l"/>
        <c:majorGridlines>
          <c:spPr>
            <a:ln w="9525" cap="flat" cmpd="sng" algn="ctr">
              <a:solidFill>
                <a:schemeClr val="dk1">
                  <a:lumMod val="50000"/>
                  <a:lumOff val="5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crossAx val="1808183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302068060416505"/>
          <c:y val="8.4816871697919322E-2"/>
          <c:w val="0.83709413717672843"/>
          <c:h val="0.88696208374920149"/>
        </c:manualLayout>
      </c:layout>
      <c:scatterChart>
        <c:scatterStyle val="smoothMarker"/>
        <c:varyColors val="0"/>
        <c:ser>
          <c:idx val="0"/>
          <c:order val="0"/>
          <c:spPr>
            <a:ln w="22225" cap="rnd">
              <a:solidFill>
                <a:schemeClr val="accent6">
                  <a:lumMod val="75000"/>
                </a:schemeClr>
              </a:solidFill>
            </a:ln>
            <a:effectLst>
              <a:glow rad="139700">
                <a:schemeClr val="accent1">
                  <a:satMod val="175000"/>
                  <a:alpha val="14000"/>
                </a:schemeClr>
              </a:glow>
            </a:effectLst>
          </c:spPr>
          <c:marker>
            <c:symbol val="circle"/>
            <c:size val="3"/>
            <c:spPr>
              <a:solidFill>
                <a:schemeClr val="bg1"/>
              </a:solidFill>
              <a:ln w="44450">
                <a:solidFill>
                  <a:schemeClr val="accent6">
                    <a:lumMod val="75000"/>
                  </a:schemeClr>
                </a:solidFill>
              </a:ln>
              <a:effectLst>
                <a:glow rad="63500">
                  <a:schemeClr val="accent1">
                    <a:satMod val="175000"/>
                    <a:alpha val="25000"/>
                  </a:schemeClr>
                </a:glow>
              </a:effectLst>
            </c:spPr>
          </c:marker>
          <c:xVal>
            <c:strRef>
              <c:f>Analysis!$C$4:$C$15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xVal>
          <c:yVal>
            <c:numRef>
              <c:f>Analysis!$D$4:$D$15</c:f>
              <c:numCache>
                <c:formatCode>General</c:formatCode>
                <c:ptCount val="12"/>
                <c:pt idx="0">
                  <c:v>12192.83</c:v>
                </c:pt>
                <c:pt idx="1">
                  <c:v>32291.5</c:v>
                </c:pt>
                <c:pt idx="2">
                  <c:v>6802.14</c:v>
                </c:pt>
                <c:pt idx="3">
                  <c:v>5655.3</c:v>
                </c:pt>
                <c:pt idx="4">
                  <c:v>5616.1100000000006</c:v>
                </c:pt>
                <c:pt idx="5">
                  <c:v>8424.17</c:v>
                </c:pt>
                <c:pt idx="6">
                  <c:v>6091.12</c:v>
                </c:pt>
                <c:pt idx="7">
                  <c:v>5777.35</c:v>
                </c:pt>
                <c:pt idx="8">
                  <c:v>0</c:v>
                </c:pt>
                <c:pt idx="9">
                  <c:v>0</c:v>
                </c:pt>
                <c:pt idx="10">
                  <c:v>0</c:v>
                </c:pt>
                <c:pt idx="11">
                  <c:v>0</c:v>
                </c:pt>
              </c:numCache>
            </c:numRef>
          </c:yVal>
          <c:smooth val="1"/>
          <c:extLst>
            <c:ext xmlns:c16="http://schemas.microsoft.com/office/drawing/2014/chart" uri="{C3380CC4-5D6E-409C-BE32-E72D297353CC}">
              <c16:uniqueId val="{00000000-8FBF-48AB-A53D-AB84FF5E8E21}"/>
            </c:ext>
          </c:extLst>
        </c:ser>
        <c:dLbls>
          <c:showLegendKey val="0"/>
          <c:showVal val="0"/>
          <c:showCatName val="0"/>
          <c:showSerName val="0"/>
          <c:showPercent val="0"/>
          <c:showBubbleSize val="0"/>
        </c:dLbls>
        <c:axId val="1879188447"/>
        <c:axId val="1889941967"/>
      </c:scatterChart>
      <c:valAx>
        <c:axId val="1879188447"/>
        <c:scaling>
          <c:orientation val="minMax"/>
        </c:scaling>
        <c:delete val="1"/>
        <c:axPos val="b"/>
        <c:majorGridlines>
          <c:spPr>
            <a:ln w="9525" cap="flat" cmpd="sng" algn="ctr">
              <a:solidFill>
                <a:schemeClr val="dk1">
                  <a:lumMod val="65000"/>
                  <a:lumOff val="35000"/>
                  <a:alpha val="75000"/>
                </a:schemeClr>
              </a:solidFill>
              <a:round/>
            </a:ln>
            <a:effectLst/>
          </c:spPr>
        </c:majorGridlines>
        <c:majorTickMark val="none"/>
        <c:minorTickMark val="none"/>
        <c:tickLblPos val="nextTo"/>
        <c:crossAx val="1889941967"/>
        <c:crosses val="autoZero"/>
        <c:crossBetween val="midCat"/>
      </c:valAx>
      <c:valAx>
        <c:axId val="1889941967"/>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791884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spPr>
            <a:ln w="22225" cap="rnd">
              <a:solidFill>
                <a:srgbClr val="C00000"/>
              </a:solidFill>
            </a:ln>
            <a:effectLst>
              <a:glow rad="139700">
                <a:schemeClr val="accent1">
                  <a:satMod val="175000"/>
                  <a:alpha val="14000"/>
                </a:schemeClr>
              </a:glow>
            </a:effectLst>
          </c:spPr>
          <c:marker>
            <c:symbol val="circle"/>
            <c:size val="3"/>
            <c:spPr>
              <a:noFill/>
              <a:ln w="34925">
                <a:solidFill>
                  <a:srgbClr val="C00000"/>
                </a:solidFill>
              </a:ln>
              <a:effectLst>
                <a:glow rad="63500">
                  <a:schemeClr val="accent1">
                    <a:satMod val="175000"/>
                    <a:alpha val="25000"/>
                  </a:schemeClr>
                </a:glow>
              </a:effectLst>
            </c:spPr>
          </c:marker>
          <c:xVal>
            <c:strRef>
              <c:f>Dashboard!$O$19:$O$30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xVal>
          <c:yVal>
            <c:numRef>
              <c:f>Dashboard!$P$19:$P$30</c:f>
              <c:numCache>
                <c:formatCode>"$"#,##0.00</c:formatCode>
                <c:ptCount val="12"/>
                <c:pt idx="0">
                  <c:v>3929.7799999999997</c:v>
                </c:pt>
                <c:pt idx="1">
                  <c:v>3324.8000000000006</c:v>
                </c:pt>
                <c:pt idx="2">
                  <c:v>4715.5599999999995</c:v>
                </c:pt>
                <c:pt idx="3">
                  <c:v>8135.0599999999995</c:v>
                </c:pt>
                <c:pt idx="4">
                  <c:v>7135.829999999999</c:v>
                </c:pt>
                <c:pt idx="5">
                  <c:v>6551.2299999999987</c:v>
                </c:pt>
                <c:pt idx="6">
                  <c:v>30521.279999999999</c:v>
                </c:pt>
                <c:pt idx="7">
                  <c:v>8267.94</c:v>
                </c:pt>
                <c:pt idx="8">
                  <c:v>0</c:v>
                </c:pt>
                <c:pt idx="9">
                  <c:v>0</c:v>
                </c:pt>
                <c:pt idx="10">
                  <c:v>0</c:v>
                </c:pt>
                <c:pt idx="11">
                  <c:v>0</c:v>
                </c:pt>
              </c:numCache>
            </c:numRef>
          </c:yVal>
          <c:smooth val="1"/>
          <c:extLst>
            <c:ext xmlns:c16="http://schemas.microsoft.com/office/drawing/2014/chart" uri="{C3380CC4-5D6E-409C-BE32-E72D297353CC}">
              <c16:uniqueId val="{00000000-86B7-4505-BA75-78F612D2101F}"/>
            </c:ext>
          </c:extLst>
        </c:ser>
        <c:ser>
          <c:idx val="1"/>
          <c:order val="1"/>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strRef>
              <c:f>Dashboard!$O$19:$O$30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xVal>
          <c:yVal>
            <c:numRef>
              <c:f>Dashboard!$Q$19:$Q$30</c:f>
              <c:numCache>
                <c:formatCode>"$"#,##0.00</c:formatCode>
                <c:ptCount val="12"/>
              </c:numCache>
            </c:numRef>
          </c:yVal>
          <c:smooth val="1"/>
          <c:extLst>
            <c:ext xmlns:c16="http://schemas.microsoft.com/office/drawing/2014/chart" uri="{C3380CC4-5D6E-409C-BE32-E72D297353CC}">
              <c16:uniqueId val="{00000001-86B7-4505-BA75-78F612D2101F}"/>
            </c:ext>
          </c:extLst>
        </c:ser>
        <c:ser>
          <c:idx val="2"/>
          <c:order val="2"/>
          <c:spPr>
            <a:ln w="22225" cap="rnd">
              <a:solidFill>
                <a:schemeClr val="accent3"/>
              </a:solidFill>
            </a:ln>
            <a:effectLst>
              <a:glow rad="139700">
                <a:schemeClr val="accent3">
                  <a:satMod val="175000"/>
                  <a:alpha val="14000"/>
                </a:schemeClr>
              </a:glow>
            </a:effectLst>
          </c:spPr>
          <c:marker>
            <c:symbol val="circle"/>
            <c:size val="3"/>
            <c:spPr>
              <a:solidFill>
                <a:schemeClr val="accent3">
                  <a:lumMod val="60000"/>
                  <a:lumOff val="40000"/>
                </a:schemeClr>
              </a:solidFill>
              <a:ln>
                <a:noFill/>
              </a:ln>
              <a:effectLst>
                <a:glow rad="63500">
                  <a:schemeClr val="accent3">
                    <a:satMod val="175000"/>
                    <a:alpha val="25000"/>
                  </a:schemeClr>
                </a:glow>
              </a:effectLst>
            </c:spPr>
          </c:marker>
          <c:xVal>
            <c:strRef>
              <c:f>Dashboard!$O$19:$O$30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xVal>
          <c:yVal>
            <c:numRef>
              <c:f>Dashboard!$R$19:$R$30</c:f>
              <c:numCache>
                <c:formatCode>"$"#,##0.00</c:formatCode>
                <c:ptCount val="12"/>
              </c:numCache>
            </c:numRef>
          </c:yVal>
          <c:smooth val="1"/>
          <c:extLst>
            <c:ext xmlns:c16="http://schemas.microsoft.com/office/drawing/2014/chart" uri="{C3380CC4-5D6E-409C-BE32-E72D297353CC}">
              <c16:uniqueId val="{00000002-86B7-4505-BA75-78F612D2101F}"/>
            </c:ext>
          </c:extLst>
        </c:ser>
        <c:dLbls>
          <c:showLegendKey val="0"/>
          <c:showVal val="0"/>
          <c:showCatName val="0"/>
          <c:showSerName val="0"/>
          <c:showPercent val="0"/>
          <c:showBubbleSize val="0"/>
        </c:dLbls>
        <c:axId val="1771214303"/>
        <c:axId val="1813918879"/>
      </c:scatterChart>
      <c:valAx>
        <c:axId val="1771214303"/>
        <c:scaling>
          <c:orientation val="minMax"/>
        </c:scaling>
        <c:delete val="1"/>
        <c:axPos val="b"/>
        <c:majorGridlines>
          <c:spPr>
            <a:ln w="9525" cap="flat" cmpd="sng" algn="ctr">
              <a:solidFill>
                <a:schemeClr val="dk1">
                  <a:lumMod val="65000"/>
                  <a:lumOff val="35000"/>
                  <a:alpha val="75000"/>
                </a:schemeClr>
              </a:solidFill>
              <a:round/>
            </a:ln>
            <a:effectLst/>
          </c:spPr>
        </c:majorGridlines>
        <c:majorTickMark val="none"/>
        <c:minorTickMark val="none"/>
        <c:tickLblPos val="nextTo"/>
        <c:crossAx val="1813918879"/>
        <c:crosses val="autoZero"/>
        <c:crossBetween val="midCat"/>
      </c:valAx>
      <c:valAx>
        <c:axId val="1813918879"/>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quot;$&quot;#,##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7121430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jpeg"/><Relationship Id="rId3" Type="http://schemas.openxmlformats.org/officeDocument/2006/relationships/chart" Target="../charts/chart1.xml"/><Relationship Id="rId7" Type="http://schemas.openxmlformats.org/officeDocument/2006/relationships/chart" Target="../charts/chart5.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14</xdr:col>
      <xdr:colOff>552449</xdr:colOff>
      <xdr:row>0</xdr:row>
      <xdr:rowOff>111919</xdr:rowOff>
    </xdr:from>
    <xdr:to>
      <xdr:col>15</xdr:col>
      <xdr:colOff>440532</xdr:colOff>
      <xdr:row>3</xdr:row>
      <xdr:rowOff>30957</xdr:rowOff>
    </xdr:to>
    <xdr:pic>
      <xdr:nvPicPr>
        <xdr:cNvPr id="6" name="Graphic 5" descr="Bar graph with upward trend with solid fill">
          <a:extLst>
            <a:ext uri="{FF2B5EF4-FFF2-40B4-BE49-F238E27FC236}">
              <a16:creationId xmlns:a16="http://schemas.microsoft.com/office/drawing/2014/main" id="{EF019AE9-DB84-0C76-3C1F-2F7D297E855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0375105" y="111919"/>
          <a:ext cx="912020" cy="919163"/>
        </a:xfrm>
        <a:prstGeom prst="rect">
          <a:avLst/>
        </a:prstGeom>
      </xdr:spPr>
    </xdr:pic>
    <xdr:clientData/>
  </xdr:twoCellAnchor>
  <xdr:twoCellAnchor>
    <xdr:from>
      <xdr:col>0</xdr:col>
      <xdr:colOff>47625</xdr:colOff>
      <xdr:row>2</xdr:row>
      <xdr:rowOff>245269</xdr:rowOff>
    </xdr:from>
    <xdr:to>
      <xdr:col>26</xdr:col>
      <xdr:colOff>63501</xdr:colOff>
      <xdr:row>2</xdr:row>
      <xdr:rowOff>290988</xdr:rowOff>
    </xdr:to>
    <xdr:sp macro="" textlink="">
      <xdr:nvSpPr>
        <xdr:cNvPr id="14" name="Rectangle 13">
          <a:extLst>
            <a:ext uri="{FF2B5EF4-FFF2-40B4-BE49-F238E27FC236}">
              <a16:creationId xmlns:a16="http://schemas.microsoft.com/office/drawing/2014/main" id="{6C398509-07BB-0C21-6BAE-4F6451F94979}"/>
            </a:ext>
          </a:extLst>
        </xdr:cNvPr>
        <xdr:cNvSpPr/>
      </xdr:nvSpPr>
      <xdr:spPr>
        <a:xfrm>
          <a:off x="47625" y="935832"/>
          <a:ext cx="22447251" cy="45719"/>
        </a:xfrm>
        <a:prstGeom prst="rect">
          <a:avLst/>
        </a:prstGeom>
        <a:solidFill>
          <a:schemeClr val="bg1"/>
        </a:solidFill>
        <a:ln>
          <a:prstDash val="lgDashDot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xdr:from>
      <xdr:col>2</xdr:col>
      <xdr:colOff>238125</xdr:colOff>
      <xdr:row>13</xdr:row>
      <xdr:rowOff>175419</xdr:rowOff>
    </xdr:from>
    <xdr:to>
      <xdr:col>13</xdr:col>
      <xdr:colOff>158751</xdr:colOff>
      <xdr:row>16</xdr:row>
      <xdr:rowOff>13494</xdr:rowOff>
    </xdr:to>
    <xdr:sp macro="" textlink="">
      <xdr:nvSpPr>
        <xdr:cNvPr id="16" name="Rectangle 15">
          <a:extLst>
            <a:ext uri="{FF2B5EF4-FFF2-40B4-BE49-F238E27FC236}">
              <a16:creationId xmlns:a16="http://schemas.microsoft.com/office/drawing/2014/main" id="{477B819D-EBD7-A8DD-1ED3-98A7A5EED990}"/>
            </a:ext>
          </a:extLst>
        </xdr:cNvPr>
        <xdr:cNvSpPr/>
      </xdr:nvSpPr>
      <xdr:spPr>
        <a:xfrm>
          <a:off x="1381125" y="4096544"/>
          <a:ext cx="10382251" cy="409575"/>
        </a:xfrm>
        <a:prstGeom prst="rect">
          <a:avLst/>
        </a:prstGeom>
        <a:solidFill>
          <a:schemeClr val="accent6">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a:solidFill>
                <a:schemeClr val="bg1"/>
              </a:solidFill>
            </a:rPr>
            <a:t>Income</a:t>
          </a:r>
        </a:p>
      </xdr:txBody>
    </xdr:sp>
    <xdr:clientData/>
  </xdr:twoCellAnchor>
  <xdr:twoCellAnchor>
    <xdr:from>
      <xdr:col>13</xdr:col>
      <xdr:colOff>484186</xdr:colOff>
      <xdr:row>13</xdr:row>
      <xdr:rowOff>170656</xdr:rowOff>
    </xdr:from>
    <xdr:to>
      <xdr:col>25</xdr:col>
      <xdr:colOff>571500</xdr:colOff>
      <xdr:row>16</xdr:row>
      <xdr:rowOff>8731</xdr:rowOff>
    </xdr:to>
    <xdr:sp macro="" textlink="">
      <xdr:nvSpPr>
        <xdr:cNvPr id="18" name="Rectangle 17">
          <a:extLst>
            <a:ext uri="{FF2B5EF4-FFF2-40B4-BE49-F238E27FC236}">
              <a16:creationId xmlns:a16="http://schemas.microsoft.com/office/drawing/2014/main" id="{D5E0389E-8CCF-41CF-9C4F-CA577F95E7E2}"/>
            </a:ext>
          </a:extLst>
        </xdr:cNvPr>
        <xdr:cNvSpPr/>
      </xdr:nvSpPr>
      <xdr:spPr>
        <a:xfrm>
          <a:off x="12088811" y="4091781"/>
          <a:ext cx="10263189" cy="409575"/>
        </a:xfrm>
        <a:prstGeom prst="rect">
          <a:avLst/>
        </a:prstGeom>
        <a:solidFill>
          <a:srgbClr val="71050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a:solidFill>
                <a:schemeClr val="bg1"/>
              </a:solidFill>
            </a:rPr>
            <a:t>Expense</a:t>
          </a:r>
        </a:p>
      </xdr:txBody>
    </xdr:sp>
    <xdr:clientData/>
  </xdr:twoCellAnchor>
  <xdr:twoCellAnchor>
    <xdr:from>
      <xdr:col>1</xdr:col>
      <xdr:colOff>512921</xdr:colOff>
      <xdr:row>0</xdr:row>
      <xdr:rowOff>0</xdr:rowOff>
    </xdr:from>
    <xdr:to>
      <xdr:col>2</xdr:col>
      <xdr:colOff>22859</xdr:colOff>
      <xdr:row>55</xdr:row>
      <xdr:rowOff>95250</xdr:rowOff>
    </xdr:to>
    <xdr:sp macro="" textlink="">
      <xdr:nvSpPr>
        <xdr:cNvPr id="21" name="Rectangle 20">
          <a:extLst>
            <a:ext uri="{FF2B5EF4-FFF2-40B4-BE49-F238E27FC236}">
              <a16:creationId xmlns:a16="http://schemas.microsoft.com/office/drawing/2014/main" id="{08665C73-822E-4DF7-837C-123AB2034B4D}"/>
            </a:ext>
          </a:extLst>
        </xdr:cNvPr>
        <xdr:cNvSpPr/>
      </xdr:nvSpPr>
      <xdr:spPr>
        <a:xfrm rot="16200000">
          <a:off x="-5455048" y="6571219"/>
          <a:ext cx="13192125" cy="49688"/>
        </a:xfrm>
        <a:prstGeom prst="rect">
          <a:avLst/>
        </a:prstGeom>
        <a:solidFill>
          <a:schemeClr val="bg1"/>
        </a:solidFill>
        <a:ln>
          <a:prstDash val="lgDashDot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editAs="oneCell">
    <xdr:from>
      <xdr:col>0</xdr:col>
      <xdr:colOff>83343</xdr:colOff>
      <xdr:row>10</xdr:row>
      <xdr:rowOff>47623</xdr:rowOff>
    </xdr:from>
    <xdr:to>
      <xdr:col>1</xdr:col>
      <xdr:colOff>254000</xdr:colOff>
      <xdr:row>24</xdr:row>
      <xdr:rowOff>158750</xdr:rowOff>
    </xdr:to>
    <mc:AlternateContent xmlns:mc="http://schemas.openxmlformats.org/markup-compatibility/2006">
      <mc:Choice xmlns:a14="http://schemas.microsoft.com/office/drawing/2010/main" Requires="a14">
        <xdr:graphicFrame macro="">
          <xdr:nvGraphicFramePr>
            <xdr:cNvPr id="3" name="Month 1">
              <a:extLst>
                <a:ext uri="{FF2B5EF4-FFF2-40B4-BE49-F238E27FC236}">
                  <a16:creationId xmlns:a16="http://schemas.microsoft.com/office/drawing/2014/main" id="{1BC3F425-C3AA-491B-927E-158CE8CCDB44}"/>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83343" y="3190873"/>
              <a:ext cx="773907" cy="36830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199607</xdr:colOff>
      <xdr:row>6</xdr:row>
      <xdr:rowOff>116964</xdr:rowOff>
    </xdr:from>
    <xdr:to>
      <xdr:col>5</xdr:col>
      <xdr:colOff>1040048</xdr:colOff>
      <xdr:row>7</xdr:row>
      <xdr:rowOff>396408</xdr:rowOff>
    </xdr:to>
    <xdr:sp macro="" textlink="">
      <xdr:nvSpPr>
        <xdr:cNvPr id="25" name="Rectangle: Rounded Corners 24">
          <a:extLst>
            <a:ext uri="{FF2B5EF4-FFF2-40B4-BE49-F238E27FC236}">
              <a16:creationId xmlns:a16="http://schemas.microsoft.com/office/drawing/2014/main" id="{D2D400F5-DA75-CF29-84AA-FD28438C2FD1}"/>
            </a:ext>
          </a:extLst>
        </xdr:cNvPr>
        <xdr:cNvSpPr/>
      </xdr:nvSpPr>
      <xdr:spPr>
        <a:xfrm>
          <a:off x="1614350" y="1699795"/>
          <a:ext cx="3403786" cy="685657"/>
        </a:xfrm>
        <a:prstGeom prst="roundRect">
          <a:avLst/>
        </a:prstGeom>
        <a:gradFill>
          <a:gsLst>
            <a:gs pos="0">
              <a:schemeClr val="accent1">
                <a:lumMod val="7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effectLst>
          <a:outerShdw blurRad="50800" dist="38100" dir="10800000" algn="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b="1">
              <a:solidFill>
                <a:schemeClr val="tx1"/>
              </a:solidFill>
            </a:rPr>
            <a:t>Budget</a:t>
          </a:r>
          <a:r>
            <a:rPr lang="en-US" sz="3200" b="1" baseline="0">
              <a:solidFill>
                <a:schemeClr val="tx1"/>
              </a:solidFill>
            </a:rPr>
            <a:t> Summary</a:t>
          </a:r>
          <a:endParaRPr lang="en-US" sz="3200" b="1">
            <a:solidFill>
              <a:schemeClr val="tx1"/>
            </a:solidFill>
          </a:endParaRPr>
        </a:p>
      </xdr:txBody>
    </xdr:sp>
    <xdr:clientData/>
  </xdr:twoCellAnchor>
  <xdr:twoCellAnchor>
    <xdr:from>
      <xdr:col>13</xdr:col>
      <xdr:colOff>283844</xdr:colOff>
      <xdr:row>13</xdr:row>
      <xdr:rowOff>174624</xdr:rowOff>
    </xdr:from>
    <xdr:to>
      <xdr:col>13</xdr:col>
      <xdr:colOff>329563</xdr:colOff>
      <xdr:row>55</xdr:row>
      <xdr:rowOff>31750</xdr:rowOff>
    </xdr:to>
    <xdr:sp macro="" textlink="">
      <xdr:nvSpPr>
        <xdr:cNvPr id="30" name="Rectangle 29">
          <a:extLst>
            <a:ext uri="{FF2B5EF4-FFF2-40B4-BE49-F238E27FC236}">
              <a16:creationId xmlns:a16="http://schemas.microsoft.com/office/drawing/2014/main" id="{C8A5EE3F-075A-468B-A2A6-0544454CC089}"/>
            </a:ext>
          </a:extLst>
        </xdr:cNvPr>
        <xdr:cNvSpPr/>
      </xdr:nvSpPr>
      <xdr:spPr>
        <a:xfrm rot="16200000" flipV="1">
          <a:off x="7394891" y="8589327"/>
          <a:ext cx="9032876" cy="45719"/>
        </a:xfrm>
        <a:prstGeom prst="rect">
          <a:avLst/>
        </a:prstGeom>
        <a:solidFill>
          <a:schemeClr val="bg1"/>
        </a:solidFill>
        <a:ln>
          <a:prstDash val="lgDashDot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xdr:from>
      <xdr:col>10</xdr:col>
      <xdr:colOff>336176</xdr:colOff>
      <xdr:row>3</xdr:row>
      <xdr:rowOff>112059</xdr:rowOff>
    </xdr:from>
    <xdr:to>
      <xdr:col>19</xdr:col>
      <xdr:colOff>140073</xdr:colOff>
      <xdr:row>13</xdr:row>
      <xdr:rowOff>112057</xdr:rowOff>
    </xdr:to>
    <xdr:graphicFrame macro="">
      <xdr:nvGraphicFramePr>
        <xdr:cNvPr id="32" name="Chart 31">
          <a:extLst>
            <a:ext uri="{FF2B5EF4-FFF2-40B4-BE49-F238E27FC236}">
              <a16:creationId xmlns:a16="http://schemas.microsoft.com/office/drawing/2014/main" id="{8C49053C-7046-CC15-8325-C25ADE420F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1036544</xdr:colOff>
      <xdr:row>7</xdr:row>
      <xdr:rowOff>294155</xdr:rowOff>
    </xdr:from>
    <xdr:to>
      <xdr:col>10</xdr:col>
      <xdr:colOff>196103</xdr:colOff>
      <xdr:row>11</xdr:row>
      <xdr:rowOff>140074</xdr:rowOff>
    </xdr:to>
    <xdr:sp macro="" textlink="">
      <xdr:nvSpPr>
        <xdr:cNvPr id="33" name="Rectangle 32">
          <a:extLst>
            <a:ext uri="{FF2B5EF4-FFF2-40B4-BE49-F238E27FC236}">
              <a16:creationId xmlns:a16="http://schemas.microsoft.com/office/drawing/2014/main" id="{B8944C33-C8FB-E7AF-5867-E5E20B9D28CC}"/>
            </a:ext>
          </a:extLst>
        </xdr:cNvPr>
        <xdr:cNvSpPr/>
      </xdr:nvSpPr>
      <xdr:spPr>
        <a:xfrm>
          <a:off x="7830110" y="2283199"/>
          <a:ext cx="1120589" cy="1470772"/>
        </a:xfrm>
        <a:prstGeom prst="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130270</xdr:colOff>
      <xdr:row>27</xdr:row>
      <xdr:rowOff>155203</xdr:rowOff>
    </xdr:from>
    <xdr:to>
      <xdr:col>12</xdr:col>
      <xdr:colOff>1060358</xdr:colOff>
      <xdr:row>40</xdr:row>
      <xdr:rowOff>82925</xdr:rowOff>
    </xdr:to>
    <xdr:graphicFrame macro="">
      <xdr:nvGraphicFramePr>
        <xdr:cNvPr id="34" name="Chart 33">
          <a:extLst>
            <a:ext uri="{FF2B5EF4-FFF2-40B4-BE49-F238E27FC236}">
              <a16:creationId xmlns:a16="http://schemas.microsoft.com/office/drawing/2014/main" id="{79E7C487-7F34-398C-BF32-F3F381FE5C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151280</xdr:colOff>
      <xdr:row>30</xdr:row>
      <xdr:rowOff>238125</xdr:rowOff>
    </xdr:from>
    <xdr:to>
      <xdr:col>25</xdr:col>
      <xdr:colOff>504265</xdr:colOff>
      <xdr:row>45</xdr:row>
      <xdr:rowOff>98051</xdr:rowOff>
    </xdr:to>
    <xdr:graphicFrame macro="">
      <xdr:nvGraphicFramePr>
        <xdr:cNvPr id="36" name="Chart 35">
          <a:extLst>
            <a:ext uri="{FF2B5EF4-FFF2-40B4-BE49-F238E27FC236}">
              <a16:creationId xmlns:a16="http://schemas.microsoft.com/office/drawing/2014/main" id="{2484B921-73F2-011F-4650-C817E2CA3C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42022</xdr:colOff>
      <xdr:row>33</xdr:row>
      <xdr:rowOff>0</xdr:rowOff>
    </xdr:from>
    <xdr:to>
      <xdr:col>6</xdr:col>
      <xdr:colOff>658345</xdr:colOff>
      <xdr:row>43</xdr:row>
      <xdr:rowOff>70036</xdr:rowOff>
    </xdr:to>
    <xdr:graphicFrame macro="">
      <xdr:nvGraphicFramePr>
        <xdr:cNvPr id="38" name="Chart 37">
          <a:extLst>
            <a:ext uri="{FF2B5EF4-FFF2-40B4-BE49-F238E27FC236}">
              <a16:creationId xmlns:a16="http://schemas.microsoft.com/office/drawing/2014/main" id="{C96E0FCA-BBE3-42E4-90D2-7B81BC8107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487456</xdr:colOff>
      <xdr:row>32</xdr:row>
      <xdr:rowOff>85165</xdr:rowOff>
    </xdr:from>
    <xdr:to>
      <xdr:col>18</xdr:col>
      <xdr:colOff>451037</xdr:colOff>
      <xdr:row>46</xdr:row>
      <xdr:rowOff>82924</xdr:rowOff>
    </xdr:to>
    <xdr:graphicFrame macro="">
      <xdr:nvGraphicFramePr>
        <xdr:cNvPr id="39" name="Chart 38">
          <a:extLst>
            <a:ext uri="{FF2B5EF4-FFF2-40B4-BE49-F238E27FC236}">
              <a16:creationId xmlns:a16="http://schemas.microsoft.com/office/drawing/2014/main" id="{105356AF-626B-9AFA-4D42-C11C254011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54387</xdr:colOff>
      <xdr:row>7</xdr:row>
      <xdr:rowOff>243680</xdr:rowOff>
    </xdr:from>
    <xdr:to>
      <xdr:col>1</xdr:col>
      <xdr:colOff>451917</xdr:colOff>
      <xdr:row>9</xdr:row>
      <xdr:rowOff>116489</xdr:rowOff>
    </xdr:to>
    <xdr:pic>
      <xdr:nvPicPr>
        <xdr:cNvPr id="10" name="Picture 9" descr="Clock and calendar on table">
          <a:extLst>
            <a:ext uri="{FF2B5EF4-FFF2-40B4-BE49-F238E27FC236}">
              <a16:creationId xmlns:a16="http://schemas.microsoft.com/office/drawing/2014/main" id="{757CE876-B08E-B62E-473C-4F9C550804F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54387" y="2196305"/>
          <a:ext cx="1000780" cy="666559"/>
        </a:xfrm>
        <a:prstGeom prst="rect">
          <a:avLst/>
        </a:prstGeom>
      </xdr:spPr>
    </xdr:pic>
    <xdr:clientData/>
  </xdr:twoCellAnchor>
  <xdr:twoCellAnchor>
    <xdr:from>
      <xdr:col>26</xdr:col>
      <xdr:colOff>31752</xdr:colOff>
      <xdr:row>0</xdr:row>
      <xdr:rowOff>15875</xdr:rowOff>
    </xdr:from>
    <xdr:to>
      <xdr:col>26</xdr:col>
      <xdr:colOff>81440</xdr:colOff>
      <xdr:row>55</xdr:row>
      <xdr:rowOff>111125</xdr:rowOff>
    </xdr:to>
    <xdr:sp macro="" textlink="">
      <xdr:nvSpPr>
        <xdr:cNvPr id="40" name="Rectangle 39">
          <a:extLst>
            <a:ext uri="{FF2B5EF4-FFF2-40B4-BE49-F238E27FC236}">
              <a16:creationId xmlns:a16="http://schemas.microsoft.com/office/drawing/2014/main" id="{C1E0F5BB-C6E9-4E27-B29E-466052E4FD86}"/>
            </a:ext>
          </a:extLst>
        </xdr:cNvPr>
        <xdr:cNvSpPr/>
      </xdr:nvSpPr>
      <xdr:spPr>
        <a:xfrm rot="16200000">
          <a:off x="15844283" y="6587094"/>
          <a:ext cx="13192125" cy="49688"/>
        </a:xfrm>
        <a:prstGeom prst="rect">
          <a:avLst/>
        </a:prstGeom>
        <a:solidFill>
          <a:schemeClr val="bg1"/>
        </a:solidFill>
        <a:ln>
          <a:prstDash val="lgDashDot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xdr:from>
      <xdr:col>0</xdr:col>
      <xdr:colOff>0</xdr:colOff>
      <xdr:row>54</xdr:row>
      <xdr:rowOff>164628</xdr:rowOff>
    </xdr:from>
    <xdr:to>
      <xdr:col>26</xdr:col>
      <xdr:colOff>15875</xdr:colOff>
      <xdr:row>55</xdr:row>
      <xdr:rowOff>73269</xdr:rowOff>
    </xdr:to>
    <xdr:sp macro="" textlink="">
      <xdr:nvSpPr>
        <xdr:cNvPr id="41" name="Rectangle 40">
          <a:extLst>
            <a:ext uri="{FF2B5EF4-FFF2-40B4-BE49-F238E27FC236}">
              <a16:creationId xmlns:a16="http://schemas.microsoft.com/office/drawing/2014/main" id="{5B5460D5-EDAC-4934-8131-971E3B7FA1CC}"/>
            </a:ext>
          </a:extLst>
        </xdr:cNvPr>
        <xdr:cNvSpPr/>
      </xdr:nvSpPr>
      <xdr:spPr>
        <a:xfrm flipV="1">
          <a:off x="0" y="13255397"/>
          <a:ext cx="22485106" cy="104026"/>
        </a:xfrm>
        <a:prstGeom prst="rect">
          <a:avLst/>
        </a:prstGeom>
        <a:solidFill>
          <a:schemeClr val="bg1"/>
        </a:solidFill>
        <a:ln>
          <a:prstDash val="lgDashDot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k" refreshedDate="45339.730455902776" createdVersion="8" refreshedVersion="8" minRefreshableVersion="3" recordCount="217" xr:uid="{4E2A130F-377E-41D4-8374-89E598F742DC}">
  <cacheSource type="worksheet">
    <worksheetSource name="Raw_transaction"/>
  </cacheSource>
  <cacheFields count="7">
    <cacheField name="Date" numFmtId="14">
      <sharedItems containsSemiMixedTypes="0" containsNonDate="0" containsDate="1" containsString="0" minDate="2023-01-01T00:00:00" maxDate="2023-12-03T00:00:00"/>
    </cacheField>
    <cacheField name="Month" numFmtId="0">
      <sharedItems count="12">
        <s v="Jan"/>
        <s v="Feb"/>
        <s v="Mar"/>
        <s v="Apr"/>
        <s v="May"/>
        <s v="Jun"/>
        <s v="Jul"/>
        <s v="Aug"/>
        <s v="Sep"/>
        <s v="Oct"/>
        <s v="Nov"/>
        <s v="Dec"/>
      </sharedItems>
    </cacheField>
    <cacheField name="Month Number" numFmtId="0">
      <sharedItems containsSemiMixedTypes="0" containsString="0" containsNumber="1" containsInteger="1" minValue="1" maxValue="12"/>
    </cacheField>
    <cacheField name="Amount" numFmtId="4">
      <sharedItems containsSemiMixedTypes="0" containsString="0" containsNumber="1" minValue="0" maxValue="25002"/>
    </cacheField>
    <cacheField name="Categories" numFmtId="0">
      <sharedItems count="15">
        <s v="Account Balance"/>
        <s v="Food &amp; Drink"/>
        <s v="Utilities"/>
        <s v="Health &amp; Wellness"/>
        <s v="Other"/>
        <s v="Shopping"/>
        <s v="Entertainment"/>
        <s v="Travel"/>
        <s v="Groceries"/>
        <s v="Rent"/>
        <s v="Bonus"/>
        <s v="Salary"/>
        <s v="Send family money"/>
        <s v="Side Husle"/>
        <s v="Tax return"/>
      </sharedItems>
    </cacheField>
    <cacheField name="Income/Expense" numFmtId="0">
      <sharedItems count="2">
        <s v="Income"/>
        <s v="Expense"/>
      </sharedItems>
    </cacheField>
    <cacheField name="Description" numFmtId="0">
      <sharedItems containsBlank="1"/>
    </cacheField>
  </cacheFields>
  <extLst>
    <ext xmlns:x14="http://schemas.microsoft.com/office/spreadsheetml/2009/9/main" uri="{725AE2AE-9491-48be-B2B4-4EB974FC3084}">
      <x14:pivotCacheDefinition pivotCacheId="4262379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7">
  <r>
    <d v="2023-01-01T00:00:00"/>
    <x v="0"/>
    <n v="1"/>
    <n v="12192.83"/>
    <x v="0"/>
    <x v="0"/>
    <s v="Beginning balance of year 2023"/>
  </r>
  <r>
    <d v="2023-01-02T00:00:00"/>
    <x v="0"/>
    <n v="1"/>
    <n v="174.5"/>
    <x v="1"/>
    <x v="1"/>
    <m/>
  </r>
  <r>
    <d v="2023-01-04T00:00:00"/>
    <x v="0"/>
    <n v="1"/>
    <n v="43.99"/>
    <x v="2"/>
    <x v="1"/>
    <m/>
  </r>
  <r>
    <d v="2023-01-06T00:00:00"/>
    <x v="0"/>
    <n v="1"/>
    <n v="38.380000000000003"/>
    <x v="3"/>
    <x v="1"/>
    <m/>
  </r>
  <r>
    <d v="2023-01-06T00:00:00"/>
    <x v="0"/>
    <n v="1"/>
    <n v="1628"/>
    <x v="4"/>
    <x v="1"/>
    <m/>
  </r>
  <r>
    <d v="2023-01-07T00:00:00"/>
    <x v="0"/>
    <n v="1"/>
    <n v="932.54"/>
    <x v="5"/>
    <x v="1"/>
    <m/>
  </r>
  <r>
    <d v="2023-01-09T00:00:00"/>
    <x v="0"/>
    <n v="1"/>
    <n v="44.95"/>
    <x v="5"/>
    <x v="1"/>
    <m/>
  </r>
  <r>
    <d v="2023-01-12T00:00:00"/>
    <x v="0"/>
    <n v="1"/>
    <n v="257.29000000000002"/>
    <x v="5"/>
    <x v="1"/>
    <m/>
  </r>
  <r>
    <d v="2023-01-13T00:00:00"/>
    <x v="0"/>
    <n v="1"/>
    <n v="380.98"/>
    <x v="4"/>
    <x v="1"/>
    <m/>
  </r>
  <r>
    <d v="2023-01-17T00:00:00"/>
    <x v="0"/>
    <n v="1"/>
    <n v="45.29"/>
    <x v="5"/>
    <x v="1"/>
    <m/>
  </r>
  <r>
    <d v="2023-01-18T00:00:00"/>
    <x v="0"/>
    <n v="1"/>
    <n v="4.3099999999999996"/>
    <x v="6"/>
    <x v="1"/>
    <m/>
  </r>
  <r>
    <d v="2023-01-18T00:00:00"/>
    <x v="0"/>
    <n v="1"/>
    <n v="49.09"/>
    <x v="5"/>
    <x v="1"/>
    <m/>
  </r>
  <r>
    <d v="2023-01-19T00:00:00"/>
    <x v="0"/>
    <n v="1"/>
    <n v="25.28"/>
    <x v="1"/>
    <x v="1"/>
    <m/>
  </r>
  <r>
    <d v="2023-01-19T00:00:00"/>
    <x v="0"/>
    <n v="1"/>
    <n v="60.57"/>
    <x v="5"/>
    <x v="1"/>
    <m/>
  </r>
  <r>
    <d v="2023-01-21T00:00:00"/>
    <x v="0"/>
    <n v="1"/>
    <n v="151.68"/>
    <x v="2"/>
    <x v="1"/>
    <m/>
  </r>
  <r>
    <d v="2023-01-28T00:00:00"/>
    <x v="0"/>
    <n v="1"/>
    <n v="52.98"/>
    <x v="4"/>
    <x v="1"/>
    <m/>
  </r>
  <r>
    <d v="2023-01-31T00:00:00"/>
    <x v="0"/>
    <n v="1"/>
    <n v="39.950000000000003"/>
    <x v="7"/>
    <x v="1"/>
    <m/>
  </r>
  <r>
    <d v="2023-02-01T00:00:00"/>
    <x v="1"/>
    <n v="2"/>
    <n v="36.799999999999997"/>
    <x v="1"/>
    <x v="1"/>
    <m/>
  </r>
  <r>
    <d v="2023-02-01T00:00:00"/>
    <x v="1"/>
    <n v="2"/>
    <n v="67.14"/>
    <x v="8"/>
    <x v="1"/>
    <m/>
  </r>
  <r>
    <d v="2023-02-02T00:00:00"/>
    <x v="1"/>
    <n v="2"/>
    <n v="2422"/>
    <x v="9"/>
    <x v="1"/>
    <m/>
  </r>
  <r>
    <d v="2023-02-05T00:00:00"/>
    <x v="1"/>
    <n v="2"/>
    <n v="8.75"/>
    <x v="4"/>
    <x v="1"/>
    <m/>
  </r>
  <r>
    <d v="2023-02-06T00:00:00"/>
    <x v="1"/>
    <n v="2"/>
    <n v="17.649999999999999"/>
    <x v="1"/>
    <x v="1"/>
    <m/>
  </r>
  <r>
    <d v="2023-02-09T00:00:00"/>
    <x v="1"/>
    <n v="2"/>
    <n v="7.55"/>
    <x v="6"/>
    <x v="1"/>
    <m/>
  </r>
  <r>
    <d v="2023-02-09T00:00:00"/>
    <x v="1"/>
    <n v="2"/>
    <n v="38.67"/>
    <x v="1"/>
    <x v="1"/>
    <m/>
  </r>
  <r>
    <d v="2023-02-10T00:00:00"/>
    <x v="1"/>
    <n v="2"/>
    <n v="20930.919999999998"/>
    <x v="10"/>
    <x v="0"/>
    <m/>
  </r>
  <r>
    <d v="2023-02-10T00:00:00"/>
    <x v="1"/>
    <n v="2"/>
    <n v="41.03"/>
    <x v="8"/>
    <x v="1"/>
    <m/>
  </r>
  <r>
    <d v="2023-02-11T00:00:00"/>
    <x v="1"/>
    <n v="2"/>
    <n v="47.69"/>
    <x v="1"/>
    <x v="1"/>
    <m/>
  </r>
  <r>
    <d v="2023-02-17T00:00:00"/>
    <x v="1"/>
    <n v="2"/>
    <n v="7500"/>
    <x v="10"/>
    <x v="0"/>
    <s v="Relocation money provided by employer"/>
  </r>
  <r>
    <d v="2023-02-17T00:00:00"/>
    <x v="1"/>
    <n v="2"/>
    <n v="174.57"/>
    <x v="2"/>
    <x v="1"/>
    <m/>
  </r>
  <r>
    <d v="2023-02-18T00:00:00"/>
    <x v="1"/>
    <n v="2"/>
    <n v="114.53"/>
    <x v="5"/>
    <x v="1"/>
    <m/>
  </r>
  <r>
    <d v="2023-02-18T00:00:00"/>
    <x v="1"/>
    <n v="2"/>
    <n v="56.559999999999995"/>
    <x v="1"/>
    <x v="1"/>
    <m/>
  </r>
  <r>
    <d v="2023-02-18T00:00:00"/>
    <x v="1"/>
    <n v="2"/>
    <n v="4.3099999999999996"/>
    <x v="6"/>
    <x v="1"/>
    <m/>
  </r>
  <r>
    <d v="2023-02-19T00:00:00"/>
    <x v="1"/>
    <n v="2"/>
    <n v="3.5"/>
    <x v="1"/>
    <x v="1"/>
    <m/>
  </r>
  <r>
    <d v="2023-02-20T00:00:00"/>
    <x v="1"/>
    <n v="2"/>
    <n v="38.39"/>
    <x v="8"/>
    <x v="1"/>
    <m/>
  </r>
  <r>
    <d v="2023-02-23T00:00:00"/>
    <x v="1"/>
    <n v="2"/>
    <n v="130.9"/>
    <x v="10"/>
    <x v="0"/>
    <s v="Reimbursement from moving company"/>
  </r>
  <r>
    <d v="2023-02-23T00:00:00"/>
    <x v="1"/>
    <n v="2"/>
    <n v="29.81"/>
    <x v="1"/>
    <x v="1"/>
    <m/>
  </r>
  <r>
    <d v="2023-02-24T00:00:00"/>
    <x v="1"/>
    <n v="2"/>
    <n v="3729.68"/>
    <x v="11"/>
    <x v="0"/>
    <m/>
  </r>
  <r>
    <d v="2023-02-24T00:00:00"/>
    <x v="1"/>
    <n v="2"/>
    <n v="18.46"/>
    <x v="7"/>
    <x v="1"/>
    <m/>
  </r>
  <r>
    <d v="2023-02-25T00:00:00"/>
    <x v="1"/>
    <n v="2"/>
    <n v="25.73"/>
    <x v="1"/>
    <x v="1"/>
    <m/>
  </r>
  <r>
    <d v="2023-02-26T00:00:00"/>
    <x v="1"/>
    <n v="2"/>
    <n v="26.33"/>
    <x v="7"/>
    <x v="1"/>
    <m/>
  </r>
  <r>
    <d v="2023-02-26T00:00:00"/>
    <x v="1"/>
    <n v="2"/>
    <n v="29.8"/>
    <x v="1"/>
    <x v="1"/>
    <m/>
  </r>
  <r>
    <d v="2023-02-27T00:00:00"/>
    <x v="1"/>
    <n v="2"/>
    <n v="22.91"/>
    <x v="7"/>
    <x v="1"/>
    <m/>
  </r>
  <r>
    <d v="2023-02-27T00:00:00"/>
    <x v="1"/>
    <n v="2"/>
    <n v="39.69"/>
    <x v="8"/>
    <x v="1"/>
    <m/>
  </r>
  <r>
    <d v="2023-02-28T00:00:00"/>
    <x v="1"/>
    <n v="2"/>
    <n v="52.93"/>
    <x v="4"/>
    <x v="1"/>
    <m/>
  </r>
  <r>
    <d v="2023-03-01T00:00:00"/>
    <x v="2"/>
    <n v="3"/>
    <n v="484.14"/>
    <x v="10"/>
    <x v="0"/>
    <s v="Reimbursement from moving company"/>
  </r>
  <r>
    <d v="2023-03-01T00:00:00"/>
    <x v="2"/>
    <n v="3"/>
    <n v="44.6"/>
    <x v="1"/>
    <x v="1"/>
    <m/>
  </r>
  <r>
    <d v="2023-03-02T00:00:00"/>
    <x v="2"/>
    <n v="3"/>
    <n v="2000"/>
    <x v="4"/>
    <x v="1"/>
    <s v="Transfer money to another back account"/>
  </r>
  <r>
    <d v="2023-03-02T00:00:00"/>
    <x v="2"/>
    <n v="3"/>
    <n v="5.44"/>
    <x v="4"/>
    <x v="1"/>
    <s v="AWS"/>
  </r>
  <r>
    <d v="2023-03-03T00:00:00"/>
    <x v="2"/>
    <n v="3"/>
    <n v="28.369999999999997"/>
    <x v="7"/>
    <x v="1"/>
    <m/>
  </r>
  <r>
    <d v="2023-03-03T00:00:00"/>
    <x v="2"/>
    <n v="3"/>
    <n v="2.74"/>
    <x v="4"/>
    <x v="1"/>
    <m/>
  </r>
  <r>
    <d v="2023-03-03T00:00:00"/>
    <x v="2"/>
    <n v="3"/>
    <n v="29.84"/>
    <x v="8"/>
    <x v="1"/>
    <m/>
  </r>
  <r>
    <d v="2023-03-04T00:00:00"/>
    <x v="2"/>
    <n v="3"/>
    <n v="104.11"/>
    <x v="8"/>
    <x v="1"/>
    <m/>
  </r>
  <r>
    <d v="2023-03-05T00:00:00"/>
    <x v="2"/>
    <n v="3"/>
    <n v="11.9"/>
    <x v="7"/>
    <x v="1"/>
    <m/>
  </r>
  <r>
    <d v="2023-03-07T00:00:00"/>
    <x v="2"/>
    <n v="3"/>
    <n v="30.38"/>
    <x v="3"/>
    <x v="1"/>
    <m/>
  </r>
  <r>
    <d v="2023-03-08T00:00:00"/>
    <x v="2"/>
    <n v="3"/>
    <n v="12.95"/>
    <x v="5"/>
    <x v="1"/>
    <m/>
  </r>
  <r>
    <d v="2023-03-10T00:00:00"/>
    <x v="2"/>
    <n v="3"/>
    <n v="3510"/>
    <x v="11"/>
    <x v="0"/>
    <m/>
  </r>
  <r>
    <d v="2023-03-10T00:00:00"/>
    <x v="2"/>
    <n v="3"/>
    <n v="43.15"/>
    <x v="8"/>
    <x v="1"/>
    <m/>
  </r>
  <r>
    <d v="2023-03-11T00:00:00"/>
    <x v="2"/>
    <n v="3"/>
    <n v="7.48"/>
    <x v="1"/>
    <x v="1"/>
    <m/>
  </r>
  <r>
    <d v="2023-03-12T00:00:00"/>
    <x v="2"/>
    <n v="3"/>
    <n v="10.06"/>
    <x v="8"/>
    <x v="1"/>
    <m/>
  </r>
  <r>
    <d v="2023-03-14T00:00:00"/>
    <x v="2"/>
    <n v="3"/>
    <n v="20"/>
    <x v="4"/>
    <x v="1"/>
    <s v="chatgpt subscription"/>
  </r>
  <r>
    <d v="2023-03-15T00:00:00"/>
    <x v="2"/>
    <n v="3"/>
    <n v="16.690000000000001"/>
    <x v="1"/>
    <x v="1"/>
    <m/>
  </r>
  <r>
    <d v="2023-03-15T00:00:00"/>
    <x v="2"/>
    <n v="3"/>
    <n v="1000"/>
    <x v="4"/>
    <x v="1"/>
    <s v="Transfer money to another back account"/>
  </r>
  <r>
    <d v="2023-03-17T00:00:00"/>
    <x v="2"/>
    <n v="3"/>
    <n v="94.37"/>
    <x v="5"/>
    <x v="1"/>
    <m/>
  </r>
  <r>
    <d v="2023-03-19T00:00:00"/>
    <x v="2"/>
    <n v="3"/>
    <n v="7.43"/>
    <x v="1"/>
    <x v="1"/>
    <m/>
  </r>
  <r>
    <d v="2023-03-20T00:00:00"/>
    <x v="2"/>
    <n v="3"/>
    <n v="734.5"/>
    <x v="12"/>
    <x v="1"/>
    <m/>
  </r>
  <r>
    <d v="2023-03-20T00:00:00"/>
    <x v="2"/>
    <n v="3"/>
    <n v="18.45"/>
    <x v="1"/>
    <x v="1"/>
    <m/>
  </r>
  <r>
    <d v="2023-03-20T00:00:00"/>
    <x v="2"/>
    <n v="3"/>
    <n v="47.51"/>
    <x v="8"/>
    <x v="1"/>
    <m/>
  </r>
  <r>
    <d v="2023-03-21T00:00:00"/>
    <x v="2"/>
    <n v="3"/>
    <n v="99.19"/>
    <x v="2"/>
    <x v="1"/>
    <m/>
  </r>
  <r>
    <d v="2023-03-23T00:00:00"/>
    <x v="2"/>
    <n v="3"/>
    <n v="11.45"/>
    <x v="8"/>
    <x v="1"/>
    <m/>
  </r>
  <r>
    <d v="2023-03-23T00:00:00"/>
    <x v="2"/>
    <n v="3"/>
    <n v="5.46"/>
    <x v="1"/>
    <x v="1"/>
    <m/>
  </r>
  <r>
    <d v="2023-03-24T00:00:00"/>
    <x v="2"/>
    <n v="3"/>
    <n v="2808"/>
    <x v="11"/>
    <x v="0"/>
    <m/>
  </r>
  <r>
    <d v="2023-03-25T00:00:00"/>
    <x v="2"/>
    <n v="3"/>
    <n v="5.45"/>
    <x v="1"/>
    <x v="1"/>
    <m/>
  </r>
  <r>
    <d v="2023-03-26T00:00:00"/>
    <x v="2"/>
    <n v="3"/>
    <n v="167.8"/>
    <x v="5"/>
    <x v="1"/>
    <m/>
  </r>
  <r>
    <d v="2023-03-27T00:00:00"/>
    <x v="2"/>
    <n v="3"/>
    <n v="7"/>
    <x v="1"/>
    <x v="1"/>
    <m/>
  </r>
  <r>
    <d v="2023-03-27T00:00:00"/>
    <x v="2"/>
    <n v="3"/>
    <n v="26"/>
    <x v="4"/>
    <x v="1"/>
    <s v="Donation"/>
  </r>
  <r>
    <d v="2023-03-30T00:00:00"/>
    <x v="2"/>
    <n v="3"/>
    <n v="16"/>
    <x v="1"/>
    <x v="1"/>
    <m/>
  </r>
  <r>
    <d v="2023-03-30T00:00:00"/>
    <x v="2"/>
    <n v="3"/>
    <n v="51.28"/>
    <x v="7"/>
    <x v="1"/>
    <m/>
  </r>
  <r>
    <d v="2023-03-31T00:00:00"/>
    <x v="2"/>
    <n v="3"/>
    <n v="42.46"/>
    <x v="8"/>
    <x v="1"/>
    <m/>
  </r>
  <r>
    <d v="2023-03-31T00:00:00"/>
    <x v="2"/>
    <n v="3"/>
    <n v="13.5"/>
    <x v="1"/>
    <x v="1"/>
    <m/>
  </r>
  <r>
    <d v="2023-04-02T00:00:00"/>
    <x v="3"/>
    <n v="4"/>
    <n v="5"/>
    <x v="1"/>
    <x v="1"/>
    <m/>
  </r>
  <r>
    <d v="2023-04-02T00:00:00"/>
    <x v="3"/>
    <n v="4"/>
    <n v="4.01"/>
    <x v="8"/>
    <x v="1"/>
    <m/>
  </r>
  <r>
    <d v="2023-04-02T00:00:00"/>
    <x v="3"/>
    <n v="4"/>
    <n v="477.8"/>
    <x v="7"/>
    <x v="1"/>
    <m/>
  </r>
  <r>
    <d v="2023-04-03T00:00:00"/>
    <x v="3"/>
    <n v="4"/>
    <n v="149"/>
    <x v="1"/>
    <x v="1"/>
    <m/>
  </r>
  <r>
    <d v="2023-04-03T00:00:00"/>
    <x v="3"/>
    <n v="4"/>
    <n v="125"/>
    <x v="5"/>
    <x v="1"/>
    <m/>
  </r>
  <r>
    <d v="2023-04-04T00:00:00"/>
    <x v="3"/>
    <n v="4"/>
    <n v="2422"/>
    <x v="9"/>
    <x v="1"/>
    <m/>
  </r>
  <r>
    <d v="2023-04-06T00:00:00"/>
    <x v="3"/>
    <n v="4"/>
    <n v="45.81"/>
    <x v="13"/>
    <x v="0"/>
    <s v="From Specco"/>
  </r>
  <r>
    <d v="2023-04-07T00:00:00"/>
    <x v="3"/>
    <n v="4"/>
    <n v="2808.05"/>
    <x v="11"/>
    <x v="0"/>
    <m/>
  </r>
  <r>
    <d v="2023-04-07T00:00:00"/>
    <x v="3"/>
    <n v="4"/>
    <n v="7.49"/>
    <x v="3"/>
    <x v="1"/>
    <m/>
  </r>
  <r>
    <d v="2023-04-08T00:00:00"/>
    <x v="3"/>
    <n v="4"/>
    <n v="53.6"/>
    <x v="8"/>
    <x v="1"/>
    <m/>
  </r>
  <r>
    <d v="2023-04-09T00:00:00"/>
    <x v="3"/>
    <n v="4"/>
    <n v="12.95"/>
    <x v="5"/>
    <x v="1"/>
    <m/>
  </r>
  <r>
    <d v="2023-04-10T00:00:00"/>
    <x v="3"/>
    <n v="4"/>
    <n v="1997"/>
    <x v="4"/>
    <x v="1"/>
    <s v="Transfer money to another back account"/>
  </r>
  <r>
    <d v="2023-04-13T00:00:00"/>
    <x v="3"/>
    <n v="4"/>
    <n v="1000"/>
    <x v="4"/>
    <x v="1"/>
    <s v="Transfer money to another back account"/>
  </r>
  <r>
    <d v="2023-04-13T00:00:00"/>
    <x v="3"/>
    <n v="4"/>
    <n v="47.78"/>
    <x v="1"/>
    <x v="1"/>
    <m/>
  </r>
  <r>
    <d v="2023-04-13T00:00:00"/>
    <x v="3"/>
    <n v="4"/>
    <n v="7.34"/>
    <x v="7"/>
    <x v="1"/>
    <m/>
  </r>
  <r>
    <d v="2023-04-13T00:00:00"/>
    <x v="3"/>
    <n v="4"/>
    <n v="1085"/>
    <x v="3"/>
    <x v="1"/>
    <m/>
  </r>
  <r>
    <d v="2023-04-14T00:00:00"/>
    <x v="3"/>
    <n v="4"/>
    <n v="84.39"/>
    <x v="5"/>
    <x v="1"/>
    <m/>
  </r>
  <r>
    <d v="2023-04-15T00:00:00"/>
    <x v="3"/>
    <n v="4"/>
    <n v="36.81"/>
    <x v="8"/>
    <x v="1"/>
    <m/>
  </r>
  <r>
    <d v="2023-04-18T00:00:00"/>
    <x v="3"/>
    <n v="4"/>
    <n v="4.3099999999999996"/>
    <x v="6"/>
    <x v="1"/>
    <m/>
  </r>
  <r>
    <d v="2023-04-19T00:00:00"/>
    <x v="3"/>
    <n v="4"/>
    <n v="90.07"/>
    <x v="2"/>
    <x v="1"/>
    <m/>
  </r>
  <r>
    <d v="2023-04-19T00:00:00"/>
    <x v="3"/>
    <n v="4"/>
    <n v="12.96"/>
    <x v="7"/>
    <x v="1"/>
    <m/>
  </r>
  <r>
    <d v="2023-04-21T00:00:00"/>
    <x v="3"/>
    <n v="4"/>
    <n v="2801.44"/>
    <x v="11"/>
    <x v="0"/>
    <m/>
  </r>
  <r>
    <d v="2023-04-21T00:00:00"/>
    <x v="3"/>
    <n v="4"/>
    <n v="16.46"/>
    <x v="8"/>
    <x v="1"/>
    <m/>
  </r>
  <r>
    <d v="2023-04-21T00:00:00"/>
    <x v="3"/>
    <n v="4"/>
    <n v="442.37"/>
    <x v="12"/>
    <x v="1"/>
    <m/>
  </r>
  <r>
    <d v="2023-04-22T00:00:00"/>
    <x v="3"/>
    <n v="4"/>
    <n v="21.67"/>
    <x v="5"/>
    <x v="1"/>
    <m/>
  </r>
  <r>
    <d v="2023-04-23T00:00:00"/>
    <x v="3"/>
    <n v="4"/>
    <n v="28.230000000000004"/>
    <x v="1"/>
    <x v="1"/>
    <m/>
  </r>
  <r>
    <d v="2023-04-23T00:00:00"/>
    <x v="3"/>
    <n v="4"/>
    <n v="3.82"/>
    <x v="5"/>
    <x v="1"/>
    <m/>
  </r>
  <r>
    <d v="2023-05-02T00:00:00"/>
    <x v="4"/>
    <n v="5"/>
    <n v="1997"/>
    <x v="4"/>
    <x v="1"/>
    <s v="Transfer money to another back account"/>
  </r>
  <r>
    <d v="2023-05-02T00:00:00"/>
    <x v="4"/>
    <n v="5"/>
    <n v="2422"/>
    <x v="9"/>
    <x v="1"/>
    <m/>
  </r>
  <r>
    <d v="2023-05-05T00:00:00"/>
    <x v="4"/>
    <n v="5"/>
    <n v="2808.06"/>
    <x v="11"/>
    <x v="0"/>
    <m/>
  </r>
  <r>
    <d v="2023-05-09T00:00:00"/>
    <x v="4"/>
    <n v="5"/>
    <n v="12.95"/>
    <x v="6"/>
    <x v="1"/>
    <m/>
  </r>
  <r>
    <d v="2023-05-10T00:00:00"/>
    <x v="4"/>
    <n v="5"/>
    <n v="6.99"/>
    <x v="8"/>
    <x v="1"/>
    <m/>
  </r>
  <r>
    <d v="2023-05-11T00:00:00"/>
    <x v="4"/>
    <n v="5"/>
    <n v="10.62"/>
    <x v="1"/>
    <x v="1"/>
    <m/>
  </r>
  <r>
    <d v="2023-05-13T00:00:00"/>
    <x v="4"/>
    <n v="5"/>
    <n v="31.8"/>
    <x v="1"/>
    <x v="1"/>
    <m/>
  </r>
  <r>
    <d v="2023-05-14T00:00:00"/>
    <x v="4"/>
    <n v="5"/>
    <n v="18.940000000000001"/>
    <x v="1"/>
    <x v="1"/>
    <m/>
  </r>
  <r>
    <d v="2023-05-14T00:00:00"/>
    <x v="4"/>
    <n v="5"/>
    <n v="20"/>
    <x v="5"/>
    <x v="1"/>
    <m/>
  </r>
  <r>
    <d v="2023-05-15T00:00:00"/>
    <x v="4"/>
    <n v="5"/>
    <n v="92.32"/>
    <x v="8"/>
    <x v="1"/>
    <m/>
  </r>
  <r>
    <d v="2023-05-15T00:00:00"/>
    <x v="4"/>
    <n v="5"/>
    <n v="1075"/>
    <x v="3"/>
    <x v="1"/>
    <m/>
  </r>
  <r>
    <d v="2023-05-17T00:00:00"/>
    <x v="4"/>
    <n v="5"/>
    <n v="82.17"/>
    <x v="2"/>
    <x v="1"/>
    <m/>
  </r>
  <r>
    <d v="2023-05-17T00:00:00"/>
    <x v="4"/>
    <n v="5"/>
    <n v="595.91"/>
    <x v="12"/>
    <x v="1"/>
    <m/>
  </r>
  <r>
    <d v="2023-05-18T00:00:00"/>
    <x v="4"/>
    <n v="5"/>
    <n v="4.3099999999999996"/>
    <x v="6"/>
    <x v="1"/>
    <m/>
  </r>
  <r>
    <d v="2023-05-19T00:00:00"/>
    <x v="4"/>
    <n v="5"/>
    <n v="2808.05"/>
    <x v="11"/>
    <x v="0"/>
    <m/>
  </r>
  <r>
    <d v="2023-05-20T00:00:00"/>
    <x v="4"/>
    <n v="5"/>
    <n v="7.88"/>
    <x v="1"/>
    <x v="1"/>
    <m/>
  </r>
  <r>
    <d v="2023-05-21T00:00:00"/>
    <x v="4"/>
    <n v="5"/>
    <n v="26.61"/>
    <x v="1"/>
    <x v="1"/>
    <m/>
  </r>
  <r>
    <d v="2023-05-21T00:00:00"/>
    <x v="4"/>
    <n v="5"/>
    <n v="71.739999999999995"/>
    <x v="5"/>
    <x v="1"/>
    <m/>
  </r>
  <r>
    <d v="2023-05-23T00:00:00"/>
    <x v="4"/>
    <n v="5"/>
    <n v="126.57"/>
    <x v="8"/>
    <x v="1"/>
    <m/>
  </r>
  <r>
    <d v="2023-05-23T00:00:00"/>
    <x v="4"/>
    <n v="5"/>
    <n v="12.590000000000003"/>
    <x v="5"/>
    <x v="1"/>
    <m/>
  </r>
  <r>
    <d v="2023-05-30T00:00:00"/>
    <x v="4"/>
    <n v="5"/>
    <n v="5.68"/>
    <x v="8"/>
    <x v="1"/>
    <m/>
  </r>
  <r>
    <d v="2023-05-30T00:00:00"/>
    <x v="4"/>
    <n v="5"/>
    <n v="509.5"/>
    <x v="3"/>
    <x v="1"/>
    <m/>
  </r>
  <r>
    <d v="2023-05-31T00:00:00"/>
    <x v="4"/>
    <n v="5"/>
    <n v="5.25"/>
    <x v="1"/>
    <x v="1"/>
    <m/>
  </r>
  <r>
    <d v="2023-06-02T00:00:00"/>
    <x v="5"/>
    <n v="6"/>
    <n v="2422"/>
    <x v="9"/>
    <x v="1"/>
    <m/>
  </r>
  <r>
    <d v="2023-06-02T00:00:00"/>
    <x v="5"/>
    <n v="6"/>
    <n v="2808.06"/>
    <x v="11"/>
    <x v="0"/>
    <m/>
  </r>
  <r>
    <d v="2023-06-03T00:00:00"/>
    <x v="5"/>
    <n v="6"/>
    <n v="6.5"/>
    <x v="1"/>
    <x v="1"/>
    <m/>
  </r>
  <r>
    <d v="2023-06-04T00:00:00"/>
    <x v="5"/>
    <n v="6"/>
    <n v="11.48"/>
    <x v="8"/>
    <x v="1"/>
    <m/>
  </r>
  <r>
    <d v="2023-06-05T00:00:00"/>
    <x v="5"/>
    <n v="6"/>
    <n v="1999"/>
    <x v="4"/>
    <x v="1"/>
    <s v="Transfer money to another back account"/>
  </r>
  <r>
    <d v="2023-06-06T00:00:00"/>
    <x v="5"/>
    <n v="6"/>
    <n v="68.44"/>
    <x v="8"/>
    <x v="1"/>
    <m/>
  </r>
  <r>
    <d v="2023-06-08T00:00:00"/>
    <x v="5"/>
    <n v="6"/>
    <n v="6.79"/>
    <x v="1"/>
    <x v="1"/>
    <m/>
  </r>
  <r>
    <d v="2023-06-09T00:00:00"/>
    <x v="5"/>
    <n v="6"/>
    <n v="12.95"/>
    <x v="6"/>
    <x v="1"/>
    <m/>
  </r>
  <r>
    <d v="2023-06-10T00:00:00"/>
    <x v="5"/>
    <n v="6"/>
    <n v="81.93"/>
    <x v="1"/>
    <x v="1"/>
    <m/>
  </r>
  <r>
    <d v="2023-06-10T00:00:00"/>
    <x v="5"/>
    <n v="6"/>
    <n v="10.99"/>
    <x v="8"/>
    <x v="1"/>
    <m/>
  </r>
  <r>
    <d v="2023-06-11T00:00:00"/>
    <x v="5"/>
    <n v="6"/>
    <n v="7.63"/>
    <x v="8"/>
    <x v="1"/>
    <m/>
  </r>
  <r>
    <d v="2023-06-12T00:00:00"/>
    <x v="5"/>
    <n v="6"/>
    <n v="9.9499999999999993"/>
    <x v="1"/>
    <x v="1"/>
    <m/>
  </r>
  <r>
    <d v="2023-06-13T00:00:00"/>
    <x v="5"/>
    <n v="6"/>
    <n v="475"/>
    <x v="4"/>
    <x v="1"/>
    <m/>
  </r>
  <r>
    <d v="2023-06-13T00:00:00"/>
    <x v="5"/>
    <n v="6"/>
    <n v="96"/>
    <x v="5"/>
    <x v="1"/>
    <m/>
  </r>
  <r>
    <d v="2023-06-14T00:00:00"/>
    <x v="5"/>
    <n v="6"/>
    <n v="20"/>
    <x v="5"/>
    <x v="1"/>
    <m/>
  </r>
  <r>
    <d v="2023-06-16T00:00:00"/>
    <x v="5"/>
    <n v="6"/>
    <n v="2808.05"/>
    <x v="11"/>
    <x v="0"/>
    <m/>
  </r>
  <r>
    <d v="2023-06-16T00:00:00"/>
    <x v="5"/>
    <n v="6"/>
    <n v="10.99"/>
    <x v="8"/>
    <x v="1"/>
    <m/>
  </r>
  <r>
    <d v="2023-06-17T00:00:00"/>
    <x v="5"/>
    <n v="6"/>
    <n v="56.41"/>
    <x v="1"/>
    <x v="1"/>
    <m/>
  </r>
  <r>
    <d v="2023-06-18T00:00:00"/>
    <x v="5"/>
    <n v="6"/>
    <n v="38.479999999999997"/>
    <x v="8"/>
    <x v="1"/>
    <m/>
  </r>
  <r>
    <d v="2023-06-18T00:00:00"/>
    <x v="5"/>
    <n v="6"/>
    <n v="4.3099999999999996"/>
    <x v="6"/>
    <x v="1"/>
    <m/>
  </r>
  <r>
    <d v="2023-06-19T00:00:00"/>
    <x v="5"/>
    <n v="6"/>
    <n v="34.65"/>
    <x v="8"/>
    <x v="1"/>
    <m/>
  </r>
  <r>
    <d v="2023-06-20T00:00:00"/>
    <x v="5"/>
    <n v="6"/>
    <n v="727.64"/>
    <x v="12"/>
    <x v="1"/>
    <m/>
  </r>
  <r>
    <d v="2023-06-21T00:00:00"/>
    <x v="5"/>
    <n v="6"/>
    <n v="76.010000000000005"/>
    <x v="2"/>
    <x v="1"/>
    <m/>
  </r>
  <r>
    <d v="2023-06-23T00:00:00"/>
    <x v="5"/>
    <n v="6"/>
    <n v="26.46"/>
    <x v="1"/>
    <x v="1"/>
    <m/>
  </r>
  <r>
    <d v="2023-06-23T00:00:00"/>
    <x v="5"/>
    <n v="6"/>
    <n v="125.06"/>
    <x v="5"/>
    <x v="1"/>
    <m/>
  </r>
  <r>
    <d v="2023-06-27T00:00:00"/>
    <x v="5"/>
    <n v="6"/>
    <n v="152.78"/>
    <x v="5"/>
    <x v="1"/>
    <m/>
  </r>
  <r>
    <d v="2023-06-29T00:00:00"/>
    <x v="5"/>
    <n v="6"/>
    <n v="69.78"/>
    <x v="5"/>
    <x v="1"/>
    <m/>
  </r>
  <r>
    <d v="2023-06-30T00:00:00"/>
    <x v="5"/>
    <n v="6"/>
    <n v="2808.06"/>
    <x v="11"/>
    <x v="0"/>
    <m/>
  </r>
  <r>
    <d v="2023-07-01T00:00:00"/>
    <x v="6"/>
    <n v="7"/>
    <n v="47.489999999999995"/>
    <x v="8"/>
    <x v="1"/>
    <m/>
  </r>
  <r>
    <d v="2023-07-02T00:00:00"/>
    <x v="6"/>
    <n v="7"/>
    <n v="49"/>
    <x v="1"/>
    <x v="1"/>
    <m/>
  </r>
  <r>
    <d v="2023-07-03T00:00:00"/>
    <x v="6"/>
    <n v="7"/>
    <n v="1998"/>
    <x v="4"/>
    <x v="1"/>
    <s v="Transfer money to another back account"/>
  </r>
  <r>
    <d v="2023-07-03T00:00:00"/>
    <x v="6"/>
    <n v="7"/>
    <n v="82.63"/>
    <x v="8"/>
    <x v="1"/>
    <m/>
  </r>
  <r>
    <d v="2023-07-05T00:00:00"/>
    <x v="6"/>
    <n v="7"/>
    <n v="2422"/>
    <x v="9"/>
    <x v="1"/>
    <m/>
  </r>
  <r>
    <d v="2023-07-06T00:00:00"/>
    <x v="6"/>
    <n v="7"/>
    <n v="475"/>
    <x v="13"/>
    <x v="0"/>
    <m/>
  </r>
  <r>
    <d v="2023-07-07T00:00:00"/>
    <x v="6"/>
    <n v="7"/>
    <n v="17.489999999999998"/>
    <x v="8"/>
    <x v="1"/>
    <m/>
  </r>
  <r>
    <d v="2023-07-09T00:00:00"/>
    <x v="6"/>
    <n v="7"/>
    <n v="12.96"/>
    <x v="6"/>
    <x v="1"/>
    <m/>
  </r>
  <r>
    <d v="2023-07-10T00:00:00"/>
    <x v="6"/>
    <n v="7"/>
    <n v="25002"/>
    <x v="4"/>
    <x v="1"/>
    <s v="Check to Chase family"/>
  </r>
  <r>
    <d v="2023-07-10T00:00:00"/>
    <x v="6"/>
    <n v="7"/>
    <n v="13.69"/>
    <x v="7"/>
    <x v="1"/>
    <m/>
  </r>
  <r>
    <d v="2023-07-11T00:00:00"/>
    <x v="6"/>
    <n v="7"/>
    <n v="4.75"/>
    <x v="1"/>
    <x v="1"/>
    <m/>
  </r>
  <r>
    <d v="2023-07-12T00:00:00"/>
    <x v="6"/>
    <n v="7"/>
    <n v="72.48"/>
    <x v="5"/>
    <x v="1"/>
    <m/>
  </r>
  <r>
    <d v="2023-07-12T00:00:00"/>
    <x v="6"/>
    <n v="7"/>
    <n v="30.42"/>
    <x v="1"/>
    <x v="1"/>
    <m/>
  </r>
  <r>
    <d v="2023-07-13T00:00:00"/>
    <x v="6"/>
    <n v="7"/>
    <n v="33.599999999999994"/>
    <x v="1"/>
    <x v="1"/>
    <m/>
  </r>
  <r>
    <d v="2023-07-14T00:00:00"/>
    <x v="6"/>
    <n v="7"/>
    <n v="2808.06"/>
    <x v="11"/>
    <x v="0"/>
    <m/>
  </r>
  <r>
    <d v="2023-07-18T00:00:00"/>
    <x v="6"/>
    <n v="7"/>
    <n v="4.3099999999999996"/>
    <x v="6"/>
    <x v="1"/>
    <m/>
  </r>
  <r>
    <d v="2023-07-18T00:00:00"/>
    <x v="6"/>
    <n v="7"/>
    <n v="436.97"/>
    <x v="12"/>
    <x v="1"/>
    <m/>
  </r>
  <r>
    <d v="2023-07-19T00:00:00"/>
    <x v="6"/>
    <n v="7"/>
    <n v="49.32"/>
    <x v="2"/>
    <x v="1"/>
    <m/>
  </r>
  <r>
    <d v="2023-07-21T00:00:00"/>
    <x v="6"/>
    <n v="7"/>
    <n v="40"/>
    <x v="7"/>
    <x v="1"/>
    <m/>
  </r>
  <r>
    <d v="2023-07-21T00:00:00"/>
    <x v="6"/>
    <n v="7"/>
    <n v="127.25"/>
    <x v="5"/>
    <x v="1"/>
    <m/>
  </r>
  <r>
    <d v="2023-07-22T00:00:00"/>
    <x v="6"/>
    <n v="7"/>
    <n v="13.65"/>
    <x v="1"/>
    <x v="1"/>
    <m/>
  </r>
  <r>
    <d v="2023-07-22T00:00:00"/>
    <x v="6"/>
    <n v="7"/>
    <n v="7.5"/>
    <x v="5"/>
    <x v="1"/>
    <m/>
  </r>
  <r>
    <d v="2023-07-23T00:00:00"/>
    <x v="6"/>
    <n v="7"/>
    <n v="15"/>
    <x v="4"/>
    <x v="1"/>
    <m/>
  </r>
  <r>
    <d v="2023-07-25T00:00:00"/>
    <x v="6"/>
    <n v="7"/>
    <n v="7.2"/>
    <x v="3"/>
    <x v="1"/>
    <m/>
  </r>
  <r>
    <d v="2023-07-28T00:00:00"/>
    <x v="6"/>
    <n v="7"/>
    <n v="2808.06"/>
    <x v="11"/>
    <x v="0"/>
    <m/>
  </r>
  <r>
    <d v="2023-07-29T00:00:00"/>
    <x v="6"/>
    <n v="7"/>
    <n v="33.57"/>
    <x v="8"/>
    <x v="1"/>
    <m/>
  </r>
  <r>
    <d v="2023-08-02T00:00:00"/>
    <x v="7"/>
    <n v="8"/>
    <n v="2422"/>
    <x v="9"/>
    <x v="1"/>
    <m/>
  </r>
  <r>
    <d v="2023-08-03T00:00:00"/>
    <x v="7"/>
    <n v="8"/>
    <n v="139.81"/>
    <x v="6"/>
    <x v="1"/>
    <m/>
  </r>
  <r>
    <d v="2023-08-04T00:00:00"/>
    <x v="7"/>
    <n v="8"/>
    <n v="34.31"/>
    <x v="1"/>
    <x v="1"/>
    <m/>
  </r>
  <r>
    <d v="2023-08-05T00:00:00"/>
    <x v="7"/>
    <n v="8"/>
    <n v="187.49"/>
    <x v="8"/>
    <x v="1"/>
    <m/>
  </r>
  <r>
    <d v="2023-08-05T00:00:00"/>
    <x v="7"/>
    <n v="8"/>
    <n v="78.44"/>
    <x v="5"/>
    <x v="1"/>
    <m/>
  </r>
  <r>
    <d v="2023-08-07T00:00:00"/>
    <x v="7"/>
    <n v="8"/>
    <n v="237.96"/>
    <x v="7"/>
    <x v="1"/>
    <m/>
  </r>
  <r>
    <d v="2023-08-08T00:00:00"/>
    <x v="7"/>
    <n v="8"/>
    <n v="4000"/>
    <x v="4"/>
    <x v="1"/>
    <s v="Transfer money to another back account"/>
  </r>
  <r>
    <d v="2023-08-09T00:00:00"/>
    <x v="7"/>
    <n v="8"/>
    <n v="12.95"/>
    <x v="6"/>
    <x v="1"/>
    <m/>
  </r>
  <r>
    <d v="2023-08-10T00:00:00"/>
    <x v="7"/>
    <n v="8"/>
    <n v="32.549999999999997"/>
    <x v="8"/>
    <x v="1"/>
    <m/>
  </r>
  <r>
    <d v="2023-08-10T00:00:00"/>
    <x v="7"/>
    <n v="8"/>
    <n v="218.91"/>
    <x v="1"/>
    <x v="1"/>
    <m/>
  </r>
  <r>
    <d v="2023-08-11T00:00:00"/>
    <x v="7"/>
    <n v="8"/>
    <n v="2808.04"/>
    <x v="11"/>
    <x v="0"/>
    <m/>
  </r>
  <r>
    <d v="2023-08-12T00:00:00"/>
    <x v="7"/>
    <n v="8"/>
    <n v="147.47999999999999"/>
    <x v="8"/>
    <x v="1"/>
    <m/>
  </r>
  <r>
    <d v="2023-08-16T00:00:00"/>
    <x v="7"/>
    <n v="8"/>
    <n v="58.36"/>
    <x v="2"/>
    <x v="1"/>
    <m/>
  </r>
  <r>
    <d v="2023-08-17T00:00:00"/>
    <x v="7"/>
    <n v="8"/>
    <n v="298"/>
    <x v="5"/>
    <x v="1"/>
    <m/>
  </r>
  <r>
    <d v="2023-08-17T00:00:00"/>
    <x v="7"/>
    <n v="8"/>
    <n v="9.9"/>
    <x v="1"/>
    <x v="1"/>
    <m/>
  </r>
  <r>
    <d v="2023-08-18T00:00:00"/>
    <x v="7"/>
    <n v="8"/>
    <n v="260"/>
    <x v="14"/>
    <x v="0"/>
    <m/>
  </r>
  <r>
    <d v="2023-08-18T00:00:00"/>
    <x v="7"/>
    <n v="8"/>
    <n v="4.3099999999999996"/>
    <x v="6"/>
    <x v="1"/>
    <m/>
  </r>
  <r>
    <d v="2023-08-19T00:00:00"/>
    <x v="7"/>
    <n v="8"/>
    <n v="11.95"/>
    <x v="6"/>
    <x v="1"/>
    <m/>
  </r>
  <r>
    <d v="2023-08-20T00:00:00"/>
    <x v="7"/>
    <n v="8"/>
    <n v="4.95"/>
    <x v="1"/>
    <x v="1"/>
    <m/>
  </r>
  <r>
    <d v="2023-08-21T00:00:00"/>
    <x v="7"/>
    <n v="8"/>
    <n v="65.63"/>
    <x v="5"/>
    <x v="1"/>
    <m/>
  </r>
  <r>
    <d v="2023-08-21T00:00:00"/>
    <x v="7"/>
    <n v="8"/>
    <n v="3.39"/>
    <x v="8"/>
    <x v="1"/>
    <m/>
  </r>
  <r>
    <d v="2023-08-25T00:00:00"/>
    <x v="7"/>
    <n v="8"/>
    <n v="2709.31"/>
    <x v="11"/>
    <x v="0"/>
    <m/>
  </r>
  <r>
    <d v="2023-08-26T00:00:00"/>
    <x v="7"/>
    <n v="8"/>
    <n v="5.5"/>
    <x v="1"/>
    <x v="1"/>
    <m/>
  </r>
  <r>
    <d v="2023-08-26T00:00:00"/>
    <x v="7"/>
    <n v="8"/>
    <n v="224.95"/>
    <x v="5"/>
    <x v="1"/>
    <m/>
  </r>
  <r>
    <d v="2023-08-29T00:00:00"/>
    <x v="7"/>
    <n v="8"/>
    <n v="54.800000000000004"/>
    <x v="8"/>
    <x v="1"/>
    <m/>
  </r>
  <r>
    <d v="2023-08-31T00:00:00"/>
    <x v="7"/>
    <n v="8"/>
    <n v="14.3"/>
    <x v="1"/>
    <x v="1"/>
    <m/>
  </r>
  <r>
    <d v="2023-09-01T00:00:00"/>
    <x v="8"/>
    <n v="9"/>
    <n v="0"/>
    <x v="11"/>
    <x v="0"/>
    <m/>
  </r>
  <r>
    <d v="2023-09-01T00:00:00"/>
    <x v="8"/>
    <n v="9"/>
    <n v="0"/>
    <x v="4"/>
    <x v="1"/>
    <m/>
  </r>
  <r>
    <d v="2023-10-01T00:00:00"/>
    <x v="9"/>
    <n v="10"/>
    <n v="0"/>
    <x v="11"/>
    <x v="0"/>
    <m/>
  </r>
  <r>
    <d v="2023-10-01T00:00:00"/>
    <x v="9"/>
    <n v="10"/>
    <n v="0"/>
    <x v="4"/>
    <x v="1"/>
    <m/>
  </r>
  <r>
    <d v="2023-11-01T00:00:00"/>
    <x v="10"/>
    <n v="11"/>
    <n v="0"/>
    <x v="11"/>
    <x v="0"/>
    <m/>
  </r>
  <r>
    <d v="2023-11-01T00:00:00"/>
    <x v="10"/>
    <n v="11"/>
    <n v="0"/>
    <x v="4"/>
    <x v="1"/>
    <m/>
  </r>
  <r>
    <d v="2023-12-02T00:00:00"/>
    <x v="11"/>
    <n v="12"/>
    <n v="0"/>
    <x v="11"/>
    <x v="0"/>
    <m/>
  </r>
  <r>
    <d v="2023-12-02T00:00:00"/>
    <x v="11"/>
    <n v="12"/>
    <n v="0"/>
    <x v="4"/>
    <x v="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B5D201-8766-4A89-BA5E-42CE8FE30194}" name="PivotTable5" cacheId="9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55:B60" firstHeaderRow="1" firstDataRow="1" firstDataCol="1" rowPageCount="1" colPageCount="1"/>
  <pivotFields count="7">
    <pivotField numFmtId="14" showAll="0"/>
    <pivotField showAll="0">
      <items count="13">
        <item x="0"/>
        <item x="1"/>
        <item x="2"/>
        <item x="3"/>
        <item x="4"/>
        <item x="5"/>
        <item x="6"/>
        <item x="7"/>
        <item x="8"/>
        <item x="9"/>
        <item x="10"/>
        <item x="11"/>
        <item t="default"/>
      </items>
    </pivotField>
    <pivotField showAll="0"/>
    <pivotField dataField="1" numFmtId="4" showAll="0"/>
    <pivotField axis="axisRow" showAll="0" sortType="descending">
      <items count="16">
        <item x="0"/>
        <item x="10"/>
        <item x="6"/>
        <item x="1"/>
        <item x="8"/>
        <item x="3"/>
        <item x="4"/>
        <item x="9"/>
        <item x="11"/>
        <item x="12"/>
        <item x="5"/>
        <item x="13"/>
        <item x="14"/>
        <item x="7"/>
        <item x="2"/>
        <item t="default"/>
      </items>
      <autoSortScope>
        <pivotArea dataOnly="0" outline="0" fieldPosition="0">
          <references count="1">
            <reference field="4294967294" count="1" selected="0">
              <x v="0"/>
            </reference>
          </references>
        </pivotArea>
      </autoSortScope>
    </pivotField>
    <pivotField axis="axisPage" showAll="0">
      <items count="3">
        <item x="1"/>
        <item x="0"/>
        <item t="default"/>
      </items>
    </pivotField>
    <pivotField showAll="0"/>
  </pivotFields>
  <rowFields count="1">
    <field x="4"/>
  </rowFields>
  <rowItems count="5">
    <i>
      <x v="8"/>
    </i>
    <i>
      <x v="1"/>
    </i>
    <i>
      <x/>
    </i>
    <i>
      <x v="11"/>
    </i>
    <i>
      <x v="12"/>
    </i>
  </rowItems>
  <colItems count="1">
    <i/>
  </colItems>
  <pageFields count="1">
    <pageField fld="5" item="1" hier="-1"/>
  </pageFields>
  <dataFields count="1">
    <dataField name="Sum of Amount" fld="3"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7C133E-F8F3-46E8-956B-8B7C6EACCC13}" name="PivotTable4" cacheId="9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9:B49" firstHeaderRow="1" firstDataRow="1" firstDataCol="1" rowPageCount="1" colPageCount="1"/>
  <pivotFields count="7">
    <pivotField numFmtId="14" showAll="0"/>
    <pivotField showAll="0">
      <items count="13">
        <item x="0"/>
        <item x="1"/>
        <item x="2"/>
        <item x="3"/>
        <item x="4"/>
        <item x="5"/>
        <item x="6"/>
        <item x="7"/>
        <item x="8"/>
        <item x="9"/>
        <item x="10"/>
        <item x="11"/>
        <item t="default"/>
      </items>
    </pivotField>
    <pivotField showAll="0"/>
    <pivotField dataField="1" numFmtId="4" showAll="0"/>
    <pivotField axis="axisRow" showAll="0" sortType="descending">
      <items count="16">
        <item x="0"/>
        <item x="10"/>
        <item x="6"/>
        <item x="1"/>
        <item x="8"/>
        <item x="3"/>
        <item x="4"/>
        <item x="9"/>
        <item x="11"/>
        <item x="12"/>
        <item x="5"/>
        <item x="13"/>
        <item x="14"/>
        <item x="7"/>
        <item x="2"/>
        <item t="default"/>
      </items>
      <autoSortScope>
        <pivotArea dataOnly="0" outline="0" fieldPosition="0">
          <references count="1">
            <reference field="4294967294" count="1" selected="0">
              <x v="0"/>
            </reference>
          </references>
        </pivotArea>
      </autoSortScope>
    </pivotField>
    <pivotField axis="axisPage" showAll="0">
      <items count="3">
        <item x="1"/>
        <item x="0"/>
        <item t="default"/>
      </items>
    </pivotField>
    <pivotField showAll="0"/>
  </pivotFields>
  <rowFields count="1">
    <field x="4"/>
  </rowFields>
  <rowItems count="10">
    <i>
      <x v="6"/>
    </i>
    <i>
      <x v="7"/>
    </i>
    <i>
      <x v="10"/>
    </i>
    <i>
      <x v="9"/>
    </i>
    <i>
      <x v="5"/>
    </i>
    <i>
      <x v="4"/>
    </i>
    <i>
      <x v="3"/>
    </i>
    <i>
      <x v="13"/>
    </i>
    <i>
      <x v="14"/>
    </i>
    <i>
      <x v="2"/>
    </i>
  </rowItems>
  <colItems count="1">
    <i/>
  </colItems>
  <pageFields count="1">
    <pageField fld="5" item="0" hier="-1"/>
  </pageFields>
  <dataFields count="1">
    <dataField name="Sum of Amount" fld="3"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3D38CC-03DE-443D-8783-9B869F5425EE}" name="PivotTable3" cacheId="9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21:B33" firstHeaderRow="1" firstDataRow="1" firstDataCol="1" rowPageCount="1" colPageCount="1"/>
  <pivotFields count="7">
    <pivotField numFmtId="14" showAll="0"/>
    <pivotField axis="axisRow" showAll="0">
      <items count="13">
        <item x="0"/>
        <item x="1"/>
        <item x="2"/>
        <item x="3"/>
        <item x="4"/>
        <item x="5"/>
        <item x="6"/>
        <item x="7"/>
        <item x="8"/>
        <item x="9"/>
        <item x="10"/>
        <item x="11"/>
        <item t="default"/>
      </items>
    </pivotField>
    <pivotField showAll="0"/>
    <pivotField dataField="1" numFmtId="4" showAll="0"/>
    <pivotField showAll="0"/>
    <pivotField axis="axisPage" showAll="0">
      <items count="3">
        <item x="1"/>
        <item x="0"/>
        <item t="default"/>
      </items>
    </pivotField>
    <pivotField showAll="0"/>
  </pivotFields>
  <rowFields count="1">
    <field x="1"/>
  </rowFields>
  <rowItems count="12">
    <i>
      <x/>
    </i>
    <i>
      <x v="1"/>
    </i>
    <i>
      <x v="2"/>
    </i>
    <i>
      <x v="3"/>
    </i>
    <i>
      <x v="4"/>
    </i>
    <i>
      <x v="5"/>
    </i>
    <i>
      <x v="6"/>
    </i>
    <i>
      <x v="7"/>
    </i>
    <i>
      <x v="8"/>
    </i>
    <i>
      <x v="9"/>
    </i>
    <i>
      <x v="10"/>
    </i>
    <i>
      <x v="11"/>
    </i>
  </rowItems>
  <colItems count="1">
    <i/>
  </colItems>
  <pageFields count="1">
    <pageField fld="5" item="0" hier="-1"/>
  </pageFields>
  <dataFields count="1">
    <dataField name="Sum of Amount" fld="3"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2B03ECC-5145-4721-9135-7A45D5508E30}" name="PivotTable2" cacheId="9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B15" firstHeaderRow="1" firstDataRow="1" firstDataCol="1" rowPageCount="1" colPageCount="1"/>
  <pivotFields count="7">
    <pivotField numFmtId="14" showAll="0"/>
    <pivotField axis="axisRow" showAll="0">
      <items count="13">
        <item x="0"/>
        <item x="1"/>
        <item x="2"/>
        <item x="3"/>
        <item x="4"/>
        <item x="5"/>
        <item x="6"/>
        <item x="7"/>
        <item x="8"/>
        <item x="9"/>
        <item x="10"/>
        <item x="11"/>
        <item t="default"/>
      </items>
    </pivotField>
    <pivotField showAll="0"/>
    <pivotField dataField="1" numFmtId="4" showAll="0"/>
    <pivotField showAll="0"/>
    <pivotField axis="axisPage" showAll="0">
      <items count="3">
        <item x="1"/>
        <item x="0"/>
        <item t="default"/>
      </items>
    </pivotField>
    <pivotField showAll="0"/>
  </pivotFields>
  <rowFields count="1">
    <field x="1"/>
  </rowFields>
  <rowItems count="12">
    <i>
      <x/>
    </i>
    <i>
      <x v="1"/>
    </i>
    <i>
      <x v="2"/>
    </i>
    <i>
      <x v="3"/>
    </i>
    <i>
      <x v="4"/>
    </i>
    <i>
      <x v="5"/>
    </i>
    <i>
      <x v="6"/>
    </i>
    <i>
      <x v="7"/>
    </i>
    <i>
      <x v="8"/>
    </i>
    <i>
      <x v="9"/>
    </i>
    <i>
      <x v="10"/>
    </i>
    <i>
      <x v="11"/>
    </i>
  </rowItems>
  <colItems count="1">
    <i/>
  </colItems>
  <pageFields count="1">
    <pageField fld="5" item="1" hier="-1"/>
  </pageFields>
  <dataFields count="1">
    <dataField name="Sum of Amount" fld="3"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76193C88-A72B-407F-990D-A053E29ACB77}" sourceName="Month">
  <pivotTables>
    <pivotTable tabId="6" name="PivotTable2"/>
    <pivotTable tabId="6" name="PivotTable3"/>
    <pivotTable tabId="6" name="PivotTable4"/>
    <pivotTable tabId="6" name="PivotTable5"/>
  </pivotTables>
  <data>
    <tabular pivotCacheId="426237971">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D63CA229-5AF7-450D-A703-0D297216A543}" cache="Slicer_Month" caption="Month" style="SlicerStyleOther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1D8A37B-36A1-45FA-B939-1C808DE2D7CE}" name="Raw_transaction" displayName="Raw_transaction" ref="B3:G220" totalsRowShown="0">
  <autoFilter ref="B3:G220" xr:uid="{C1D8A37B-36A1-45FA-B939-1C808DE2D7CE}"/>
  <tableColumns count="6">
    <tableColumn id="1" xr3:uid="{0A093A54-1122-4965-B8D5-70C7EDDDDCB7}" name="Date"/>
    <tableColumn id="4" xr3:uid="{3B5C7D30-7262-40A8-9233-07FE8D3FFE85}" name="Month" dataDxfId="3">
      <calculatedColumnFormula>TEXT(Raw_transaction[[#This Row],[Date]],"mmm")</calculatedColumnFormula>
    </tableColumn>
    <tableColumn id="5" xr3:uid="{C26CDE59-5B81-46A1-975E-32DC03C6802F}" name="Amount" dataDxfId="2"/>
    <tableColumn id="2" xr3:uid="{3AE36BC0-F51E-490E-9FAE-638742C57E34}" name="Categories"/>
    <tableColumn id="3" xr3:uid="{DB959760-A507-4AFD-B9FC-34A735B0039B}" name="Income/Expense" dataDxfId="1">
      <calculatedColumnFormula>_xlfn.XLOOKUP(Raw_transaction[[#This Row],[Categories]],Table1[Categories],Table1[Types])</calculatedColumnFormula>
    </tableColumn>
    <tableColumn id="6" xr3:uid="{59128D78-EBCB-4FDB-AED4-36A76E51AADA}" name="Descripti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97B7ABA-BAF9-4D96-B17B-37962BDE0376}" name="Table1" displayName="Table1" ref="J3:K19" totalsRowShown="0" headerRowDxfId="0">
  <autoFilter ref="J3:K19" xr:uid="{C97B7ABA-BAF9-4D96-B17B-37962BDE0376}"/>
  <tableColumns count="2">
    <tableColumn id="1" xr3:uid="{E024E120-FEFF-4FDF-A9F1-D17F4C8CF9C8}" name="Categories"/>
    <tableColumn id="2" xr3:uid="{7B6DD5CD-4430-4F41-81C0-F6E6D7D4138A}" name="Typ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32C7F-0371-4310-8A88-3D5131DD3A95}">
  <dimension ref="B3:K220"/>
  <sheetViews>
    <sheetView workbookViewId="0">
      <selection activeCell="D1" sqref="D1:D1048576"/>
    </sheetView>
  </sheetViews>
  <sheetFormatPr defaultRowHeight="15" x14ac:dyDescent="0.25"/>
  <cols>
    <col min="2" max="2" width="19.85546875" customWidth="1"/>
    <col min="3" max="4" width="15.42578125" customWidth="1"/>
    <col min="5" max="5" width="20.85546875" customWidth="1"/>
    <col min="6" max="6" width="29" customWidth="1"/>
    <col min="7" max="7" width="37.5703125" customWidth="1"/>
    <col min="10" max="10" width="19.42578125" customWidth="1"/>
  </cols>
  <sheetData>
    <row r="3" spans="2:11" x14ac:dyDescent="0.25">
      <c r="B3" t="s">
        <v>1</v>
      </c>
      <c r="C3" t="s">
        <v>0</v>
      </c>
      <c r="D3" t="s">
        <v>16</v>
      </c>
      <c r="E3" t="s">
        <v>2</v>
      </c>
      <c r="F3" t="s">
        <v>3</v>
      </c>
      <c r="G3" t="s">
        <v>15</v>
      </c>
      <c r="J3" s="1" t="s">
        <v>2</v>
      </c>
      <c r="K3" s="1" t="s">
        <v>4</v>
      </c>
    </row>
    <row r="4" spans="2:11" x14ac:dyDescent="0.25">
      <c r="B4" s="3">
        <v>44927</v>
      </c>
      <c r="C4" t="str">
        <f>TEXT(Raw_transaction[[#This Row],[Date]],"mmm")</f>
        <v>Jan</v>
      </c>
      <c r="D4" s="5">
        <v>12192.83</v>
      </c>
      <c r="E4" t="s">
        <v>19</v>
      </c>
      <c r="F4" t="str">
        <f>_xlfn.XLOOKUP(Raw_transaction[[#This Row],[Categories]],Table1[Categories],Table1[Types])</f>
        <v>Income</v>
      </c>
      <c r="G4" t="s">
        <v>20</v>
      </c>
      <c r="J4" t="s">
        <v>6</v>
      </c>
      <c r="K4" t="s">
        <v>8</v>
      </c>
    </row>
    <row r="5" spans="2:11" x14ac:dyDescent="0.25">
      <c r="B5" s="3">
        <v>44928</v>
      </c>
      <c r="C5" t="str">
        <f>TEXT(Raw_transaction[[#This Row],[Date]],"mmm")</f>
        <v>Jan</v>
      </c>
      <c r="D5" s="5">
        <v>174.5</v>
      </c>
      <c r="E5" t="s">
        <v>23</v>
      </c>
      <c r="F5" t="str">
        <f>_xlfn.XLOOKUP(Raw_transaction[[#This Row],[Categories]],Table1[Categories],Table1[Types])</f>
        <v>Expense</v>
      </c>
      <c r="J5" t="s">
        <v>7</v>
      </c>
      <c r="K5" t="s">
        <v>8</v>
      </c>
    </row>
    <row r="6" spans="2:11" x14ac:dyDescent="0.25">
      <c r="B6" s="3">
        <v>44930</v>
      </c>
      <c r="C6" t="str">
        <f>TEXT(Raw_transaction[[#This Row],[Date]],"mmm")</f>
        <v>Jan</v>
      </c>
      <c r="D6" s="5">
        <f>43+0.99</f>
        <v>43.99</v>
      </c>
      <c r="E6" t="s">
        <v>5</v>
      </c>
      <c r="F6" t="str">
        <f>_xlfn.XLOOKUP(Raw_transaction[[#This Row],[Categories]],Table1[Categories],Table1[Types])</f>
        <v>Expense</v>
      </c>
      <c r="J6" t="s">
        <v>17</v>
      </c>
      <c r="K6" t="s">
        <v>8</v>
      </c>
    </row>
    <row r="7" spans="2:11" x14ac:dyDescent="0.25">
      <c r="B7" s="3">
        <v>44932</v>
      </c>
      <c r="C7" t="str">
        <f>TEXT(Raw_transaction[[#This Row],[Date]],"mmm")</f>
        <v>Jan</v>
      </c>
      <c r="D7" s="5">
        <v>38.380000000000003</v>
      </c>
      <c r="E7" t="s">
        <v>25</v>
      </c>
      <c r="F7" t="str">
        <f>_xlfn.XLOOKUP(Raw_transaction[[#This Row],[Categories]],Table1[Categories],Table1[Types])</f>
        <v>Expense</v>
      </c>
      <c r="J7" t="s">
        <v>19</v>
      </c>
      <c r="K7" t="s">
        <v>8</v>
      </c>
    </row>
    <row r="8" spans="2:11" x14ac:dyDescent="0.25">
      <c r="B8" s="3">
        <v>44932</v>
      </c>
      <c r="C8" t="str">
        <f>TEXT(Raw_transaction[[#This Row],[Date]],"mmm")</f>
        <v>Jan</v>
      </c>
      <c r="D8" s="5">
        <f>129+1499</f>
        <v>1628</v>
      </c>
      <c r="E8" t="s">
        <v>14</v>
      </c>
      <c r="F8" t="str">
        <f>_xlfn.XLOOKUP(Raw_transaction[[#This Row],[Categories]],Table1[Categories],Table1[Types])</f>
        <v>Expense</v>
      </c>
      <c r="J8" t="s">
        <v>10</v>
      </c>
      <c r="K8" t="s">
        <v>9</v>
      </c>
    </row>
    <row r="9" spans="2:11" x14ac:dyDescent="0.25">
      <c r="B9" s="3">
        <v>44933</v>
      </c>
      <c r="C9" t="str">
        <f>TEXT(Raw_transaction[[#This Row],[Date]],"mmm")</f>
        <v>Jan</v>
      </c>
      <c r="D9" s="5">
        <f>115.1+271.91+545.53</f>
        <v>932.54</v>
      </c>
      <c r="E9" t="s">
        <v>26</v>
      </c>
      <c r="F9" t="str">
        <f>_xlfn.XLOOKUP(Raw_transaction[[#This Row],[Categories]],Table1[Categories],Table1[Types])</f>
        <v>Expense</v>
      </c>
      <c r="J9" t="s">
        <v>23</v>
      </c>
      <c r="K9" t="s">
        <v>9</v>
      </c>
    </row>
    <row r="10" spans="2:11" x14ac:dyDescent="0.25">
      <c r="B10" s="3">
        <v>44935</v>
      </c>
      <c r="C10" t="str">
        <f>TEXT(Raw_transaction[[#This Row],[Date]],"mmm")</f>
        <v>Jan</v>
      </c>
      <c r="D10" s="5">
        <v>44.95</v>
      </c>
      <c r="E10" t="s">
        <v>26</v>
      </c>
      <c r="F10" t="str">
        <f>_xlfn.XLOOKUP(Raw_transaction[[#This Row],[Categories]],Table1[Categories],Table1[Types])</f>
        <v>Expense</v>
      </c>
      <c r="J10" t="s">
        <v>5</v>
      </c>
      <c r="K10" t="s">
        <v>9</v>
      </c>
    </row>
    <row r="11" spans="2:11" x14ac:dyDescent="0.25">
      <c r="B11" s="3">
        <v>44938</v>
      </c>
      <c r="C11" t="str">
        <f>TEXT(Raw_transaction[[#This Row],[Date]],"mmm")</f>
        <v>Jan</v>
      </c>
      <c r="D11" s="5">
        <v>257.29000000000002</v>
      </c>
      <c r="E11" t="s">
        <v>26</v>
      </c>
      <c r="F11" t="str">
        <f>_xlfn.XLOOKUP(Raw_transaction[[#This Row],[Categories]],Table1[Categories],Table1[Types])</f>
        <v>Expense</v>
      </c>
      <c r="J11" t="s">
        <v>11</v>
      </c>
      <c r="K11" t="s">
        <v>9</v>
      </c>
    </row>
    <row r="12" spans="2:11" x14ac:dyDescent="0.25">
      <c r="B12" s="3">
        <v>44939</v>
      </c>
      <c r="C12" t="str">
        <f>TEXT(Raw_transaction[[#This Row],[Date]],"mmm")</f>
        <v>Jan</v>
      </c>
      <c r="D12" s="5">
        <f>9.97+371.01</f>
        <v>380.98</v>
      </c>
      <c r="E12" t="s">
        <v>14</v>
      </c>
      <c r="F12" t="str">
        <f>_xlfn.XLOOKUP(Raw_transaction[[#This Row],[Categories]],Table1[Categories],Table1[Types])</f>
        <v>Expense</v>
      </c>
      <c r="J12" t="s">
        <v>12</v>
      </c>
      <c r="K12" t="s">
        <v>9</v>
      </c>
    </row>
    <row r="13" spans="2:11" x14ac:dyDescent="0.25">
      <c r="B13" s="3">
        <v>44943</v>
      </c>
      <c r="C13" t="str">
        <f>TEXT(Raw_transaction[[#This Row],[Date]],"mmm")</f>
        <v>Jan</v>
      </c>
      <c r="D13" s="5">
        <v>45.29</v>
      </c>
      <c r="E13" t="s">
        <v>26</v>
      </c>
      <c r="F13" t="str">
        <f>_xlfn.XLOOKUP(Raw_transaction[[#This Row],[Categories]],Table1[Categories],Table1[Types])</f>
        <v>Expense</v>
      </c>
      <c r="J13" t="s">
        <v>13</v>
      </c>
      <c r="K13" t="s">
        <v>9</v>
      </c>
    </row>
    <row r="14" spans="2:11" x14ac:dyDescent="0.25">
      <c r="B14" s="3">
        <v>44944</v>
      </c>
      <c r="C14" t="str">
        <f>TEXT(Raw_transaction[[#This Row],[Date]],"mmm")</f>
        <v>Jan</v>
      </c>
      <c r="D14" s="5">
        <v>4.3099999999999996</v>
      </c>
      <c r="E14" t="s">
        <v>13</v>
      </c>
      <c r="F14" t="str">
        <f>_xlfn.XLOOKUP(Raw_transaction[[#This Row],[Categories]],Table1[Categories],Table1[Types])</f>
        <v>Expense</v>
      </c>
      <c r="J14" t="s">
        <v>18</v>
      </c>
      <c r="K14" t="s">
        <v>9</v>
      </c>
    </row>
    <row r="15" spans="2:11" x14ac:dyDescent="0.25">
      <c r="B15" s="3">
        <v>44944</v>
      </c>
      <c r="C15" t="str">
        <f>TEXT(Raw_transaction[[#This Row],[Date]],"mmm")</f>
        <v>Jan</v>
      </c>
      <c r="D15" s="5">
        <v>49.09</v>
      </c>
      <c r="E15" t="s">
        <v>26</v>
      </c>
      <c r="F15" t="str">
        <f>_xlfn.XLOOKUP(Raw_transaction[[#This Row],[Categories]],Table1[Categories],Table1[Types])</f>
        <v>Expense</v>
      </c>
      <c r="J15" t="s">
        <v>14</v>
      </c>
      <c r="K15" t="s">
        <v>9</v>
      </c>
    </row>
    <row r="16" spans="2:11" x14ac:dyDescent="0.25">
      <c r="B16" s="3">
        <v>44945</v>
      </c>
      <c r="C16" t="str">
        <f>TEXT(Raw_transaction[[#This Row],[Date]],"mmm")</f>
        <v>Jan</v>
      </c>
      <c r="D16" s="5">
        <f>22.25+3.03</f>
        <v>25.28</v>
      </c>
      <c r="E16" t="s">
        <v>23</v>
      </c>
      <c r="F16" t="str">
        <f>_xlfn.XLOOKUP(Raw_transaction[[#This Row],[Categories]],Table1[Categories],Table1[Types])</f>
        <v>Expense</v>
      </c>
      <c r="J16" t="s">
        <v>24</v>
      </c>
      <c r="K16" t="s">
        <v>9</v>
      </c>
    </row>
    <row r="17" spans="2:11" x14ac:dyDescent="0.25">
      <c r="B17" s="3">
        <v>44945</v>
      </c>
      <c r="C17" t="str">
        <f>TEXT(Raw_transaction[[#This Row],[Date]],"mmm")</f>
        <v>Jan</v>
      </c>
      <c r="D17" s="5">
        <v>60.57</v>
      </c>
      <c r="E17" t="s">
        <v>26</v>
      </c>
      <c r="F17" t="str">
        <f>_xlfn.XLOOKUP(Raw_transaction[[#This Row],[Categories]],Table1[Categories],Table1[Types])</f>
        <v>Expense</v>
      </c>
      <c r="J17" t="s">
        <v>25</v>
      </c>
      <c r="K17" t="s">
        <v>9</v>
      </c>
    </row>
    <row r="18" spans="2:11" x14ac:dyDescent="0.25">
      <c r="B18" s="3">
        <v>44947</v>
      </c>
      <c r="C18" t="str">
        <f>TEXT(Raw_transaction[[#This Row],[Date]],"mmm")</f>
        <v>Jan</v>
      </c>
      <c r="D18" s="5">
        <v>151.68</v>
      </c>
      <c r="E18" t="s">
        <v>5</v>
      </c>
      <c r="F18" t="str">
        <f>_xlfn.XLOOKUP(Raw_transaction[[#This Row],[Categories]],Table1[Categories],Table1[Types])</f>
        <v>Expense</v>
      </c>
      <c r="J18" t="s">
        <v>26</v>
      </c>
      <c r="K18" t="s">
        <v>9</v>
      </c>
    </row>
    <row r="19" spans="2:11" x14ac:dyDescent="0.25">
      <c r="B19" s="3">
        <v>44954</v>
      </c>
      <c r="C19" t="str">
        <f>TEXT(Raw_transaction[[#This Row],[Date]],"mmm")</f>
        <v>Jan</v>
      </c>
      <c r="D19" s="5">
        <v>52.98</v>
      </c>
      <c r="E19" t="s">
        <v>14</v>
      </c>
      <c r="F19" t="str">
        <f>_xlfn.XLOOKUP(Raw_transaction[[#This Row],[Categories]],Table1[Categories],Table1[Types])</f>
        <v>Expense</v>
      </c>
      <c r="J19" t="s">
        <v>44</v>
      </c>
      <c r="K19" t="s">
        <v>8</v>
      </c>
    </row>
    <row r="20" spans="2:11" x14ac:dyDescent="0.25">
      <c r="B20" s="3">
        <v>44957</v>
      </c>
      <c r="C20" t="str">
        <f>TEXT(Raw_transaction[[#This Row],[Date]],"mmm")</f>
        <v>Jan</v>
      </c>
      <c r="D20" s="5">
        <f>20.97+18.98</f>
        <v>39.950000000000003</v>
      </c>
      <c r="E20" t="s">
        <v>24</v>
      </c>
      <c r="F20" t="str">
        <f>_xlfn.XLOOKUP(Raw_transaction[[#This Row],[Categories]],Table1[Categories],Table1[Types])</f>
        <v>Expense</v>
      </c>
    </row>
    <row r="21" spans="2:11" x14ac:dyDescent="0.25">
      <c r="B21" s="3">
        <v>44958</v>
      </c>
      <c r="C21" t="str">
        <f>TEXT(Raw_transaction[[#This Row],[Date]],"mmm")</f>
        <v>Feb</v>
      </c>
      <c r="D21" s="5">
        <v>36.799999999999997</v>
      </c>
      <c r="E21" t="s">
        <v>23</v>
      </c>
      <c r="F21" t="str">
        <f>_xlfn.XLOOKUP(Raw_transaction[[#This Row],[Categories]],Table1[Categories],Table1[Types])</f>
        <v>Expense</v>
      </c>
    </row>
    <row r="22" spans="2:11" x14ac:dyDescent="0.25">
      <c r="B22" s="3">
        <v>44958</v>
      </c>
      <c r="C22" t="str">
        <f>TEXT(Raw_transaction[[#This Row],[Date]],"mmm")</f>
        <v>Feb</v>
      </c>
      <c r="D22" s="5">
        <v>67.14</v>
      </c>
      <c r="E22" t="s">
        <v>12</v>
      </c>
      <c r="F22" t="str">
        <f>_xlfn.XLOOKUP(Raw_transaction[[#This Row],[Categories]],Table1[Categories],Table1[Types])</f>
        <v>Expense</v>
      </c>
    </row>
    <row r="23" spans="2:11" x14ac:dyDescent="0.25">
      <c r="B23" s="3">
        <v>44959</v>
      </c>
      <c r="C23" t="str">
        <f>TEXT(Raw_transaction[[#This Row],[Date]],"mmm")</f>
        <v>Feb</v>
      </c>
      <c r="D23" s="5">
        <v>2422</v>
      </c>
      <c r="E23" t="s">
        <v>10</v>
      </c>
      <c r="F23" t="str">
        <f>_xlfn.XLOOKUP(Raw_transaction[[#This Row],[Categories]],Table1[Categories],Table1[Types])</f>
        <v>Expense</v>
      </c>
    </row>
    <row r="24" spans="2:11" x14ac:dyDescent="0.25">
      <c r="B24" s="3">
        <v>44962</v>
      </c>
      <c r="C24" t="str">
        <f>TEXT(Raw_transaction[[#This Row],[Date]],"mmm")</f>
        <v>Feb</v>
      </c>
      <c r="D24" s="5">
        <v>8.75</v>
      </c>
      <c r="E24" t="s">
        <v>14</v>
      </c>
      <c r="F24" t="str">
        <f>_xlfn.XLOOKUP(Raw_transaction[[#This Row],[Categories]],Table1[Categories],Table1[Types])</f>
        <v>Expense</v>
      </c>
    </row>
    <row r="25" spans="2:11" x14ac:dyDescent="0.25">
      <c r="B25" s="3">
        <v>44963</v>
      </c>
      <c r="C25" t="str">
        <f>TEXT(Raw_transaction[[#This Row],[Date]],"mmm")</f>
        <v>Feb</v>
      </c>
      <c r="D25" s="5">
        <v>17.649999999999999</v>
      </c>
      <c r="E25" t="s">
        <v>23</v>
      </c>
      <c r="F25" t="str">
        <f>_xlfn.XLOOKUP(Raw_transaction[[#This Row],[Categories]],Table1[Categories],Table1[Types])</f>
        <v>Expense</v>
      </c>
    </row>
    <row r="26" spans="2:11" x14ac:dyDescent="0.25">
      <c r="B26" s="3">
        <v>44966</v>
      </c>
      <c r="C26" t="str">
        <f>TEXT(Raw_transaction[[#This Row],[Date]],"mmm")</f>
        <v>Feb</v>
      </c>
      <c r="D26" s="5">
        <v>7.55</v>
      </c>
      <c r="E26" t="s">
        <v>13</v>
      </c>
      <c r="F26" t="str">
        <f>_xlfn.XLOOKUP(Raw_transaction[[#This Row],[Categories]],Table1[Categories],Table1[Types])</f>
        <v>Expense</v>
      </c>
    </row>
    <row r="27" spans="2:11" x14ac:dyDescent="0.25">
      <c r="B27" s="3">
        <v>44966</v>
      </c>
      <c r="C27" t="str">
        <f>TEXT(Raw_transaction[[#This Row],[Date]],"mmm")</f>
        <v>Feb</v>
      </c>
      <c r="D27" s="5">
        <v>38.67</v>
      </c>
      <c r="E27" t="s">
        <v>23</v>
      </c>
      <c r="F27" t="str">
        <f>_xlfn.XLOOKUP(Raw_transaction[[#This Row],[Categories]],Table1[Categories],Table1[Types])</f>
        <v>Expense</v>
      </c>
    </row>
    <row r="28" spans="2:11" x14ac:dyDescent="0.25">
      <c r="B28" s="3">
        <v>44967</v>
      </c>
      <c r="C28" t="str">
        <f>TEXT(Raw_transaction[[#This Row],[Date]],"mmm")</f>
        <v>Feb</v>
      </c>
      <c r="D28" s="5">
        <v>20930.919999999998</v>
      </c>
      <c r="E28" t="s">
        <v>7</v>
      </c>
      <c r="F28" t="str">
        <f>_xlfn.XLOOKUP(Raw_transaction[[#This Row],[Categories]],Table1[Categories],Table1[Types])</f>
        <v>Income</v>
      </c>
    </row>
    <row r="29" spans="2:11" x14ac:dyDescent="0.25">
      <c r="B29" s="3">
        <v>44967</v>
      </c>
      <c r="C29" t="str">
        <f>TEXT(Raw_transaction[[#This Row],[Date]],"mmm")</f>
        <v>Feb</v>
      </c>
      <c r="D29" s="5">
        <v>41.03</v>
      </c>
      <c r="E29" t="s">
        <v>12</v>
      </c>
      <c r="F29" t="str">
        <f>_xlfn.XLOOKUP(Raw_transaction[[#This Row],[Categories]],Table1[Categories],Table1[Types])</f>
        <v>Expense</v>
      </c>
    </row>
    <row r="30" spans="2:11" x14ac:dyDescent="0.25">
      <c r="B30" s="3">
        <v>44968</v>
      </c>
      <c r="C30" t="str">
        <f>TEXT(Raw_transaction[[#This Row],[Date]],"mmm")</f>
        <v>Feb</v>
      </c>
      <c r="D30" s="5">
        <v>47.69</v>
      </c>
      <c r="E30" t="s">
        <v>23</v>
      </c>
      <c r="F30" t="str">
        <f>_xlfn.XLOOKUP(Raw_transaction[[#This Row],[Categories]],Table1[Categories],Table1[Types])</f>
        <v>Expense</v>
      </c>
    </row>
    <row r="31" spans="2:11" x14ac:dyDescent="0.25">
      <c r="B31" s="3">
        <v>44974</v>
      </c>
      <c r="C31" t="str">
        <f>TEXT(Raw_transaction[[#This Row],[Date]],"mmm")</f>
        <v>Feb</v>
      </c>
      <c r="D31" s="5">
        <v>7500</v>
      </c>
      <c r="E31" t="s">
        <v>7</v>
      </c>
      <c r="F31" t="str">
        <f>_xlfn.XLOOKUP(Raw_transaction[[#This Row],[Categories]],Table1[Categories],Table1[Types])</f>
        <v>Income</v>
      </c>
      <c r="G31" t="s">
        <v>27</v>
      </c>
    </row>
    <row r="32" spans="2:11" x14ac:dyDescent="0.25">
      <c r="B32" s="3">
        <v>44974</v>
      </c>
      <c r="C32" t="str">
        <f>TEXT(Raw_transaction[[#This Row],[Date]],"mmm")</f>
        <v>Feb</v>
      </c>
      <c r="D32" s="5">
        <v>174.57</v>
      </c>
      <c r="E32" t="s">
        <v>5</v>
      </c>
      <c r="F32" t="str">
        <f>_xlfn.XLOOKUP(Raw_transaction[[#This Row],[Categories]],Table1[Categories],Table1[Types])</f>
        <v>Expense</v>
      </c>
    </row>
    <row r="33" spans="2:7" x14ac:dyDescent="0.25">
      <c r="B33" s="3">
        <v>44975</v>
      </c>
      <c r="C33" t="str">
        <f>TEXT(Raw_transaction[[#This Row],[Date]],"mmm")</f>
        <v>Feb</v>
      </c>
      <c r="D33" s="5">
        <v>114.53</v>
      </c>
      <c r="E33" t="s">
        <v>26</v>
      </c>
      <c r="F33" t="str">
        <f>_xlfn.XLOOKUP(Raw_transaction[[#This Row],[Categories]],Table1[Categories],Table1[Types])</f>
        <v>Expense</v>
      </c>
    </row>
    <row r="34" spans="2:7" x14ac:dyDescent="0.25">
      <c r="B34" s="3">
        <v>44975</v>
      </c>
      <c r="C34" t="str">
        <f>TEXT(Raw_transaction[[#This Row],[Date]],"mmm")</f>
        <v>Feb</v>
      </c>
      <c r="D34" s="5">
        <f>48.91+7.65</f>
        <v>56.559999999999995</v>
      </c>
      <c r="E34" t="s">
        <v>23</v>
      </c>
      <c r="F34" t="str">
        <f>_xlfn.XLOOKUP(Raw_transaction[[#This Row],[Categories]],Table1[Categories],Table1[Types])</f>
        <v>Expense</v>
      </c>
    </row>
    <row r="35" spans="2:7" x14ac:dyDescent="0.25">
      <c r="B35" s="3">
        <v>44975</v>
      </c>
      <c r="C35" t="str">
        <f>TEXT(Raw_transaction[[#This Row],[Date]],"mmm")</f>
        <v>Feb</v>
      </c>
      <c r="D35" s="5">
        <v>4.3099999999999996</v>
      </c>
      <c r="E35" t="s">
        <v>13</v>
      </c>
      <c r="F35" t="str">
        <f>_xlfn.XLOOKUP(Raw_transaction[[#This Row],[Categories]],Table1[Categories],Table1[Types])</f>
        <v>Expense</v>
      </c>
    </row>
    <row r="36" spans="2:7" x14ac:dyDescent="0.25">
      <c r="B36" s="3">
        <v>44976</v>
      </c>
      <c r="C36" t="str">
        <f>TEXT(Raw_transaction[[#This Row],[Date]],"mmm")</f>
        <v>Feb</v>
      </c>
      <c r="D36" s="5">
        <v>3.5</v>
      </c>
      <c r="E36" t="s">
        <v>23</v>
      </c>
      <c r="F36" t="str">
        <f>_xlfn.XLOOKUP(Raw_transaction[[#This Row],[Categories]],Table1[Categories],Table1[Types])</f>
        <v>Expense</v>
      </c>
    </row>
    <row r="37" spans="2:7" x14ac:dyDescent="0.25">
      <c r="B37" s="3">
        <v>44977</v>
      </c>
      <c r="C37" t="str">
        <f>TEXT(Raw_transaction[[#This Row],[Date]],"mmm")</f>
        <v>Feb</v>
      </c>
      <c r="D37" s="5">
        <v>38.39</v>
      </c>
      <c r="E37" t="s">
        <v>12</v>
      </c>
      <c r="F37" t="str">
        <f>_xlfn.XLOOKUP(Raw_transaction[[#This Row],[Categories]],Table1[Categories],Table1[Types])</f>
        <v>Expense</v>
      </c>
    </row>
    <row r="38" spans="2:7" x14ac:dyDescent="0.25">
      <c r="B38" s="3">
        <v>44980</v>
      </c>
      <c r="C38" t="str">
        <f>TEXT(Raw_transaction[[#This Row],[Date]],"mmm")</f>
        <v>Feb</v>
      </c>
      <c r="D38" s="5">
        <v>130.9</v>
      </c>
      <c r="E38" t="s">
        <v>7</v>
      </c>
      <c r="F38" t="str">
        <f>_xlfn.XLOOKUP(Raw_transaction[[#This Row],[Categories]],Table1[Categories],Table1[Types])</f>
        <v>Income</v>
      </c>
      <c r="G38" t="s">
        <v>28</v>
      </c>
    </row>
    <row r="39" spans="2:7" x14ac:dyDescent="0.25">
      <c r="B39" s="3">
        <v>44980</v>
      </c>
      <c r="C39" t="str">
        <f>TEXT(Raw_transaction[[#This Row],[Date]],"mmm")</f>
        <v>Feb</v>
      </c>
      <c r="D39" s="5">
        <v>29.81</v>
      </c>
      <c r="E39" t="s">
        <v>23</v>
      </c>
      <c r="F39" t="str">
        <f>_xlfn.XLOOKUP(Raw_transaction[[#This Row],[Categories]],Table1[Categories],Table1[Types])</f>
        <v>Expense</v>
      </c>
    </row>
    <row r="40" spans="2:7" x14ac:dyDescent="0.25">
      <c r="B40" s="3">
        <v>44981</v>
      </c>
      <c r="C40" t="str">
        <f>TEXT(Raw_transaction[[#This Row],[Date]],"mmm")</f>
        <v>Feb</v>
      </c>
      <c r="D40" s="5">
        <v>3729.68</v>
      </c>
      <c r="E40" t="s">
        <v>6</v>
      </c>
      <c r="F40" t="str">
        <f>_xlfn.XLOOKUP(Raw_transaction[[#This Row],[Categories]],Table1[Categories],Table1[Types])</f>
        <v>Income</v>
      </c>
    </row>
    <row r="41" spans="2:7" x14ac:dyDescent="0.25">
      <c r="B41" s="3">
        <v>44981</v>
      </c>
      <c r="C41" t="str">
        <f>TEXT(Raw_transaction[[#This Row],[Date]],"mmm")</f>
        <v>Feb</v>
      </c>
      <c r="D41" s="5">
        <f>9.64+8.82</f>
        <v>18.46</v>
      </c>
      <c r="E41" t="s">
        <v>24</v>
      </c>
      <c r="F41" t="str">
        <f>_xlfn.XLOOKUP(Raw_transaction[[#This Row],[Categories]],Table1[Categories],Table1[Types])</f>
        <v>Expense</v>
      </c>
    </row>
    <row r="42" spans="2:7" x14ac:dyDescent="0.25">
      <c r="B42" s="3">
        <v>44982</v>
      </c>
      <c r="C42" t="str">
        <f>TEXT(Raw_transaction[[#This Row],[Date]],"mmm")</f>
        <v>Feb</v>
      </c>
      <c r="D42" s="5">
        <v>25.73</v>
      </c>
      <c r="E42" t="s">
        <v>23</v>
      </c>
      <c r="F42" t="str">
        <f>_xlfn.XLOOKUP(Raw_transaction[[#This Row],[Categories]],Table1[Categories],Table1[Types])</f>
        <v>Expense</v>
      </c>
    </row>
    <row r="43" spans="2:7" x14ac:dyDescent="0.25">
      <c r="B43" s="3">
        <v>44983</v>
      </c>
      <c r="C43" t="str">
        <f>TEXT(Raw_transaction[[#This Row],[Date]],"mmm")</f>
        <v>Feb</v>
      </c>
      <c r="D43" s="5">
        <v>26.33</v>
      </c>
      <c r="E43" t="s">
        <v>24</v>
      </c>
      <c r="F43" t="str">
        <f>_xlfn.XLOOKUP(Raw_transaction[[#This Row],[Categories]],Table1[Categories],Table1[Types])</f>
        <v>Expense</v>
      </c>
    </row>
    <row r="44" spans="2:7" x14ac:dyDescent="0.25">
      <c r="B44" s="3">
        <v>44983</v>
      </c>
      <c r="C44" t="str">
        <f>TEXT(Raw_transaction[[#This Row],[Date]],"mmm")</f>
        <v>Feb</v>
      </c>
      <c r="D44" s="5">
        <f>24.05+5.75</f>
        <v>29.8</v>
      </c>
      <c r="E44" t="s">
        <v>23</v>
      </c>
      <c r="F44" t="str">
        <f>_xlfn.XLOOKUP(Raw_transaction[[#This Row],[Categories]],Table1[Categories],Table1[Types])</f>
        <v>Expense</v>
      </c>
    </row>
    <row r="45" spans="2:7" x14ac:dyDescent="0.25">
      <c r="B45" s="3">
        <v>44984</v>
      </c>
      <c r="C45" t="str">
        <f>TEXT(Raw_transaction[[#This Row],[Date]],"mmm")</f>
        <v>Feb</v>
      </c>
      <c r="D45" s="5">
        <v>22.91</v>
      </c>
      <c r="E45" t="s">
        <v>24</v>
      </c>
      <c r="F45" t="str">
        <f>_xlfn.XLOOKUP(Raw_transaction[[#This Row],[Categories]],Table1[Categories],Table1[Types])</f>
        <v>Expense</v>
      </c>
    </row>
    <row r="46" spans="2:7" x14ac:dyDescent="0.25">
      <c r="B46" s="3">
        <v>44984</v>
      </c>
      <c r="C46" t="str">
        <f>TEXT(Raw_transaction[[#This Row],[Date]],"mmm")</f>
        <v>Feb</v>
      </c>
      <c r="D46" s="5">
        <v>39.69</v>
      </c>
      <c r="E46" t="s">
        <v>12</v>
      </c>
      <c r="F46" t="str">
        <f>_xlfn.XLOOKUP(Raw_transaction[[#This Row],[Categories]],Table1[Categories],Table1[Types])</f>
        <v>Expense</v>
      </c>
    </row>
    <row r="47" spans="2:7" x14ac:dyDescent="0.25">
      <c r="B47" s="3">
        <v>44985</v>
      </c>
      <c r="C47" t="str">
        <f>TEXT(Raw_transaction[[#This Row],[Date]],"mmm")</f>
        <v>Feb</v>
      </c>
      <c r="D47" s="5">
        <v>52.93</v>
      </c>
      <c r="E47" t="s">
        <v>14</v>
      </c>
      <c r="F47" t="str">
        <f>_xlfn.XLOOKUP(Raw_transaction[[#This Row],[Categories]],Table1[Categories],Table1[Types])</f>
        <v>Expense</v>
      </c>
    </row>
    <row r="48" spans="2:7" x14ac:dyDescent="0.25">
      <c r="B48" s="3">
        <v>44986</v>
      </c>
      <c r="C48" t="str">
        <f>TEXT(Raw_transaction[[#This Row],[Date]],"mmm")</f>
        <v>Mar</v>
      </c>
      <c r="D48" s="5">
        <v>484.14</v>
      </c>
      <c r="E48" t="s">
        <v>7</v>
      </c>
      <c r="F48" t="str">
        <f>_xlfn.XLOOKUP(Raw_transaction[[#This Row],[Categories]],Table1[Categories],Table1[Types])</f>
        <v>Income</v>
      </c>
      <c r="G48" t="s">
        <v>28</v>
      </c>
    </row>
    <row r="49" spans="2:7" x14ac:dyDescent="0.25">
      <c r="B49" s="3">
        <v>44986</v>
      </c>
      <c r="C49" t="str">
        <f>TEXT(Raw_transaction[[#This Row],[Date]],"mmm")</f>
        <v>Mar</v>
      </c>
      <c r="D49" s="5">
        <f>24.87+19.73</f>
        <v>44.6</v>
      </c>
      <c r="E49" t="s">
        <v>23</v>
      </c>
      <c r="F49" t="str">
        <f>_xlfn.XLOOKUP(Raw_transaction[[#This Row],[Categories]],Table1[Categories],Table1[Types])</f>
        <v>Expense</v>
      </c>
    </row>
    <row r="50" spans="2:7" x14ac:dyDescent="0.25">
      <c r="B50" s="3">
        <v>44987</v>
      </c>
      <c r="C50" t="str">
        <f>TEXT(Raw_transaction[[#This Row],[Date]],"mmm")</f>
        <v>Mar</v>
      </c>
      <c r="D50" s="5">
        <v>2000</v>
      </c>
      <c r="E50" t="s">
        <v>14</v>
      </c>
      <c r="F50" t="str">
        <f>_xlfn.XLOOKUP(Raw_transaction[[#This Row],[Categories]],Table1[Categories],Table1[Types])</f>
        <v>Expense</v>
      </c>
      <c r="G50" t="s">
        <v>29</v>
      </c>
    </row>
    <row r="51" spans="2:7" x14ac:dyDescent="0.25">
      <c r="B51" s="3">
        <v>44987</v>
      </c>
      <c r="C51" t="str">
        <f>TEXT(Raw_transaction[[#This Row],[Date]],"mmm")</f>
        <v>Mar</v>
      </c>
      <c r="D51" s="5">
        <v>5.44</v>
      </c>
      <c r="E51" t="s">
        <v>14</v>
      </c>
      <c r="F51" t="str">
        <f>_xlfn.XLOOKUP(Raw_transaction[[#This Row],[Categories]],Table1[Categories],Table1[Types])</f>
        <v>Expense</v>
      </c>
      <c r="G51" t="s">
        <v>30</v>
      </c>
    </row>
    <row r="52" spans="2:7" x14ac:dyDescent="0.25">
      <c r="B52" s="3">
        <v>44988</v>
      </c>
      <c r="C52" t="str">
        <f>TEXT(Raw_transaction[[#This Row],[Date]],"mmm")</f>
        <v>Mar</v>
      </c>
      <c r="D52" s="5">
        <f>11.95+3.43+12.99</f>
        <v>28.369999999999997</v>
      </c>
      <c r="E52" t="s">
        <v>24</v>
      </c>
      <c r="F52" t="str">
        <f>_xlfn.XLOOKUP(Raw_transaction[[#This Row],[Categories]],Table1[Categories],Table1[Types])</f>
        <v>Expense</v>
      </c>
    </row>
    <row r="53" spans="2:7" x14ac:dyDescent="0.25">
      <c r="B53" s="3">
        <v>44988</v>
      </c>
      <c r="C53" t="str">
        <f>TEXT(Raw_transaction[[#This Row],[Date]],"mmm")</f>
        <v>Mar</v>
      </c>
      <c r="D53" s="5">
        <v>2.74</v>
      </c>
      <c r="E53" t="s">
        <v>14</v>
      </c>
      <c r="F53" t="str">
        <f>_xlfn.XLOOKUP(Raw_transaction[[#This Row],[Categories]],Table1[Categories],Table1[Types])</f>
        <v>Expense</v>
      </c>
    </row>
    <row r="54" spans="2:7" x14ac:dyDescent="0.25">
      <c r="B54" s="3">
        <v>44988</v>
      </c>
      <c r="C54" t="str">
        <f>TEXT(Raw_transaction[[#This Row],[Date]],"mmm")</f>
        <v>Mar</v>
      </c>
      <c r="D54" s="5">
        <v>29.84</v>
      </c>
      <c r="E54" t="s">
        <v>12</v>
      </c>
      <c r="F54" t="str">
        <f>_xlfn.XLOOKUP(Raw_transaction[[#This Row],[Categories]],Table1[Categories],Table1[Types])</f>
        <v>Expense</v>
      </c>
    </row>
    <row r="55" spans="2:7" x14ac:dyDescent="0.25">
      <c r="B55" s="3">
        <v>44989</v>
      </c>
      <c r="C55" t="str">
        <f>TEXT(Raw_transaction[[#This Row],[Date]],"mmm")</f>
        <v>Mar</v>
      </c>
      <c r="D55" s="5">
        <f>86.83+17.28</f>
        <v>104.11</v>
      </c>
      <c r="E55" t="s">
        <v>12</v>
      </c>
      <c r="F55" t="str">
        <f>_xlfn.XLOOKUP(Raw_transaction[[#This Row],[Categories]],Table1[Categories],Table1[Types])</f>
        <v>Expense</v>
      </c>
    </row>
    <row r="56" spans="2:7" x14ac:dyDescent="0.25">
      <c r="B56" s="3">
        <v>44990</v>
      </c>
      <c r="C56" t="str">
        <f>TEXT(Raw_transaction[[#This Row],[Date]],"mmm")</f>
        <v>Mar</v>
      </c>
      <c r="D56" s="5">
        <v>11.9</v>
      </c>
      <c r="E56" t="s">
        <v>24</v>
      </c>
      <c r="F56" t="str">
        <f>_xlfn.XLOOKUP(Raw_transaction[[#This Row],[Categories]],Table1[Categories],Table1[Types])</f>
        <v>Expense</v>
      </c>
    </row>
    <row r="57" spans="2:7" x14ac:dyDescent="0.25">
      <c r="B57" s="3">
        <v>44992</v>
      </c>
      <c r="C57" t="str">
        <f>TEXT(Raw_transaction[[#This Row],[Date]],"mmm")</f>
        <v>Mar</v>
      </c>
      <c r="D57" s="5">
        <v>30.38</v>
      </c>
      <c r="E57" t="s">
        <v>25</v>
      </c>
      <c r="F57" t="str">
        <f>_xlfn.XLOOKUP(Raw_transaction[[#This Row],[Categories]],Table1[Categories],Table1[Types])</f>
        <v>Expense</v>
      </c>
    </row>
    <row r="58" spans="2:7" x14ac:dyDescent="0.25">
      <c r="B58" s="3">
        <v>44993</v>
      </c>
      <c r="C58" t="str">
        <f>TEXT(Raw_transaction[[#This Row],[Date]],"mmm")</f>
        <v>Mar</v>
      </c>
      <c r="D58" s="5">
        <v>12.95</v>
      </c>
      <c r="E58" t="s">
        <v>26</v>
      </c>
      <c r="F58" t="str">
        <f>_xlfn.XLOOKUP(Raw_transaction[[#This Row],[Categories]],Table1[Categories],Table1[Types])</f>
        <v>Expense</v>
      </c>
    </row>
    <row r="59" spans="2:7" x14ac:dyDescent="0.25">
      <c r="B59" s="3">
        <v>44995</v>
      </c>
      <c r="C59" t="str">
        <f>TEXT(Raw_transaction[[#This Row],[Date]],"mmm")</f>
        <v>Mar</v>
      </c>
      <c r="D59" s="5">
        <v>3510</v>
      </c>
      <c r="E59" t="s">
        <v>6</v>
      </c>
      <c r="F59" t="str">
        <f>_xlfn.XLOOKUP(Raw_transaction[[#This Row],[Categories]],Table1[Categories],Table1[Types])</f>
        <v>Income</v>
      </c>
    </row>
    <row r="60" spans="2:7" x14ac:dyDescent="0.25">
      <c r="B60" s="3">
        <v>44995</v>
      </c>
      <c r="C60" t="str">
        <f>TEXT(Raw_transaction[[#This Row],[Date]],"mmm")</f>
        <v>Mar</v>
      </c>
      <c r="D60" s="5">
        <v>43.15</v>
      </c>
      <c r="E60" t="s">
        <v>12</v>
      </c>
      <c r="F60" t="str">
        <f>_xlfn.XLOOKUP(Raw_transaction[[#This Row],[Categories]],Table1[Categories],Table1[Types])</f>
        <v>Expense</v>
      </c>
    </row>
    <row r="61" spans="2:7" x14ac:dyDescent="0.25">
      <c r="B61" s="3">
        <v>44996</v>
      </c>
      <c r="C61" t="str">
        <f>TEXT(Raw_transaction[[#This Row],[Date]],"mmm")</f>
        <v>Mar</v>
      </c>
      <c r="D61" s="5">
        <v>7.48</v>
      </c>
      <c r="E61" t="s">
        <v>23</v>
      </c>
      <c r="F61" t="str">
        <f>_xlfn.XLOOKUP(Raw_transaction[[#This Row],[Categories]],Table1[Categories],Table1[Types])</f>
        <v>Expense</v>
      </c>
    </row>
    <row r="62" spans="2:7" x14ac:dyDescent="0.25">
      <c r="B62" s="3">
        <v>44997</v>
      </c>
      <c r="C62" t="str">
        <f>TEXT(Raw_transaction[[#This Row],[Date]],"mmm")</f>
        <v>Mar</v>
      </c>
      <c r="D62" s="5">
        <v>10.06</v>
      </c>
      <c r="E62" t="s">
        <v>12</v>
      </c>
      <c r="F62" t="str">
        <f>_xlfn.XLOOKUP(Raw_transaction[[#This Row],[Categories]],Table1[Categories],Table1[Types])</f>
        <v>Expense</v>
      </c>
    </row>
    <row r="63" spans="2:7" x14ac:dyDescent="0.25">
      <c r="B63" s="3">
        <v>44999</v>
      </c>
      <c r="C63" t="str">
        <f>TEXT(Raw_transaction[[#This Row],[Date]],"mmm")</f>
        <v>Mar</v>
      </c>
      <c r="D63" s="5">
        <v>20</v>
      </c>
      <c r="E63" t="s">
        <v>14</v>
      </c>
      <c r="F63" t="str">
        <f>_xlfn.XLOOKUP(Raw_transaction[[#This Row],[Categories]],Table1[Categories],Table1[Types])</f>
        <v>Expense</v>
      </c>
      <c r="G63" t="s">
        <v>32</v>
      </c>
    </row>
    <row r="64" spans="2:7" x14ac:dyDescent="0.25">
      <c r="B64" s="3">
        <v>45000</v>
      </c>
      <c r="C64" t="str">
        <f>TEXT(Raw_transaction[[#This Row],[Date]],"mmm")</f>
        <v>Mar</v>
      </c>
      <c r="D64" s="5">
        <v>16.690000000000001</v>
      </c>
      <c r="E64" t="s">
        <v>23</v>
      </c>
      <c r="F64" t="str">
        <f>_xlfn.XLOOKUP(Raw_transaction[[#This Row],[Categories]],Table1[Categories],Table1[Types])</f>
        <v>Expense</v>
      </c>
    </row>
    <row r="65" spans="2:7" x14ac:dyDescent="0.25">
      <c r="B65" s="3">
        <v>45000</v>
      </c>
      <c r="C65" t="str">
        <f>TEXT(Raw_transaction[[#This Row],[Date]],"mmm")</f>
        <v>Mar</v>
      </c>
      <c r="D65" s="5">
        <v>1000</v>
      </c>
      <c r="E65" t="s">
        <v>14</v>
      </c>
      <c r="F65" t="str">
        <f>_xlfn.XLOOKUP(Raw_transaction[[#This Row],[Categories]],Table1[Categories],Table1[Types])</f>
        <v>Expense</v>
      </c>
      <c r="G65" t="s">
        <v>29</v>
      </c>
    </row>
    <row r="66" spans="2:7" x14ac:dyDescent="0.25">
      <c r="B66" s="3">
        <v>45002</v>
      </c>
      <c r="C66" t="str">
        <f>TEXT(Raw_transaction[[#This Row],[Date]],"mmm")</f>
        <v>Mar</v>
      </c>
      <c r="D66" s="5">
        <v>94.37</v>
      </c>
      <c r="E66" t="s">
        <v>26</v>
      </c>
      <c r="F66" t="str">
        <f>_xlfn.XLOOKUP(Raw_transaction[[#This Row],[Categories]],Table1[Categories],Table1[Types])</f>
        <v>Expense</v>
      </c>
    </row>
    <row r="67" spans="2:7" x14ac:dyDescent="0.25">
      <c r="B67" s="3">
        <v>45004</v>
      </c>
      <c r="C67" t="str">
        <f>TEXT(Raw_transaction[[#This Row],[Date]],"mmm")</f>
        <v>Mar</v>
      </c>
      <c r="D67" s="5">
        <v>7.43</v>
      </c>
      <c r="E67" t="s">
        <v>23</v>
      </c>
      <c r="F67" t="str">
        <f>_xlfn.XLOOKUP(Raw_transaction[[#This Row],[Categories]],Table1[Categories],Table1[Types])</f>
        <v>Expense</v>
      </c>
    </row>
    <row r="68" spans="2:7" x14ac:dyDescent="0.25">
      <c r="B68" s="3">
        <v>45005</v>
      </c>
      <c r="C68" t="str">
        <f>TEXT(Raw_transaction[[#This Row],[Date]],"mmm")</f>
        <v>Mar</v>
      </c>
      <c r="D68" s="5">
        <v>734.5</v>
      </c>
      <c r="E68" t="s">
        <v>18</v>
      </c>
      <c r="F68" t="str">
        <f>_xlfn.XLOOKUP(Raw_transaction[[#This Row],[Categories]],Table1[Categories],Table1[Types])</f>
        <v>Expense</v>
      </c>
    </row>
    <row r="69" spans="2:7" x14ac:dyDescent="0.25">
      <c r="B69" s="3">
        <v>45005</v>
      </c>
      <c r="C69" t="str">
        <f>TEXT(Raw_transaction[[#This Row],[Date]],"mmm")</f>
        <v>Mar</v>
      </c>
      <c r="D69" s="5">
        <v>18.45</v>
      </c>
      <c r="E69" t="s">
        <v>23</v>
      </c>
      <c r="F69" t="str">
        <f>_xlfn.XLOOKUP(Raw_transaction[[#This Row],[Categories]],Table1[Categories],Table1[Types])</f>
        <v>Expense</v>
      </c>
    </row>
    <row r="70" spans="2:7" x14ac:dyDescent="0.25">
      <c r="B70" s="3">
        <v>45005</v>
      </c>
      <c r="C70" t="str">
        <f>TEXT(Raw_transaction[[#This Row],[Date]],"mmm")</f>
        <v>Mar</v>
      </c>
      <c r="D70" s="5">
        <v>47.51</v>
      </c>
      <c r="E70" t="s">
        <v>12</v>
      </c>
      <c r="F70" t="str">
        <f>_xlfn.XLOOKUP(Raw_transaction[[#This Row],[Categories]],Table1[Categories],Table1[Types])</f>
        <v>Expense</v>
      </c>
    </row>
    <row r="71" spans="2:7" x14ac:dyDescent="0.25">
      <c r="B71" s="3">
        <v>45006</v>
      </c>
      <c r="C71" t="str">
        <f>TEXT(Raw_transaction[[#This Row],[Date]],"mmm")</f>
        <v>Mar</v>
      </c>
      <c r="D71" s="5">
        <v>99.19</v>
      </c>
      <c r="E71" t="s">
        <v>5</v>
      </c>
      <c r="F71" t="str">
        <f>_xlfn.XLOOKUP(Raw_transaction[[#This Row],[Categories]],Table1[Categories],Table1[Types])</f>
        <v>Expense</v>
      </c>
    </row>
    <row r="72" spans="2:7" x14ac:dyDescent="0.25">
      <c r="B72" s="3">
        <v>45008</v>
      </c>
      <c r="C72" t="str">
        <f>TEXT(Raw_transaction[[#This Row],[Date]],"mmm")</f>
        <v>Mar</v>
      </c>
      <c r="D72" s="5">
        <v>11.45</v>
      </c>
      <c r="E72" t="s">
        <v>12</v>
      </c>
      <c r="F72" t="str">
        <f>_xlfn.XLOOKUP(Raw_transaction[[#This Row],[Categories]],Table1[Categories],Table1[Types])</f>
        <v>Expense</v>
      </c>
    </row>
    <row r="73" spans="2:7" x14ac:dyDescent="0.25">
      <c r="B73" s="3">
        <v>45008</v>
      </c>
      <c r="C73" t="str">
        <f>TEXT(Raw_transaction[[#This Row],[Date]],"mmm")</f>
        <v>Mar</v>
      </c>
      <c r="D73" s="5">
        <v>5.46</v>
      </c>
      <c r="E73" t="s">
        <v>23</v>
      </c>
      <c r="F73" t="str">
        <f>_xlfn.XLOOKUP(Raw_transaction[[#This Row],[Categories]],Table1[Categories],Table1[Types])</f>
        <v>Expense</v>
      </c>
    </row>
    <row r="74" spans="2:7" x14ac:dyDescent="0.25">
      <c r="B74" s="3">
        <v>45009</v>
      </c>
      <c r="C74" t="str">
        <f>TEXT(Raw_transaction[[#This Row],[Date]],"mmm")</f>
        <v>Mar</v>
      </c>
      <c r="D74" s="5">
        <v>2808</v>
      </c>
      <c r="E74" t="s">
        <v>6</v>
      </c>
      <c r="F74" t="str">
        <f>_xlfn.XLOOKUP(Raw_transaction[[#This Row],[Categories]],Table1[Categories],Table1[Types])</f>
        <v>Income</v>
      </c>
    </row>
    <row r="75" spans="2:7" x14ac:dyDescent="0.25">
      <c r="B75" s="3">
        <v>45010</v>
      </c>
      <c r="C75" t="str">
        <f>TEXT(Raw_transaction[[#This Row],[Date]],"mmm")</f>
        <v>Mar</v>
      </c>
      <c r="D75" s="5">
        <v>5.45</v>
      </c>
      <c r="E75" t="s">
        <v>23</v>
      </c>
      <c r="F75" t="str">
        <f>_xlfn.XLOOKUP(Raw_transaction[[#This Row],[Categories]],Table1[Categories],Table1[Types])</f>
        <v>Expense</v>
      </c>
    </row>
    <row r="76" spans="2:7" x14ac:dyDescent="0.25">
      <c r="B76" s="3">
        <v>45011</v>
      </c>
      <c r="C76" t="str">
        <f>TEXT(Raw_transaction[[#This Row],[Date]],"mmm")</f>
        <v>Mar</v>
      </c>
      <c r="D76" s="5">
        <f>57.8+110</f>
        <v>167.8</v>
      </c>
      <c r="E76" t="s">
        <v>26</v>
      </c>
      <c r="F76" t="str">
        <f>_xlfn.XLOOKUP(Raw_transaction[[#This Row],[Categories]],Table1[Categories],Table1[Types])</f>
        <v>Expense</v>
      </c>
    </row>
    <row r="77" spans="2:7" x14ac:dyDescent="0.25">
      <c r="B77" s="3">
        <v>45012</v>
      </c>
      <c r="C77" t="str">
        <f>TEXT(Raw_transaction[[#This Row],[Date]],"mmm")</f>
        <v>Mar</v>
      </c>
      <c r="D77" s="5">
        <v>7</v>
      </c>
      <c r="E77" t="s">
        <v>23</v>
      </c>
      <c r="F77" t="str">
        <f>_xlfn.XLOOKUP(Raw_transaction[[#This Row],[Categories]],Table1[Categories],Table1[Types])</f>
        <v>Expense</v>
      </c>
    </row>
    <row r="78" spans="2:7" x14ac:dyDescent="0.25">
      <c r="B78" s="3">
        <v>45012</v>
      </c>
      <c r="C78" t="str">
        <f>TEXT(Raw_transaction[[#This Row],[Date]],"mmm")</f>
        <v>Mar</v>
      </c>
      <c r="D78" s="5">
        <v>26</v>
      </c>
      <c r="E78" t="s">
        <v>14</v>
      </c>
      <c r="F78" t="str">
        <f>_xlfn.XLOOKUP(Raw_transaction[[#This Row],[Categories]],Table1[Categories],Table1[Types])</f>
        <v>Expense</v>
      </c>
      <c r="G78" t="s">
        <v>33</v>
      </c>
    </row>
    <row r="79" spans="2:7" x14ac:dyDescent="0.25">
      <c r="B79" s="3">
        <v>45015</v>
      </c>
      <c r="C79" t="str">
        <f>TEXT(Raw_transaction[[#This Row],[Date]],"mmm")</f>
        <v>Mar</v>
      </c>
      <c r="D79" s="5">
        <v>16</v>
      </c>
      <c r="E79" t="s">
        <v>23</v>
      </c>
      <c r="F79" t="str">
        <f>_xlfn.XLOOKUP(Raw_transaction[[#This Row],[Categories]],Table1[Categories],Table1[Types])</f>
        <v>Expense</v>
      </c>
    </row>
    <row r="80" spans="2:7" x14ac:dyDescent="0.25">
      <c r="B80" s="3">
        <v>45015</v>
      </c>
      <c r="C80" t="str">
        <f>TEXT(Raw_transaction[[#This Row],[Date]],"mmm")</f>
        <v>Mar</v>
      </c>
      <c r="D80" s="5">
        <f>15.98+35.3</f>
        <v>51.28</v>
      </c>
      <c r="E80" t="s">
        <v>24</v>
      </c>
      <c r="F80" t="str">
        <f>_xlfn.XLOOKUP(Raw_transaction[[#This Row],[Categories]],Table1[Categories],Table1[Types])</f>
        <v>Expense</v>
      </c>
    </row>
    <row r="81" spans="2:7" x14ac:dyDescent="0.25">
      <c r="B81" s="3">
        <v>45016</v>
      </c>
      <c r="C81" t="str">
        <f>TEXT(Raw_transaction[[#This Row],[Date]],"mmm")</f>
        <v>Mar</v>
      </c>
      <c r="D81" s="5">
        <v>42.46</v>
      </c>
      <c r="E81" t="s">
        <v>12</v>
      </c>
      <c r="F81" t="str">
        <f>_xlfn.XLOOKUP(Raw_transaction[[#This Row],[Categories]],Table1[Categories],Table1[Types])</f>
        <v>Expense</v>
      </c>
    </row>
    <row r="82" spans="2:7" x14ac:dyDescent="0.25">
      <c r="B82" s="3">
        <v>45016</v>
      </c>
      <c r="C82" t="str">
        <f>TEXT(Raw_transaction[[#This Row],[Date]],"mmm")</f>
        <v>Mar</v>
      </c>
      <c r="D82" s="5">
        <v>13.5</v>
      </c>
      <c r="E82" t="s">
        <v>23</v>
      </c>
      <c r="F82" t="str">
        <f>_xlfn.XLOOKUP(Raw_transaction[[#This Row],[Categories]],Table1[Categories],Table1[Types])</f>
        <v>Expense</v>
      </c>
    </row>
    <row r="83" spans="2:7" x14ac:dyDescent="0.25">
      <c r="B83" s="3">
        <v>45018</v>
      </c>
      <c r="C83" t="str">
        <f>TEXT(Raw_transaction[[#This Row],[Date]],"mmm")</f>
        <v>Apr</v>
      </c>
      <c r="D83" s="5">
        <v>5</v>
      </c>
      <c r="E83" t="s">
        <v>23</v>
      </c>
      <c r="F83" t="str">
        <f>_xlfn.XLOOKUP(Raw_transaction[[#This Row],[Categories]],Table1[Categories],Table1[Types])</f>
        <v>Expense</v>
      </c>
    </row>
    <row r="84" spans="2:7" x14ac:dyDescent="0.25">
      <c r="B84" s="3">
        <v>45018</v>
      </c>
      <c r="C84" t="str">
        <f>TEXT(Raw_transaction[[#This Row],[Date]],"mmm")</f>
        <v>Apr</v>
      </c>
      <c r="D84" s="5">
        <v>4.01</v>
      </c>
      <c r="E84" t="s">
        <v>12</v>
      </c>
      <c r="F84" t="str">
        <f>_xlfn.XLOOKUP(Raw_transaction[[#This Row],[Categories]],Table1[Categories],Table1[Types])</f>
        <v>Expense</v>
      </c>
    </row>
    <row r="85" spans="2:7" x14ac:dyDescent="0.25">
      <c r="B85" s="3">
        <v>45018</v>
      </c>
      <c r="C85" t="str">
        <f>TEXT(Raw_transaction[[#This Row],[Date]],"mmm")</f>
        <v>Apr</v>
      </c>
      <c r="D85" s="5">
        <v>477.8</v>
      </c>
      <c r="E85" t="s">
        <v>24</v>
      </c>
      <c r="F85" t="str">
        <f>_xlfn.XLOOKUP(Raw_transaction[[#This Row],[Categories]],Table1[Categories],Table1[Types])</f>
        <v>Expense</v>
      </c>
    </row>
    <row r="86" spans="2:7" x14ac:dyDescent="0.25">
      <c r="B86" s="3">
        <v>45019</v>
      </c>
      <c r="C86" t="str">
        <f>TEXT(Raw_transaction[[#This Row],[Date]],"mmm")</f>
        <v>Apr</v>
      </c>
      <c r="D86" s="5">
        <v>149</v>
      </c>
      <c r="E86" t="s">
        <v>23</v>
      </c>
      <c r="F86" t="str">
        <f>_xlfn.XLOOKUP(Raw_transaction[[#This Row],[Categories]],Table1[Categories],Table1[Types])</f>
        <v>Expense</v>
      </c>
    </row>
    <row r="87" spans="2:7" x14ac:dyDescent="0.25">
      <c r="B87" s="3">
        <v>45019</v>
      </c>
      <c r="C87" t="str">
        <f>TEXT(Raw_transaction[[#This Row],[Date]],"mmm")</f>
        <v>Apr</v>
      </c>
      <c r="D87" s="5">
        <v>125</v>
      </c>
      <c r="E87" t="s">
        <v>26</v>
      </c>
      <c r="F87" t="str">
        <f>_xlfn.XLOOKUP(Raw_transaction[[#This Row],[Categories]],Table1[Categories],Table1[Types])</f>
        <v>Expense</v>
      </c>
    </row>
    <row r="88" spans="2:7" x14ac:dyDescent="0.25">
      <c r="B88" s="3">
        <v>45020</v>
      </c>
      <c r="C88" t="str">
        <f>TEXT(Raw_transaction[[#This Row],[Date]],"mmm")</f>
        <v>Apr</v>
      </c>
      <c r="D88" s="5">
        <v>2422</v>
      </c>
      <c r="E88" t="s">
        <v>10</v>
      </c>
      <c r="F88" t="str">
        <f>_xlfn.XLOOKUP(Raw_transaction[[#This Row],[Categories]],Table1[Categories],Table1[Types])</f>
        <v>Expense</v>
      </c>
    </row>
    <row r="89" spans="2:7" x14ac:dyDescent="0.25">
      <c r="B89" s="3">
        <v>45022</v>
      </c>
      <c r="C89" t="str">
        <f>TEXT(Raw_transaction[[#This Row],[Date]],"mmm")</f>
        <v>Apr</v>
      </c>
      <c r="D89" s="5">
        <v>45.81</v>
      </c>
      <c r="E89" t="s">
        <v>17</v>
      </c>
      <c r="F89" t="str">
        <f>_xlfn.XLOOKUP(Raw_transaction[[#This Row],[Categories]],Table1[Categories],Table1[Types])</f>
        <v>Income</v>
      </c>
      <c r="G89" t="s">
        <v>31</v>
      </c>
    </row>
    <row r="90" spans="2:7" x14ac:dyDescent="0.25">
      <c r="B90" s="3">
        <v>45023</v>
      </c>
      <c r="C90" t="str">
        <f>TEXT(Raw_transaction[[#This Row],[Date]],"mmm")</f>
        <v>Apr</v>
      </c>
      <c r="D90" s="5">
        <v>2808.05</v>
      </c>
      <c r="E90" t="s">
        <v>6</v>
      </c>
      <c r="F90" t="str">
        <f>_xlfn.XLOOKUP(Raw_transaction[[#This Row],[Categories]],Table1[Categories],Table1[Types])</f>
        <v>Income</v>
      </c>
    </row>
    <row r="91" spans="2:7" x14ac:dyDescent="0.25">
      <c r="B91" s="3">
        <v>45023</v>
      </c>
      <c r="C91" t="str">
        <f>TEXT(Raw_transaction[[#This Row],[Date]],"mmm")</f>
        <v>Apr</v>
      </c>
      <c r="D91" s="5">
        <v>7.49</v>
      </c>
      <c r="E91" t="s">
        <v>25</v>
      </c>
      <c r="F91" t="str">
        <f>_xlfn.XLOOKUP(Raw_transaction[[#This Row],[Categories]],Table1[Categories],Table1[Types])</f>
        <v>Expense</v>
      </c>
    </row>
    <row r="92" spans="2:7" x14ac:dyDescent="0.25">
      <c r="B92" s="3">
        <v>45024</v>
      </c>
      <c r="C92" t="str">
        <f>TEXT(Raw_transaction[[#This Row],[Date]],"mmm")</f>
        <v>Apr</v>
      </c>
      <c r="D92" s="5">
        <v>53.6</v>
      </c>
      <c r="E92" t="s">
        <v>12</v>
      </c>
      <c r="F92" t="str">
        <f>_xlfn.XLOOKUP(Raw_transaction[[#This Row],[Categories]],Table1[Categories],Table1[Types])</f>
        <v>Expense</v>
      </c>
    </row>
    <row r="93" spans="2:7" x14ac:dyDescent="0.25">
      <c r="B93" s="3">
        <v>45025</v>
      </c>
      <c r="C93" t="str">
        <f>TEXT(Raw_transaction[[#This Row],[Date]],"mmm")</f>
        <v>Apr</v>
      </c>
      <c r="D93" s="5">
        <v>12.95</v>
      </c>
      <c r="E93" t="s">
        <v>26</v>
      </c>
      <c r="F93" t="str">
        <f>_xlfn.XLOOKUP(Raw_transaction[[#This Row],[Categories]],Table1[Categories],Table1[Types])</f>
        <v>Expense</v>
      </c>
    </row>
    <row r="94" spans="2:7" x14ac:dyDescent="0.25">
      <c r="B94" s="3">
        <v>45026</v>
      </c>
      <c r="C94" t="str">
        <f>TEXT(Raw_transaction[[#This Row],[Date]],"mmm")</f>
        <v>Apr</v>
      </c>
      <c r="D94" s="5">
        <v>1997</v>
      </c>
      <c r="E94" t="s">
        <v>14</v>
      </c>
      <c r="F94" t="str">
        <f>_xlfn.XLOOKUP(Raw_transaction[[#This Row],[Categories]],Table1[Categories],Table1[Types])</f>
        <v>Expense</v>
      </c>
      <c r="G94" t="s">
        <v>29</v>
      </c>
    </row>
    <row r="95" spans="2:7" x14ac:dyDescent="0.25">
      <c r="B95" s="3">
        <v>45029</v>
      </c>
      <c r="C95" t="str">
        <f>TEXT(Raw_transaction[[#This Row],[Date]],"mmm")</f>
        <v>Apr</v>
      </c>
      <c r="D95" s="5">
        <v>1000</v>
      </c>
      <c r="E95" t="s">
        <v>14</v>
      </c>
      <c r="F95" t="str">
        <f>_xlfn.XLOOKUP(Raw_transaction[[#This Row],[Categories]],Table1[Categories],Table1[Types])</f>
        <v>Expense</v>
      </c>
      <c r="G95" t="s">
        <v>29</v>
      </c>
    </row>
    <row r="96" spans="2:7" x14ac:dyDescent="0.25">
      <c r="B96" s="3">
        <v>45029</v>
      </c>
      <c r="C96" t="str">
        <f>TEXT(Raw_transaction[[#This Row],[Date]],"mmm")</f>
        <v>Apr</v>
      </c>
      <c r="D96" s="5">
        <f>41.83+5.95</f>
        <v>47.78</v>
      </c>
      <c r="E96" t="s">
        <v>23</v>
      </c>
      <c r="F96" t="str">
        <f>_xlfn.XLOOKUP(Raw_transaction[[#This Row],[Categories]],Table1[Categories],Table1[Types])</f>
        <v>Expense</v>
      </c>
    </row>
    <row r="97" spans="2:7" x14ac:dyDescent="0.25">
      <c r="B97" s="3">
        <v>45029</v>
      </c>
      <c r="C97" t="str">
        <f>TEXT(Raw_transaction[[#This Row],[Date]],"mmm")</f>
        <v>Apr</v>
      </c>
      <c r="D97" s="5">
        <v>7.34</v>
      </c>
      <c r="E97" t="s">
        <v>24</v>
      </c>
      <c r="F97" t="str">
        <f>_xlfn.XLOOKUP(Raw_transaction[[#This Row],[Categories]],Table1[Categories],Table1[Types])</f>
        <v>Expense</v>
      </c>
    </row>
    <row r="98" spans="2:7" x14ac:dyDescent="0.25">
      <c r="B98" s="3">
        <v>45029</v>
      </c>
      <c r="C98" t="str">
        <f>TEXT(Raw_transaction[[#This Row],[Date]],"mmm")</f>
        <v>Apr</v>
      </c>
      <c r="D98" s="5">
        <v>1085</v>
      </c>
      <c r="E98" t="s">
        <v>25</v>
      </c>
      <c r="F98" t="str">
        <f>_xlfn.XLOOKUP(Raw_transaction[[#This Row],[Categories]],Table1[Categories],Table1[Types])</f>
        <v>Expense</v>
      </c>
    </row>
    <row r="99" spans="2:7" x14ac:dyDescent="0.25">
      <c r="B99" s="3">
        <v>45030</v>
      </c>
      <c r="C99" t="str">
        <f>TEXT(Raw_transaction[[#This Row],[Date]],"mmm")</f>
        <v>Apr</v>
      </c>
      <c r="D99" s="5">
        <f>64.39+ 20</f>
        <v>84.39</v>
      </c>
      <c r="E99" t="s">
        <v>26</v>
      </c>
      <c r="F99" t="str">
        <f>_xlfn.XLOOKUP(Raw_transaction[[#This Row],[Categories]],Table1[Categories],Table1[Types])</f>
        <v>Expense</v>
      </c>
    </row>
    <row r="100" spans="2:7" x14ac:dyDescent="0.25">
      <c r="B100" s="3">
        <v>45031</v>
      </c>
      <c r="C100" t="str">
        <f>TEXT(Raw_transaction[[#This Row],[Date]],"mmm")</f>
        <v>Apr</v>
      </c>
      <c r="D100" s="5">
        <v>36.81</v>
      </c>
      <c r="E100" t="s">
        <v>12</v>
      </c>
      <c r="F100" t="str">
        <f>_xlfn.XLOOKUP(Raw_transaction[[#This Row],[Categories]],Table1[Categories],Table1[Types])</f>
        <v>Expense</v>
      </c>
    </row>
    <row r="101" spans="2:7" x14ac:dyDescent="0.25">
      <c r="B101" s="3">
        <v>45034</v>
      </c>
      <c r="C101" t="str">
        <f>TEXT(Raw_transaction[[#This Row],[Date]],"mmm")</f>
        <v>Apr</v>
      </c>
      <c r="D101" s="5">
        <v>4.3099999999999996</v>
      </c>
      <c r="E101" t="s">
        <v>13</v>
      </c>
      <c r="F101" t="str">
        <f>_xlfn.XLOOKUP(Raw_transaction[[#This Row],[Categories]],Table1[Categories],Table1[Types])</f>
        <v>Expense</v>
      </c>
    </row>
    <row r="102" spans="2:7" x14ac:dyDescent="0.25">
      <c r="B102" s="3">
        <v>45035</v>
      </c>
      <c r="C102" t="str">
        <f>TEXT(Raw_transaction[[#This Row],[Date]],"mmm")</f>
        <v>Apr</v>
      </c>
      <c r="D102" s="5">
        <v>90.07</v>
      </c>
      <c r="E102" t="s">
        <v>5</v>
      </c>
      <c r="F102" t="str">
        <f>_xlfn.XLOOKUP(Raw_transaction[[#This Row],[Categories]],Table1[Categories],Table1[Types])</f>
        <v>Expense</v>
      </c>
    </row>
    <row r="103" spans="2:7" x14ac:dyDescent="0.25">
      <c r="B103" s="3">
        <v>45035</v>
      </c>
      <c r="C103" t="str">
        <f>TEXT(Raw_transaction[[#This Row],[Date]],"mmm")</f>
        <v>Apr</v>
      </c>
      <c r="D103" s="5">
        <v>12.96</v>
      </c>
      <c r="E103" t="s">
        <v>24</v>
      </c>
      <c r="F103" t="str">
        <f>_xlfn.XLOOKUP(Raw_transaction[[#This Row],[Categories]],Table1[Categories],Table1[Types])</f>
        <v>Expense</v>
      </c>
    </row>
    <row r="104" spans="2:7" x14ac:dyDescent="0.25">
      <c r="B104" s="3">
        <v>45037</v>
      </c>
      <c r="C104" t="str">
        <f>TEXT(Raw_transaction[[#This Row],[Date]],"mmm")</f>
        <v>Apr</v>
      </c>
      <c r="D104" s="5">
        <v>2801.44</v>
      </c>
      <c r="E104" t="s">
        <v>6</v>
      </c>
      <c r="F104" t="str">
        <f>_xlfn.XLOOKUP(Raw_transaction[[#This Row],[Categories]],Table1[Categories],Table1[Types])</f>
        <v>Income</v>
      </c>
    </row>
    <row r="105" spans="2:7" x14ac:dyDescent="0.25">
      <c r="B105" s="3">
        <v>45037</v>
      </c>
      <c r="C105" t="str">
        <f>TEXT(Raw_transaction[[#This Row],[Date]],"mmm")</f>
        <v>Apr</v>
      </c>
      <c r="D105" s="5">
        <v>16.46</v>
      </c>
      <c r="E105" t="s">
        <v>12</v>
      </c>
      <c r="F105" t="str">
        <f>_xlfn.XLOOKUP(Raw_transaction[[#This Row],[Categories]],Table1[Categories],Table1[Types])</f>
        <v>Expense</v>
      </c>
    </row>
    <row r="106" spans="2:7" x14ac:dyDescent="0.25">
      <c r="B106" s="3">
        <v>45037</v>
      </c>
      <c r="C106" t="str">
        <f>TEXT(Raw_transaction[[#This Row],[Date]],"mmm")</f>
        <v>Apr</v>
      </c>
      <c r="D106" s="5">
        <v>442.37</v>
      </c>
      <c r="E106" t="s">
        <v>18</v>
      </c>
      <c r="F106" t="str">
        <f>_xlfn.XLOOKUP(Raw_transaction[[#This Row],[Categories]],Table1[Categories],Table1[Types])</f>
        <v>Expense</v>
      </c>
    </row>
    <row r="107" spans="2:7" x14ac:dyDescent="0.25">
      <c r="B107" s="3">
        <v>45038</v>
      </c>
      <c r="C107" t="str">
        <f>TEXT(Raw_transaction[[#This Row],[Date]],"mmm")</f>
        <v>Apr</v>
      </c>
      <c r="D107" s="5">
        <v>21.67</v>
      </c>
      <c r="E107" t="s">
        <v>26</v>
      </c>
      <c r="F107" t="str">
        <f>_xlfn.XLOOKUP(Raw_transaction[[#This Row],[Categories]],Table1[Categories],Table1[Types])</f>
        <v>Expense</v>
      </c>
    </row>
    <row r="108" spans="2:7" x14ac:dyDescent="0.25">
      <c r="B108" s="3">
        <v>45039</v>
      </c>
      <c r="C108" t="str">
        <f>TEXT(Raw_transaction[[#This Row],[Date]],"mmm")</f>
        <v>Apr</v>
      </c>
      <c r="D108" s="5">
        <f>10.22+18.01</f>
        <v>28.230000000000004</v>
      </c>
      <c r="E108" t="s">
        <v>23</v>
      </c>
      <c r="F108" t="str">
        <f>_xlfn.XLOOKUP(Raw_transaction[[#This Row],[Categories]],Table1[Categories],Table1[Types])</f>
        <v>Expense</v>
      </c>
    </row>
    <row r="109" spans="2:7" x14ac:dyDescent="0.25">
      <c r="B109" s="3">
        <v>45039</v>
      </c>
      <c r="C109" t="str">
        <f>TEXT(Raw_transaction[[#This Row],[Date]],"mmm")</f>
        <v>Apr</v>
      </c>
      <c r="D109" s="5">
        <v>3.82</v>
      </c>
      <c r="E109" t="s">
        <v>26</v>
      </c>
      <c r="F109" t="str">
        <f>_xlfn.XLOOKUP(Raw_transaction[[#This Row],[Categories]],Table1[Categories],Table1[Types])</f>
        <v>Expense</v>
      </c>
    </row>
    <row r="110" spans="2:7" x14ac:dyDescent="0.25">
      <c r="B110" s="3">
        <v>45048</v>
      </c>
      <c r="C110" t="str">
        <f>TEXT(Raw_transaction[[#This Row],[Date]],"mmm")</f>
        <v>May</v>
      </c>
      <c r="D110" s="5">
        <v>1997</v>
      </c>
      <c r="E110" t="s">
        <v>14</v>
      </c>
      <c r="F110" t="str">
        <f>_xlfn.XLOOKUP(Raw_transaction[[#This Row],[Categories]],Table1[Categories],Table1[Types])</f>
        <v>Expense</v>
      </c>
      <c r="G110" t="s">
        <v>29</v>
      </c>
    </row>
    <row r="111" spans="2:7" x14ac:dyDescent="0.25">
      <c r="B111" s="3">
        <v>45048</v>
      </c>
      <c r="C111" t="str">
        <f>TEXT(Raw_transaction[[#This Row],[Date]],"mmm")</f>
        <v>May</v>
      </c>
      <c r="D111" s="5">
        <v>2422</v>
      </c>
      <c r="E111" t="s">
        <v>10</v>
      </c>
      <c r="F111" t="str">
        <f>_xlfn.XLOOKUP(Raw_transaction[[#This Row],[Categories]],Table1[Categories],Table1[Types])</f>
        <v>Expense</v>
      </c>
    </row>
    <row r="112" spans="2:7" x14ac:dyDescent="0.25">
      <c r="B112" s="3">
        <v>45051</v>
      </c>
      <c r="C112" t="str">
        <f>TEXT(Raw_transaction[[#This Row],[Date]],"mmm")</f>
        <v>May</v>
      </c>
      <c r="D112" s="5">
        <v>2808.06</v>
      </c>
      <c r="E112" t="s">
        <v>6</v>
      </c>
      <c r="F112" t="str">
        <f>_xlfn.XLOOKUP(Raw_transaction[[#This Row],[Categories]],Table1[Categories],Table1[Types])</f>
        <v>Income</v>
      </c>
    </row>
    <row r="113" spans="2:6" x14ac:dyDescent="0.25">
      <c r="B113" s="3">
        <v>45055</v>
      </c>
      <c r="C113" t="str">
        <f>TEXT(Raw_transaction[[#This Row],[Date]],"mmm")</f>
        <v>May</v>
      </c>
      <c r="D113" s="5">
        <v>12.95</v>
      </c>
      <c r="E113" t="s">
        <v>13</v>
      </c>
      <c r="F113" t="str">
        <f>_xlfn.XLOOKUP(Raw_transaction[[#This Row],[Categories]],Table1[Categories],Table1[Types])</f>
        <v>Expense</v>
      </c>
    </row>
    <row r="114" spans="2:6" x14ac:dyDescent="0.25">
      <c r="B114" s="3">
        <v>45056</v>
      </c>
      <c r="C114" t="str">
        <f>TEXT(Raw_transaction[[#This Row],[Date]],"mmm")</f>
        <v>May</v>
      </c>
      <c r="D114" s="5">
        <v>6.99</v>
      </c>
      <c r="E114" t="s">
        <v>12</v>
      </c>
      <c r="F114" t="str">
        <f>_xlfn.XLOOKUP(Raw_transaction[[#This Row],[Categories]],Table1[Categories],Table1[Types])</f>
        <v>Expense</v>
      </c>
    </row>
    <row r="115" spans="2:6" x14ac:dyDescent="0.25">
      <c r="B115" s="3">
        <v>45057</v>
      </c>
      <c r="C115" t="str">
        <f>TEXT(Raw_transaction[[#This Row],[Date]],"mmm")</f>
        <v>May</v>
      </c>
      <c r="D115" s="5">
        <v>10.62</v>
      </c>
      <c r="E115" t="s">
        <v>23</v>
      </c>
      <c r="F115" t="str">
        <f>_xlfn.XLOOKUP(Raw_transaction[[#This Row],[Categories]],Table1[Categories],Table1[Types])</f>
        <v>Expense</v>
      </c>
    </row>
    <row r="116" spans="2:6" x14ac:dyDescent="0.25">
      <c r="B116" s="3">
        <v>45059</v>
      </c>
      <c r="C116" t="str">
        <f>TEXT(Raw_transaction[[#This Row],[Date]],"mmm")</f>
        <v>May</v>
      </c>
      <c r="D116" s="5">
        <f>11+20.8</f>
        <v>31.8</v>
      </c>
      <c r="E116" t="s">
        <v>23</v>
      </c>
      <c r="F116" t="str">
        <f>_xlfn.XLOOKUP(Raw_transaction[[#This Row],[Categories]],Table1[Categories],Table1[Types])</f>
        <v>Expense</v>
      </c>
    </row>
    <row r="117" spans="2:6" x14ac:dyDescent="0.25">
      <c r="B117" s="3">
        <v>45060</v>
      </c>
      <c r="C117" t="str">
        <f>TEXT(Raw_transaction[[#This Row],[Date]],"mmm")</f>
        <v>May</v>
      </c>
      <c r="D117" s="5">
        <v>18.940000000000001</v>
      </c>
      <c r="E117" t="s">
        <v>23</v>
      </c>
      <c r="F117" t="str">
        <f>_xlfn.XLOOKUP(Raw_transaction[[#This Row],[Categories]],Table1[Categories],Table1[Types])</f>
        <v>Expense</v>
      </c>
    </row>
    <row r="118" spans="2:6" x14ac:dyDescent="0.25">
      <c r="B118" s="3">
        <v>45060</v>
      </c>
      <c r="C118" t="str">
        <f>TEXT(Raw_transaction[[#This Row],[Date]],"mmm")</f>
        <v>May</v>
      </c>
      <c r="D118" s="5">
        <v>20</v>
      </c>
      <c r="E118" t="s">
        <v>26</v>
      </c>
      <c r="F118" t="str">
        <f>_xlfn.XLOOKUP(Raw_transaction[[#This Row],[Categories]],Table1[Categories],Table1[Types])</f>
        <v>Expense</v>
      </c>
    </row>
    <row r="119" spans="2:6" x14ac:dyDescent="0.25">
      <c r="B119" s="3">
        <v>45061</v>
      </c>
      <c r="C119" t="str">
        <f>TEXT(Raw_transaction[[#This Row],[Date]],"mmm")</f>
        <v>May</v>
      </c>
      <c r="D119" s="5">
        <v>92.32</v>
      </c>
      <c r="E119" t="s">
        <v>12</v>
      </c>
      <c r="F119" t="str">
        <f>_xlfn.XLOOKUP(Raw_transaction[[#This Row],[Categories]],Table1[Categories],Table1[Types])</f>
        <v>Expense</v>
      </c>
    </row>
    <row r="120" spans="2:6" x14ac:dyDescent="0.25">
      <c r="B120" s="3">
        <v>45061</v>
      </c>
      <c r="C120" t="str">
        <f>TEXT(Raw_transaction[[#This Row],[Date]],"mmm")</f>
        <v>May</v>
      </c>
      <c r="D120" s="5">
        <v>1075</v>
      </c>
      <c r="E120" t="s">
        <v>25</v>
      </c>
      <c r="F120" t="str">
        <f>_xlfn.XLOOKUP(Raw_transaction[[#This Row],[Categories]],Table1[Categories],Table1[Types])</f>
        <v>Expense</v>
      </c>
    </row>
    <row r="121" spans="2:6" x14ac:dyDescent="0.25">
      <c r="B121" s="3">
        <v>45063</v>
      </c>
      <c r="C121" t="str">
        <f>TEXT(Raw_transaction[[#This Row],[Date]],"mmm")</f>
        <v>May</v>
      </c>
      <c r="D121" s="5">
        <v>82.17</v>
      </c>
      <c r="E121" t="s">
        <v>5</v>
      </c>
      <c r="F121" t="str">
        <f>_xlfn.XLOOKUP(Raw_transaction[[#This Row],[Categories]],Table1[Categories],Table1[Types])</f>
        <v>Expense</v>
      </c>
    </row>
    <row r="122" spans="2:6" x14ac:dyDescent="0.25">
      <c r="B122" s="3">
        <v>45063</v>
      </c>
      <c r="C122" t="str">
        <f>TEXT(Raw_transaction[[#This Row],[Date]],"mmm")</f>
        <v>May</v>
      </c>
      <c r="D122" s="5">
        <v>595.91</v>
      </c>
      <c r="E122" t="s">
        <v>18</v>
      </c>
      <c r="F122" t="str">
        <f>_xlfn.XLOOKUP(Raw_transaction[[#This Row],[Categories]],Table1[Categories],Table1[Types])</f>
        <v>Expense</v>
      </c>
    </row>
    <row r="123" spans="2:6" x14ac:dyDescent="0.25">
      <c r="B123" s="3">
        <v>45064</v>
      </c>
      <c r="C123" t="str">
        <f>TEXT(Raw_transaction[[#This Row],[Date]],"mmm")</f>
        <v>May</v>
      </c>
      <c r="D123" s="5">
        <v>4.3099999999999996</v>
      </c>
      <c r="E123" t="s">
        <v>13</v>
      </c>
      <c r="F123" t="str">
        <f>_xlfn.XLOOKUP(Raw_transaction[[#This Row],[Categories]],Table1[Categories],Table1[Types])</f>
        <v>Expense</v>
      </c>
    </row>
    <row r="124" spans="2:6" x14ac:dyDescent="0.25">
      <c r="B124" s="3">
        <v>45065</v>
      </c>
      <c r="C124" t="str">
        <f>TEXT(Raw_transaction[[#This Row],[Date]],"mmm")</f>
        <v>May</v>
      </c>
      <c r="D124" s="5">
        <v>2808.05</v>
      </c>
      <c r="E124" t="s">
        <v>6</v>
      </c>
      <c r="F124" t="str">
        <f>_xlfn.XLOOKUP(Raw_transaction[[#This Row],[Categories]],Table1[Categories],Table1[Types])</f>
        <v>Income</v>
      </c>
    </row>
    <row r="125" spans="2:6" x14ac:dyDescent="0.25">
      <c r="B125" s="3">
        <v>45066</v>
      </c>
      <c r="C125" t="str">
        <f>TEXT(Raw_transaction[[#This Row],[Date]],"mmm")</f>
        <v>May</v>
      </c>
      <c r="D125" s="5">
        <v>7.88</v>
      </c>
      <c r="E125" t="s">
        <v>23</v>
      </c>
      <c r="F125" t="str">
        <f>_xlfn.XLOOKUP(Raw_transaction[[#This Row],[Categories]],Table1[Categories],Table1[Types])</f>
        <v>Expense</v>
      </c>
    </row>
    <row r="126" spans="2:6" x14ac:dyDescent="0.25">
      <c r="B126" s="3">
        <v>45067</v>
      </c>
      <c r="C126" t="str">
        <f>TEXT(Raw_transaction[[#This Row],[Date]],"mmm")</f>
        <v>May</v>
      </c>
      <c r="D126" s="5">
        <f>6.97+19.64</f>
        <v>26.61</v>
      </c>
      <c r="E126" t="s">
        <v>23</v>
      </c>
      <c r="F126" t="str">
        <f>_xlfn.XLOOKUP(Raw_transaction[[#This Row],[Categories]],Table1[Categories],Table1[Types])</f>
        <v>Expense</v>
      </c>
    </row>
    <row r="127" spans="2:6" x14ac:dyDescent="0.25">
      <c r="B127" s="3">
        <v>45067</v>
      </c>
      <c r="C127" t="str">
        <f>TEXT(Raw_transaction[[#This Row],[Date]],"mmm")</f>
        <v>May</v>
      </c>
      <c r="D127" s="5">
        <v>71.739999999999995</v>
      </c>
      <c r="E127" t="s">
        <v>26</v>
      </c>
      <c r="F127" t="str">
        <f>_xlfn.XLOOKUP(Raw_transaction[[#This Row],[Categories]],Table1[Categories],Table1[Types])</f>
        <v>Expense</v>
      </c>
    </row>
    <row r="128" spans="2:6" x14ac:dyDescent="0.25">
      <c r="B128" s="3">
        <v>45069</v>
      </c>
      <c r="C128" t="str">
        <f>TEXT(Raw_transaction[[#This Row],[Date]],"mmm")</f>
        <v>May</v>
      </c>
      <c r="D128" s="5">
        <v>126.57</v>
      </c>
      <c r="E128" t="s">
        <v>12</v>
      </c>
      <c r="F128" t="str">
        <f>_xlfn.XLOOKUP(Raw_transaction[[#This Row],[Categories]],Table1[Categories],Table1[Types])</f>
        <v>Expense</v>
      </c>
    </row>
    <row r="129" spans="2:7" x14ac:dyDescent="0.25">
      <c r="B129" s="3">
        <v>45069</v>
      </c>
      <c r="C129" t="str">
        <f>TEXT(Raw_transaction[[#This Row],[Date]],"mmm")</f>
        <v>May</v>
      </c>
      <c r="D129" s="5">
        <f>169.15+34.59-22-169.15</f>
        <v>12.590000000000003</v>
      </c>
      <c r="E129" t="s">
        <v>26</v>
      </c>
      <c r="F129" t="str">
        <f>_xlfn.XLOOKUP(Raw_transaction[[#This Row],[Categories]],Table1[Categories],Table1[Types])</f>
        <v>Expense</v>
      </c>
    </row>
    <row r="130" spans="2:7" x14ac:dyDescent="0.25">
      <c r="B130" s="3">
        <v>45076</v>
      </c>
      <c r="C130" t="str">
        <f>TEXT(Raw_transaction[[#This Row],[Date]],"mmm")</f>
        <v>May</v>
      </c>
      <c r="D130" s="5">
        <v>5.68</v>
      </c>
      <c r="E130" t="s">
        <v>12</v>
      </c>
      <c r="F130" t="str">
        <f>_xlfn.XLOOKUP(Raw_transaction[[#This Row],[Categories]],Table1[Categories],Table1[Types])</f>
        <v>Expense</v>
      </c>
    </row>
    <row r="131" spans="2:7" x14ac:dyDescent="0.25">
      <c r="B131" s="3">
        <v>45076</v>
      </c>
      <c r="C131" t="str">
        <f>TEXT(Raw_transaction[[#This Row],[Date]],"mmm")</f>
        <v>May</v>
      </c>
      <c r="D131" s="5">
        <v>509.5</v>
      </c>
      <c r="E131" t="s">
        <v>25</v>
      </c>
      <c r="F131" t="str">
        <f>_xlfn.XLOOKUP(Raw_transaction[[#This Row],[Categories]],Table1[Categories],Table1[Types])</f>
        <v>Expense</v>
      </c>
    </row>
    <row r="132" spans="2:7" x14ac:dyDescent="0.25">
      <c r="B132" s="3">
        <v>45077</v>
      </c>
      <c r="C132" t="str">
        <f>TEXT(Raw_transaction[[#This Row],[Date]],"mmm")</f>
        <v>May</v>
      </c>
      <c r="D132" s="5">
        <v>5.25</v>
      </c>
      <c r="E132" t="s">
        <v>23</v>
      </c>
      <c r="F132" t="str">
        <f>_xlfn.XLOOKUP(Raw_transaction[[#This Row],[Categories]],Table1[Categories],Table1[Types])</f>
        <v>Expense</v>
      </c>
    </row>
    <row r="133" spans="2:7" x14ac:dyDescent="0.25">
      <c r="B133" s="3">
        <v>45079</v>
      </c>
      <c r="C133" t="str">
        <f>TEXT(Raw_transaction[[#This Row],[Date]],"mmm")</f>
        <v>Jun</v>
      </c>
      <c r="D133" s="5">
        <v>2422</v>
      </c>
      <c r="E133" t="s">
        <v>10</v>
      </c>
      <c r="F133" t="str">
        <f>_xlfn.XLOOKUP(Raw_transaction[[#This Row],[Categories]],Table1[Categories],Table1[Types])</f>
        <v>Expense</v>
      </c>
    </row>
    <row r="134" spans="2:7" x14ac:dyDescent="0.25">
      <c r="B134" s="3">
        <v>45079</v>
      </c>
      <c r="C134" t="str">
        <f>TEXT(Raw_transaction[[#This Row],[Date]],"mmm")</f>
        <v>Jun</v>
      </c>
      <c r="D134" s="5">
        <v>2808.06</v>
      </c>
      <c r="E134" t="s">
        <v>6</v>
      </c>
      <c r="F134" t="str">
        <f>_xlfn.XLOOKUP(Raw_transaction[[#This Row],[Categories]],Table1[Categories],Table1[Types])</f>
        <v>Income</v>
      </c>
    </row>
    <row r="135" spans="2:7" x14ac:dyDescent="0.25">
      <c r="B135" s="3">
        <v>45080</v>
      </c>
      <c r="C135" t="str">
        <f>TEXT(Raw_transaction[[#This Row],[Date]],"mmm")</f>
        <v>Jun</v>
      </c>
      <c r="D135" s="5">
        <v>6.5</v>
      </c>
      <c r="E135" t="s">
        <v>23</v>
      </c>
      <c r="F135" t="str">
        <f>_xlfn.XLOOKUP(Raw_transaction[[#This Row],[Categories]],Table1[Categories],Table1[Types])</f>
        <v>Expense</v>
      </c>
    </row>
    <row r="136" spans="2:7" x14ac:dyDescent="0.25">
      <c r="B136" s="3">
        <v>45081</v>
      </c>
      <c r="C136" t="str">
        <f>TEXT(Raw_transaction[[#This Row],[Date]],"mmm")</f>
        <v>Jun</v>
      </c>
      <c r="D136" s="5">
        <v>11.48</v>
      </c>
      <c r="E136" t="s">
        <v>12</v>
      </c>
      <c r="F136" t="str">
        <f>_xlfn.XLOOKUP(Raw_transaction[[#This Row],[Categories]],Table1[Categories],Table1[Types])</f>
        <v>Expense</v>
      </c>
    </row>
    <row r="137" spans="2:7" x14ac:dyDescent="0.25">
      <c r="B137" s="3">
        <v>45082</v>
      </c>
      <c r="C137" t="str">
        <f>TEXT(Raw_transaction[[#This Row],[Date]],"mmm")</f>
        <v>Jun</v>
      </c>
      <c r="D137" s="5">
        <v>1999</v>
      </c>
      <c r="E137" t="s">
        <v>14</v>
      </c>
      <c r="F137" t="str">
        <f>_xlfn.XLOOKUP(Raw_transaction[[#This Row],[Categories]],Table1[Categories],Table1[Types])</f>
        <v>Expense</v>
      </c>
      <c r="G137" t="s">
        <v>29</v>
      </c>
    </row>
    <row r="138" spans="2:7" x14ac:dyDescent="0.25">
      <c r="B138" s="3">
        <v>45083</v>
      </c>
      <c r="C138" t="str">
        <f>TEXT(Raw_transaction[[#This Row],[Date]],"mmm")</f>
        <v>Jun</v>
      </c>
      <c r="D138" s="5">
        <v>68.44</v>
      </c>
      <c r="E138" t="s">
        <v>12</v>
      </c>
      <c r="F138" t="str">
        <f>_xlfn.XLOOKUP(Raw_transaction[[#This Row],[Categories]],Table1[Categories],Table1[Types])</f>
        <v>Expense</v>
      </c>
    </row>
    <row r="139" spans="2:7" x14ac:dyDescent="0.25">
      <c r="B139" s="3">
        <v>45085</v>
      </c>
      <c r="C139" t="str">
        <f>TEXT(Raw_transaction[[#This Row],[Date]],"mmm")</f>
        <v>Jun</v>
      </c>
      <c r="D139" s="5">
        <v>6.79</v>
      </c>
      <c r="E139" t="s">
        <v>23</v>
      </c>
      <c r="F139" t="str">
        <f>_xlfn.XLOOKUP(Raw_transaction[[#This Row],[Categories]],Table1[Categories],Table1[Types])</f>
        <v>Expense</v>
      </c>
    </row>
    <row r="140" spans="2:7" x14ac:dyDescent="0.25">
      <c r="B140" s="3">
        <v>45086</v>
      </c>
      <c r="C140" t="str">
        <f>TEXT(Raw_transaction[[#This Row],[Date]],"mmm")</f>
        <v>Jun</v>
      </c>
      <c r="D140" s="5">
        <v>12.95</v>
      </c>
      <c r="E140" t="s">
        <v>13</v>
      </c>
      <c r="F140" t="str">
        <f>_xlfn.XLOOKUP(Raw_transaction[[#This Row],[Categories]],Table1[Categories],Table1[Types])</f>
        <v>Expense</v>
      </c>
    </row>
    <row r="141" spans="2:7" x14ac:dyDescent="0.25">
      <c r="B141" s="3">
        <v>45087</v>
      </c>
      <c r="C141" t="str">
        <f>TEXT(Raw_transaction[[#This Row],[Date]],"mmm")</f>
        <v>Jun</v>
      </c>
      <c r="D141" s="5">
        <v>81.93</v>
      </c>
      <c r="E141" t="s">
        <v>23</v>
      </c>
      <c r="F141" t="str">
        <f>_xlfn.XLOOKUP(Raw_transaction[[#This Row],[Categories]],Table1[Categories],Table1[Types])</f>
        <v>Expense</v>
      </c>
    </row>
    <row r="142" spans="2:7" x14ac:dyDescent="0.25">
      <c r="B142" s="3">
        <v>45087</v>
      </c>
      <c r="C142" t="str">
        <f>TEXT(Raw_transaction[[#This Row],[Date]],"mmm")</f>
        <v>Jun</v>
      </c>
      <c r="D142" s="5">
        <v>10.99</v>
      </c>
      <c r="E142" t="s">
        <v>12</v>
      </c>
      <c r="F142" t="str">
        <f>_xlfn.XLOOKUP(Raw_transaction[[#This Row],[Categories]],Table1[Categories],Table1[Types])</f>
        <v>Expense</v>
      </c>
    </row>
    <row r="143" spans="2:7" x14ac:dyDescent="0.25">
      <c r="B143" s="3">
        <v>45088</v>
      </c>
      <c r="C143" t="str">
        <f>TEXT(Raw_transaction[[#This Row],[Date]],"mmm")</f>
        <v>Jun</v>
      </c>
      <c r="D143" s="5">
        <v>7.63</v>
      </c>
      <c r="E143" t="s">
        <v>12</v>
      </c>
      <c r="F143" t="str">
        <f>_xlfn.XLOOKUP(Raw_transaction[[#This Row],[Categories]],Table1[Categories],Table1[Types])</f>
        <v>Expense</v>
      </c>
    </row>
    <row r="144" spans="2:7" x14ac:dyDescent="0.25">
      <c r="B144" s="3">
        <v>45089</v>
      </c>
      <c r="C144" t="str">
        <f>TEXT(Raw_transaction[[#This Row],[Date]],"mmm")</f>
        <v>Jun</v>
      </c>
      <c r="D144" s="5">
        <v>9.9499999999999993</v>
      </c>
      <c r="E144" t="s">
        <v>23</v>
      </c>
      <c r="F144" t="str">
        <f>_xlfn.XLOOKUP(Raw_transaction[[#This Row],[Categories]],Table1[Categories],Table1[Types])</f>
        <v>Expense</v>
      </c>
    </row>
    <row r="145" spans="2:6" x14ac:dyDescent="0.25">
      <c r="B145" s="3">
        <v>45090</v>
      </c>
      <c r="C145" t="str">
        <f>TEXT(Raw_transaction[[#This Row],[Date]],"mmm")</f>
        <v>Jun</v>
      </c>
      <c r="D145" s="5">
        <v>475</v>
      </c>
      <c r="E145" t="s">
        <v>14</v>
      </c>
      <c r="F145" t="str">
        <f>_xlfn.XLOOKUP(Raw_transaction[[#This Row],[Categories]],Table1[Categories],Table1[Types])</f>
        <v>Expense</v>
      </c>
    </row>
    <row r="146" spans="2:6" x14ac:dyDescent="0.25">
      <c r="B146" s="3">
        <v>45090</v>
      </c>
      <c r="C146" t="str">
        <f>TEXT(Raw_transaction[[#This Row],[Date]],"mmm")</f>
        <v>Jun</v>
      </c>
      <c r="D146" s="5">
        <v>96</v>
      </c>
      <c r="E146" t="s">
        <v>26</v>
      </c>
      <c r="F146" t="str">
        <f>_xlfn.XLOOKUP(Raw_transaction[[#This Row],[Categories]],Table1[Categories],Table1[Types])</f>
        <v>Expense</v>
      </c>
    </row>
    <row r="147" spans="2:6" x14ac:dyDescent="0.25">
      <c r="B147" s="3">
        <v>45091</v>
      </c>
      <c r="C147" t="str">
        <f>TEXT(Raw_transaction[[#This Row],[Date]],"mmm")</f>
        <v>Jun</v>
      </c>
      <c r="D147" s="5">
        <v>20</v>
      </c>
      <c r="E147" t="s">
        <v>26</v>
      </c>
      <c r="F147" t="str">
        <f>_xlfn.XLOOKUP(Raw_transaction[[#This Row],[Categories]],Table1[Categories],Table1[Types])</f>
        <v>Expense</v>
      </c>
    </row>
    <row r="148" spans="2:6" x14ac:dyDescent="0.25">
      <c r="B148" s="3">
        <v>45093</v>
      </c>
      <c r="C148" t="str">
        <f>TEXT(Raw_transaction[[#This Row],[Date]],"mmm")</f>
        <v>Jun</v>
      </c>
      <c r="D148" s="5">
        <v>2808.05</v>
      </c>
      <c r="E148" t="s">
        <v>6</v>
      </c>
      <c r="F148" t="str">
        <f>_xlfn.XLOOKUP(Raw_transaction[[#This Row],[Categories]],Table1[Categories],Table1[Types])</f>
        <v>Income</v>
      </c>
    </row>
    <row r="149" spans="2:6" x14ac:dyDescent="0.25">
      <c r="B149" s="3">
        <v>45093</v>
      </c>
      <c r="C149" t="str">
        <f>TEXT(Raw_transaction[[#This Row],[Date]],"mmm")</f>
        <v>Jun</v>
      </c>
      <c r="D149" s="5">
        <v>10.99</v>
      </c>
      <c r="E149" t="s">
        <v>12</v>
      </c>
      <c r="F149" t="str">
        <f>_xlfn.XLOOKUP(Raw_transaction[[#This Row],[Categories]],Table1[Categories],Table1[Types])</f>
        <v>Expense</v>
      </c>
    </row>
    <row r="150" spans="2:6" x14ac:dyDescent="0.25">
      <c r="B150" s="3">
        <v>45094</v>
      </c>
      <c r="C150" t="str">
        <f>TEXT(Raw_transaction[[#This Row],[Date]],"mmm")</f>
        <v>Jun</v>
      </c>
      <c r="D150" s="5">
        <f>10.21+32.25+13.95</f>
        <v>56.41</v>
      </c>
      <c r="E150" t="s">
        <v>23</v>
      </c>
      <c r="F150" t="str">
        <f>_xlfn.XLOOKUP(Raw_transaction[[#This Row],[Categories]],Table1[Categories],Table1[Types])</f>
        <v>Expense</v>
      </c>
    </row>
    <row r="151" spans="2:6" x14ac:dyDescent="0.25">
      <c r="B151" s="3">
        <v>45095</v>
      </c>
      <c r="C151" t="str">
        <f>TEXT(Raw_transaction[[#This Row],[Date]],"mmm")</f>
        <v>Jun</v>
      </c>
      <c r="D151" s="5">
        <v>38.479999999999997</v>
      </c>
      <c r="E151" t="s">
        <v>12</v>
      </c>
      <c r="F151" t="str">
        <f>_xlfn.XLOOKUP(Raw_transaction[[#This Row],[Categories]],Table1[Categories],Table1[Types])</f>
        <v>Expense</v>
      </c>
    </row>
    <row r="152" spans="2:6" x14ac:dyDescent="0.25">
      <c r="B152" s="3">
        <v>45095</v>
      </c>
      <c r="C152" t="str">
        <f>TEXT(Raw_transaction[[#This Row],[Date]],"mmm")</f>
        <v>Jun</v>
      </c>
      <c r="D152" s="5">
        <v>4.3099999999999996</v>
      </c>
      <c r="E152" t="s">
        <v>13</v>
      </c>
      <c r="F152" t="str">
        <f>_xlfn.XLOOKUP(Raw_transaction[[#This Row],[Categories]],Table1[Categories],Table1[Types])</f>
        <v>Expense</v>
      </c>
    </row>
    <row r="153" spans="2:6" x14ac:dyDescent="0.25">
      <c r="B153" s="3">
        <v>45096</v>
      </c>
      <c r="C153" t="str">
        <f>TEXT(Raw_transaction[[#This Row],[Date]],"mmm")</f>
        <v>Jun</v>
      </c>
      <c r="D153" s="5">
        <v>34.65</v>
      </c>
      <c r="E153" t="s">
        <v>12</v>
      </c>
      <c r="F153" t="str">
        <f>_xlfn.XLOOKUP(Raw_transaction[[#This Row],[Categories]],Table1[Categories],Table1[Types])</f>
        <v>Expense</v>
      </c>
    </row>
    <row r="154" spans="2:6" x14ac:dyDescent="0.25">
      <c r="B154" s="3">
        <v>45097</v>
      </c>
      <c r="C154" t="str">
        <f>TEXT(Raw_transaction[[#This Row],[Date]],"mmm")</f>
        <v>Jun</v>
      </c>
      <c r="D154" s="5">
        <v>727.64</v>
      </c>
      <c r="E154" t="s">
        <v>18</v>
      </c>
      <c r="F154" t="str">
        <f>_xlfn.XLOOKUP(Raw_transaction[[#This Row],[Categories]],Table1[Categories],Table1[Types])</f>
        <v>Expense</v>
      </c>
    </row>
    <row r="155" spans="2:6" x14ac:dyDescent="0.25">
      <c r="B155" s="3">
        <v>45098</v>
      </c>
      <c r="C155" t="str">
        <f>TEXT(Raw_transaction[[#This Row],[Date]],"mmm")</f>
        <v>Jun</v>
      </c>
      <c r="D155" s="5">
        <v>76.010000000000005</v>
      </c>
      <c r="E155" t="s">
        <v>5</v>
      </c>
      <c r="F155" t="str">
        <f>_xlfn.XLOOKUP(Raw_transaction[[#This Row],[Categories]],Table1[Categories],Table1[Types])</f>
        <v>Expense</v>
      </c>
    </row>
    <row r="156" spans="2:6" x14ac:dyDescent="0.25">
      <c r="B156" s="3">
        <v>45100</v>
      </c>
      <c r="C156" t="str">
        <f>TEXT(Raw_transaction[[#This Row],[Date]],"mmm")</f>
        <v>Jun</v>
      </c>
      <c r="D156" s="5">
        <f>18.28+8.18</f>
        <v>26.46</v>
      </c>
      <c r="E156" t="s">
        <v>23</v>
      </c>
      <c r="F156" t="str">
        <f>_xlfn.XLOOKUP(Raw_transaction[[#This Row],[Categories]],Table1[Categories],Table1[Types])</f>
        <v>Expense</v>
      </c>
    </row>
    <row r="157" spans="2:6" x14ac:dyDescent="0.25">
      <c r="B157" s="3">
        <v>45100</v>
      </c>
      <c r="C157" t="str">
        <f>TEXT(Raw_transaction[[#This Row],[Date]],"mmm")</f>
        <v>Jun</v>
      </c>
      <c r="D157" s="5">
        <v>125.06</v>
      </c>
      <c r="E157" t="s">
        <v>26</v>
      </c>
      <c r="F157" t="str">
        <f>_xlfn.XLOOKUP(Raw_transaction[[#This Row],[Categories]],Table1[Categories],Table1[Types])</f>
        <v>Expense</v>
      </c>
    </row>
    <row r="158" spans="2:6" x14ac:dyDescent="0.25">
      <c r="B158" s="3">
        <v>45104</v>
      </c>
      <c r="C158" t="str">
        <f>TEXT(Raw_transaction[[#This Row],[Date]],"mmm")</f>
        <v>Jun</v>
      </c>
      <c r="D158" s="5">
        <v>152.78</v>
      </c>
      <c r="E158" t="s">
        <v>26</v>
      </c>
      <c r="F158" t="str">
        <f>_xlfn.XLOOKUP(Raw_transaction[[#This Row],[Categories]],Table1[Categories],Table1[Types])</f>
        <v>Expense</v>
      </c>
    </row>
    <row r="159" spans="2:6" x14ac:dyDescent="0.25">
      <c r="B159" s="3">
        <v>45106</v>
      </c>
      <c r="C159" t="str">
        <f>TEXT(Raw_transaction[[#This Row],[Date]],"mmm")</f>
        <v>Jun</v>
      </c>
      <c r="D159" s="5">
        <v>69.78</v>
      </c>
      <c r="E159" t="s">
        <v>26</v>
      </c>
      <c r="F159" t="str">
        <f>_xlfn.XLOOKUP(Raw_transaction[[#This Row],[Categories]],Table1[Categories],Table1[Types])</f>
        <v>Expense</v>
      </c>
    </row>
    <row r="160" spans="2:6" x14ac:dyDescent="0.25">
      <c r="B160" s="3">
        <v>45107</v>
      </c>
      <c r="C160" t="str">
        <f>TEXT(Raw_transaction[[#This Row],[Date]],"mmm")</f>
        <v>Jun</v>
      </c>
      <c r="D160" s="5">
        <v>2808.06</v>
      </c>
      <c r="E160" t="s">
        <v>6</v>
      </c>
      <c r="F160" t="str">
        <f>_xlfn.XLOOKUP(Raw_transaction[[#This Row],[Categories]],Table1[Categories],Table1[Types])</f>
        <v>Income</v>
      </c>
    </row>
    <row r="161" spans="2:7" x14ac:dyDescent="0.25">
      <c r="B161" s="3">
        <v>45108</v>
      </c>
      <c r="C161" t="str">
        <f>TEXT(Raw_transaction[[#This Row],[Date]],"mmm")</f>
        <v>Jul</v>
      </c>
      <c r="D161" s="5">
        <f>17+30.49</f>
        <v>47.489999999999995</v>
      </c>
      <c r="E161" t="s">
        <v>12</v>
      </c>
      <c r="F161" t="str">
        <f>_xlfn.XLOOKUP(Raw_transaction[[#This Row],[Categories]],Table1[Categories],Table1[Types])</f>
        <v>Expense</v>
      </c>
    </row>
    <row r="162" spans="2:7" x14ac:dyDescent="0.25">
      <c r="B162" s="3">
        <v>45109</v>
      </c>
      <c r="C162" t="str">
        <f>TEXT(Raw_transaction[[#This Row],[Date]],"mmm")</f>
        <v>Jul</v>
      </c>
      <c r="D162" s="5">
        <v>49</v>
      </c>
      <c r="E162" t="s">
        <v>23</v>
      </c>
      <c r="F162" t="str">
        <f>_xlfn.XLOOKUP(Raw_transaction[[#This Row],[Categories]],Table1[Categories],Table1[Types])</f>
        <v>Expense</v>
      </c>
    </row>
    <row r="163" spans="2:7" x14ac:dyDescent="0.25">
      <c r="B163" s="3">
        <v>45110</v>
      </c>
      <c r="C163" t="str">
        <f>TEXT(Raw_transaction[[#This Row],[Date]],"mmm")</f>
        <v>Jul</v>
      </c>
      <c r="D163" s="5">
        <v>1998</v>
      </c>
      <c r="E163" t="s">
        <v>14</v>
      </c>
      <c r="F163" t="str">
        <f>_xlfn.XLOOKUP(Raw_transaction[[#This Row],[Categories]],Table1[Categories],Table1[Types])</f>
        <v>Expense</v>
      </c>
      <c r="G163" t="s">
        <v>29</v>
      </c>
    </row>
    <row r="164" spans="2:7" x14ac:dyDescent="0.25">
      <c r="B164" s="3">
        <v>45110</v>
      </c>
      <c r="C164" t="str">
        <f>TEXT(Raw_transaction[[#This Row],[Date]],"mmm")</f>
        <v>Jul</v>
      </c>
      <c r="D164" s="5">
        <v>82.63</v>
      </c>
      <c r="E164" t="s">
        <v>12</v>
      </c>
      <c r="F164" t="str">
        <f>_xlfn.XLOOKUP(Raw_transaction[[#This Row],[Categories]],Table1[Categories],Table1[Types])</f>
        <v>Expense</v>
      </c>
    </row>
    <row r="165" spans="2:7" x14ac:dyDescent="0.25">
      <c r="B165" s="3">
        <v>45112</v>
      </c>
      <c r="C165" t="str">
        <f>TEXT(Raw_transaction[[#This Row],[Date]],"mmm")</f>
        <v>Jul</v>
      </c>
      <c r="D165" s="5">
        <v>2422</v>
      </c>
      <c r="E165" t="s">
        <v>10</v>
      </c>
      <c r="F165" t="str">
        <f>_xlfn.XLOOKUP(Raw_transaction[[#This Row],[Categories]],Table1[Categories],Table1[Types])</f>
        <v>Expense</v>
      </c>
    </row>
    <row r="166" spans="2:7" x14ac:dyDescent="0.25">
      <c r="B166" s="3">
        <v>45113</v>
      </c>
      <c r="C166" t="str">
        <f>TEXT(Raw_transaction[[#This Row],[Date]],"mmm")</f>
        <v>Jul</v>
      </c>
      <c r="D166" s="5">
        <v>475</v>
      </c>
      <c r="E166" t="s">
        <v>17</v>
      </c>
      <c r="F166" t="str">
        <f>_xlfn.XLOOKUP(Raw_transaction[[#This Row],[Categories]],Table1[Categories],Table1[Types])</f>
        <v>Income</v>
      </c>
    </row>
    <row r="167" spans="2:7" x14ac:dyDescent="0.25">
      <c r="B167" s="3">
        <v>45114</v>
      </c>
      <c r="C167" t="str">
        <f>TEXT(Raw_transaction[[#This Row],[Date]],"mmm")</f>
        <v>Jul</v>
      </c>
      <c r="D167" s="5">
        <v>17.489999999999998</v>
      </c>
      <c r="E167" t="s">
        <v>12</v>
      </c>
      <c r="F167" t="str">
        <f>_xlfn.XLOOKUP(Raw_transaction[[#This Row],[Categories]],Table1[Categories],Table1[Types])</f>
        <v>Expense</v>
      </c>
    </row>
    <row r="168" spans="2:7" x14ac:dyDescent="0.25">
      <c r="B168" s="3">
        <v>45116</v>
      </c>
      <c r="C168" t="str">
        <f>TEXT(Raw_transaction[[#This Row],[Date]],"mmm")</f>
        <v>Jul</v>
      </c>
      <c r="D168" s="5">
        <v>12.96</v>
      </c>
      <c r="E168" t="s">
        <v>13</v>
      </c>
      <c r="F168" t="str">
        <f>_xlfn.XLOOKUP(Raw_transaction[[#This Row],[Categories]],Table1[Categories],Table1[Types])</f>
        <v>Expense</v>
      </c>
    </row>
    <row r="169" spans="2:7" x14ac:dyDescent="0.25">
      <c r="B169" s="3">
        <v>45117</v>
      </c>
      <c r="C169" t="str">
        <f>TEXT(Raw_transaction[[#This Row],[Date]],"mmm")</f>
        <v>Jul</v>
      </c>
      <c r="D169" s="5">
        <v>25002</v>
      </c>
      <c r="E169" t="s">
        <v>14</v>
      </c>
      <c r="F169" t="str">
        <f>_xlfn.XLOOKUP(Raw_transaction[[#This Row],[Categories]],Table1[Categories],Table1[Types])</f>
        <v>Expense</v>
      </c>
      <c r="G169" t="s">
        <v>42</v>
      </c>
    </row>
    <row r="170" spans="2:7" x14ac:dyDescent="0.25">
      <c r="B170" s="3">
        <v>45117</v>
      </c>
      <c r="C170" t="str">
        <f>TEXT(Raw_transaction[[#This Row],[Date]],"mmm")</f>
        <v>Jul</v>
      </c>
      <c r="D170" s="5">
        <v>13.69</v>
      </c>
      <c r="E170" t="s">
        <v>24</v>
      </c>
      <c r="F170" t="str">
        <f>_xlfn.XLOOKUP(Raw_transaction[[#This Row],[Categories]],Table1[Categories],Table1[Types])</f>
        <v>Expense</v>
      </c>
    </row>
    <row r="171" spans="2:7" x14ac:dyDescent="0.25">
      <c r="B171" s="3">
        <v>45118</v>
      </c>
      <c r="C171" t="str">
        <f>TEXT(Raw_transaction[[#This Row],[Date]],"mmm")</f>
        <v>Jul</v>
      </c>
      <c r="D171" s="5">
        <v>4.75</v>
      </c>
      <c r="E171" t="s">
        <v>23</v>
      </c>
      <c r="F171" t="str">
        <f>_xlfn.XLOOKUP(Raw_transaction[[#This Row],[Categories]],Table1[Categories],Table1[Types])</f>
        <v>Expense</v>
      </c>
    </row>
    <row r="172" spans="2:7" x14ac:dyDescent="0.25">
      <c r="B172" s="3">
        <v>45119</v>
      </c>
      <c r="C172" t="str">
        <f>TEXT(Raw_transaction[[#This Row],[Date]],"mmm")</f>
        <v>Jul</v>
      </c>
      <c r="D172" s="5">
        <f>25.62+46.86</f>
        <v>72.48</v>
      </c>
      <c r="E172" t="s">
        <v>26</v>
      </c>
      <c r="F172" t="str">
        <f>_xlfn.XLOOKUP(Raw_transaction[[#This Row],[Categories]],Table1[Categories],Table1[Types])</f>
        <v>Expense</v>
      </c>
    </row>
    <row r="173" spans="2:7" x14ac:dyDescent="0.25">
      <c r="B173" s="3">
        <v>45119</v>
      </c>
      <c r="C173" t="str">
        <f>TEXT(Raw_transaction[[#This Row],[Date]],"mmm")</f>
        <v>Jul</v>
      </c>
      <c r="D173" s="5">
        <v>30.42</v>
      </c>
      <c r="E173" t="s">
        <v>23</v>
      </c>
      <c r="F173" t="str">
        <f>_xlfn.XLOOKUP(Raw_transaction[[#This Row],[Categories]],Table1[Categories],Table1[Types])</f>
        <v>Expense</v>
      </c>
    </row>
    <row r="174" spans="2:7" x14ac:dyDescent="0.25">
      <c r="B174" s="3">
        <v>45120</v>
      </c>
      <c r="C174" t="str">
        <f>TEXT(Raw_transaction[[#This Row],[Date]],"mmm")</f>
        <v>Jul</v>
      </c>
      <c r="D174" s="5">
        <f>9.7+23.9</f>
        <v>33.599999999999994</v>
      </c>
      <c r="E174" t="s">
        <v>23</v>
      </c>
      <c r="F174" t="str">
        <f>_xlfn.XLOOKUP(Raw_transaction[[#This Row],[Categories]],Table1[Categories],Table1[Types])</f>
        <v>Expense</v>
      </c>
    </row>
    <row r="175" spans="2:7" x14ac:dyDescent="0.25">
      <c r="B175" s="3">
        <v>45121</v>
      </c>
      <c r="C175" t="str">
        <f>TEXT(Raw_transaction[[#This Row],[Date]],"mmm")</f>
        <v>Jul</v>
      </c>
      <c r="D175" s="5">
        <v>2808.06</v>
      </c>
      <c r="E175" t="s">
        <v>6</v>
      </c>
      <c r="F175" t="str">
        <f>_xlfn.XLOOKUP(Raw_transaction[[#This Row],[Categories]],Table1[Categories],Table1[Types])</f>
        <v>Income</v>
      </c>
    </row>
    <row r="176" spans="2:7" x14ac:dyDescent="0.25">
      <c r="B176" s="3">
        <v>45125</v>
      </c>
      <c r="C176" t="str">
        <f>TEXT(Raw_transaction[[#This Row],[Date]],"mmm")</f>
        <v>Jul</v>
      </c>
      <c r="D176" s="5">
        <v>4.3099999999999996</v>
      </c>
      <c r="E176" t="s">
        <v>13</v>
      </c>
      <c r="F176" t="str">
        <f>_xlfn.XLOOKUP(Raw_transaction[[#This Row],[Categories]],Table1[Categories],Table1[Types])</f>
        <v>Expense</v>
      </c>
    </row>
    <row r="177" spans="2:6" x14ac:dyDescent="0.25">
      <c r="B177" s="3">
        <v>45125</v>
      </c>
      <c r="C177" t="str">
        <f>TEXT(Raw_transaction[[#This Row],[Date]],"mmm")</f>
        <v>Jul</v>
      </c>
      <c r="D177" s="5">
        <v>436.97</v>
      </c>
      <c r="E177" t="s">
        <v>18</v>
      </c>
      <c r="F177" t="str">
        <f>_xlfn.XLOOKUP(Raw_transaction[[#This Row],[Categories]],Table1[Categories],Table1[Types])</f>
        <v>Expense</v>
      </c>
    </row>
    <row r="178" spans="2:6" x14ac:dyDescent="0.25">
      <c r="B178" s="3">
        <v>45126</v>
      </c>
      <c r="C178" t="str">
        <f>TEXT(Raw_transaction[[#This Row],[Date]],"mmm")</f>
        <v>Jul</v>
      </c>
      <c r="D178" s="5">
        <v>49.32</v>
      </c>
      <c r="E178" t="s">
        <v>5</v>
      </c>
      <c r="F178" t="str">
        <f>_xlfn.XLOOKUP(Raw_transaction[[#This Row],[Categories]],Table1[Categories],Table1[Types])</f>
        <v>Expense</v>
      </c>
    </row>
    <row r="179" spans="2:6" x14ac:dyDescent="0.25">
      <c r="B179" s="3">
        <v>45128</v>
      </c>
      <c r="C179" t="str">
        <f>TEXT(Raw_transaction[[#This Row],[Date]],"mmm")</f>
        <v>Jul</v>
      </c>
      <c r="D179" s="5">
        <f>20+20</f>
        <v>40</v>
      </c>
      <c r="E179" t="s">
        <v>24</v>
      </c>
      <c r="F179" t="str">
        <f>_xlfn.XLOOKUP(Raw_transaction[[#This Row],[Categories]],Table1[Categories],Table1[Types])</f>
        <v>Expense</v>
      </c>
    </row>
    <row r="180" spans="2:6" x14ac:dyDescent="0.25">
      <c r="B180" s="3">
        <v>45128</v>
      </c>
      <c r="C180" t="str">
        <f>TEXT(Raw_transaction[[#This Row],[Date]],"mmm")</f>
        <v>Jul</v>
      </c>
      <c r="D180" s="5">
        <f>40.36+19.63+67.26</f>
        <v>127.25</v>
      </c>
      <c r="E180" t="s">
        <v>26</v>
      </c>
      <c r="F180" t="str">
        <f>_xlfn.XLOOKUP(Raw_transaction[[#This Row],[Categories]],Table1[Categories],Table1[Types])</f>
        <v>Expense</v>
      </c>
    </row>
    <row r="181" spans="2:6" x14ac:dyDescent="0.25">
      <c r="B181" s="3">
        <v>45129</v>
      </c>
      <c r="C181" t="str">
        <f>TEXT(Raw_transaction[[#This Row],[Date]],"mmm")</f>
        <v>Jul</v>
      </c>
      <c r="D181" s="5">
        <f>6.5+7.15</f>
        <v>13.65</v>
      </c>
      <c r="E181" t="s">
        <v>23</v>
      </c>
      <c r="F181" t="str">
        <f>_xlfn.XLOOKUP(Raw_transaction[[#This Row],[Categories]],Table1[Categories],Table1[Types])</f>
        <v>Expense</v>
      </c>
    </row>
    <row r="182" spans="2:6" x14ac:dyDescent="0.25">
      <c r="B182" s="3">
        <v>45129</v>
      </c>
      <c r="C182" t="str">
        <f>TEXT(Raw_transaction[[#This Row],[Date]],"mmm")</f>
        <v>Jul</v>
      </c>
      <c r="D182" s="5">
        <v>7.5</v>
      </c>
      <c r="E182" t="s">
        <v>26</v>
      </c>
      <c r="F182" t="str">
        <f>_xlfn.XLOOKUP(Raw_transaction[[#This Row],[Categories]],Table1[Categories],Table1[Types])</f>
        <v>Expense</v>
      </c>
    </row>
    <row r="183" spans="2:6" x14ac:dyDescent="0.25">
      <c r="B183" s="3">
        <v>45130</v>
      </c>
      <c r="C183" t="str">
        <f>TEXT(Raw_transaction[[#This Row],[Date]],"mmm")</f>
        <v>Jul</v>
      </c>
      <c r="D183" s="5">
        <v>15</v>
      </c>
      <c r="E183" t="s">
        <v>14</v>
      </c>
      <c r="F183" t="str">
        <f>_xlfn.XLOOKUP(Raw_transaction[[#This Row],[Categories]],Table1[Categories],Table1[Types])</f>
        <v>Expense</v>
      </c>
    </row>
    <row r="184" spans="2:6" x14ac:dyDescent="0.25">
      <c r="B184" s="3">
        <v>45132</v>
      </c>
      <c r="C184" t="str">
        <f>TEXT(Raw_transaction[[#This Row],[Date]],"mmm")</f>
        <v>Jul</v>
      </c>
      <c r="D184" s="5">
        <v>7.2</v>
      </c>
      <c r="E184" t="s">
        <v>25</v>
      </c>
      <c r="F184" t="str">
        <f>_xlfn.XLOOKUP(Raw_transaction[[#This Row],[Categories]],Table1[Categories],Table1[Types])</f>
        <v>Expense</v>
      </c>
    </row>
    <row r="185" spans="2:6" x14ac:dyDescent="0.25">
      <c r="B185" s="3">
        <v>45135</v>
      </c>
      <c r="C185" t="str">
        <f>TEXT(Raw_transaction[[#This Row],[Date]],"mmm")</f>
        <v>Jul</v>
      </c>
      <c r="D185" s="5">
        <v>2808.06</v>
      </c>
      <c r="E185" t="s">
        <v>6</v>
      </c>
      <c r="F185" t="str">
        <f>_xlfn.XLOOKUP(Raw_transaction[[#This Row],[Categories]],Table1[Categories],Table1[Types])</f>
        <v>Income</v>
      </c>
    </row>
    <row r="186" spans="2:6" x14ac:dyDescent="0.25">
      <c r="B186" s="3">
        <v>45136</v>
      </c>
      <c r="C186" t="str">
        <f>TEXT(Raw_transaction[[#This Row],[Date]],"mmm")</f>
        <v>Jul</v>
      </c>
      <c r="D186" s="5">
        <v>33.57</v>
      </c>
      <c r="E186" t="s">
        <v>12</v>
      </c>
      <c r="F186" t="str">
        <f>_xlfn.XLOOKUP(Raw_transaction[[#This Row],[Categories]],Table1[Categories],Table1[Types])</f>
        <v>Expense</v>
      </c>
    </row>
    <row r="187" spans="2:6" x14ac:dyDescent="0.25">
      <c r="B187" s="3">
        <v>45140</v>
      </c>
      <c r="C187" t="str">
        <f>TEXT(Raw_transaction[[#This Row],[Date]],"mmm")</f>
        <v>Aug</v>
      </c>
      <c r="D187" s="5">
        <v>2422</v>
      </c>
      <c r="E187" t="s">
        <v>10</v>
      </c>
      <c r="F187" t="str">
        <f>_xlfn.XLOOKUP(Raw_transaction[[#This Row],[Categories]],Table1[Categories],Table1[Types])</f>
        <v>Expense</v>
      </c>
    </row>
    <row r="188" spans="2:6" x14ac:dyDescent="0.25">
      <c r="B188" s="3">
        <v>45141</v>
      </c>
      <c r="C188" t="str">
        <f>TEXT(Raw_transaction[[#This Row],[Date]],"mmm")</f>
        <v>Aug</v>
      </c>
      <c r="D188" s="5">
        <v>139.81</v>
      </c>
      <c r="E188" t="s">
        <v>13</v>
      </c>
      <c r="F188" t="str">
        <f>_xlfn.XLOOKUP(Raw_transaction[[#This Row],[Categories]],Table1[Categories],Table1[Types])</f>
        <v>Expense</v>
      </c>
    </row>
    <row r="189" spans="2:6" x14ac:dyDescent="0.25">
      <c r="B189" s="3">
        <v>45142</v>
      </c>
      <c r="C189" t="str">
        <f>TEXT(Raw_transaction[[#This Row],[Date]],"mmm")</f>
        <v>Aug</v>
      </c>
      <c r="D189" s="5">
        <v>34.31</v>
      </c>
      <c r="E189" t="s">
        <v>23</v>
      </c>
      <c r="F189" t="str">
        <f>_xlfn.XLOOKUP(Raw_transaction[[#This Row],[Categories]],Table1[Categories],Table1[Types])</f>
        <v>Expense</v>
      </c>
    </row>
    <row r="190" spans="2:6" x14ac:dyDescent="0.25">
      <c r="B190" s="3">
        <v>45143</v>
      </c>
      <c r="C190" t="str">
        <f>TEXT(Raw_transaction[[#This Row],[Date]],"mmm")</f>
        <v>Aug</v>
      </c>
      <c r="D190" s="5">
        <f>90.52+23.44+5.48+68.05</f>
        <v>187.49</v>
      </c>
      <c r="E190" t="s">
        <v>12</v>
      </c>
      <c r="F190" t="str">
        <f>_xlfn.XLOOKUP(Raw_transaction[[#This Row],[Categories]],Table1[Categories],Table1[Types])</f>
        <v>Expense</v>
      </c>
    </row>
    <row r="191" spans="2:6" x14ac:dyDescent="0.25">
      <c r="B191" s="3">
        <v>45143</v>
      </c>
      <c r="C191" t="str">
        <f>TEXT(Raw_transaction[[#This Row],[Date]],"mmm")</f>
        <v>Aug</v>
      </c>
      <c r="D191" s="5">
        <v>78.44</v>
      </c>
      <c r="E191" t="s">
        <v>26</v>
      </c>
      <c r="F191" t="str">
        <f>_xlfn.XLOOKUP(Raw_transaction[[#This Row],[Categories]],Table1[Categories],Table1[Types])</f>
        <v>Expense</v>
      </c>
    </row>
    <row r="192" spans="2:6" x14ac:dyDescent="0.25">
      <c r="B192" s="3">
        <v>45145</v>
      </c>
      <c r="C192" t="str">
        <f>TEXT(Raw_transaction[[#This Row],[Date]],"mmm")</f>
        <v>Aug</v>
      </c>
      <c r="D192" s="5">
        <v>237.96</v>
      </c>
      <c r="E192" t="s">
        <v>24</v>
      </c>
      <c r="F192" t="str">
        <f>_xlfn.XLOOKUP(Raw_transaction[[#This Row],[Categories]],Table1[Categories],Table1[Types])</f>
        <v>Expense</v>
      </c>
    </row>
    <row r="193" spans="2:7" x14ac:dyDescent="0.25">
      <c r="B193" s="3">
        <v>45146</v>
      </c>
      <c r="C193" t="str">
        <f>TEXT(Raw_transaction[[#This Row],[Date]],"mmm")</f>
        <v>Aug</v>
      </c>
      <c r="D193" s="5">
        <v>4000</v>
      </c>
      <c r="E193" t="s">
        <v>14</v>
      </c>
      <c r="F193" t="str">
        <f>_xlfn.XLOOKUP(Raw_transaction[[#This Row],[Categories]],Table1[Categories],Table1[Types])</f>
        <v>Expense</v>
      </c>
      <c r="G193" t="s">
        <v>29</v>
      </c>
    </row>
    <row r="194" spans="2:7" x14ac:dyDescent="0.25">
      <c r="B194" s="3">
        <v>45147</v>
      </c>
      <c r="C194" t="str">
        <f>TEXT(Raw_transaction[[#This Row],[Date]],"mmm")</f>
        <v>Aug</v>
      </c>
      <c r="D194" s="5">
        <v>12.95</v>
      </c>
      <c r="E194" t="s">
        <v>13</v>
      </c>
      <c r="F194" t="str">
        <f>_xlfn.XLOOKUP(Raw_transaction[[#This Row],[Categories]],Table1[Categories],Table1[Types])</f>
        <v>Expense</v>
      </c>
    </row>
    <row r="195" spans="2:7" x14ac:dyDescent="0.25">
      <c r="B195" s="3">
        <v>45148</v>
      </c>
      <c r="C195" t="str">
        <f>TEXT(Raw_transaction[[#This Row],[Date]],"mmm")</f>
        <v>Aug</v>
      </c>
      <c r="D195" s="5">
        <v>32.549999999999997</v>
      </c>
      <c r="E195" t="s">
        <v>12</v>
      </c>
      <c r="F195" t="str">
        <f>_xlfn.XLOOKUP(Raw_transaction[[#This Row],[Categories]],Table1[Categories],Table1[Types])</f>
        <v>Expense</v>
      </c>
    </row>
    <row r="196" spans="2:7" x14ac:dyDescent="0.25">
      <c r="B196" s="3">
        <v>45148</v>
      </c>
      <c r="C196" t="str">
        <f>TEXT(Raw_transaction[[#This Row],[Date]],"mmm")</f>
        <v>Aug</v>
      </c>
      <c r="D196" s="5">
        <v>218.91</v>
      </c>
      <c r="E196" t="s">
        <v>23</v>
      </c>
      <c r="F196" t="str">
        <f>_xlfn.XLOOKUP(Raw_transaction[[#This Row],[Categories]],Table1[Categories],Table1[Types])</f>
        <v>Expense</v>
      </c>
    </row>
    <row r="197" spans="2:7" x14ac:dyDescent="0.25">
      <c r="B197" s="3">
        <v>45149</v>
      </c>
      <c r="C197" t="str">
        <f>TEXT(Raw_transaction[[#This Row],[Date]],"mmm")</f>
        <v>Aug</v>
      </c>
      <c r="D197" s="5">
        <v>2808.04</v>
      </c>
      <c r="E197" t="s">
        <v>6</v>
      </c>
      <c r="F197" t="str">
        <f>_xlfn.XLOOKUP(Raw_transaction[[#This Row],[Categories]],Table1[Categories],Table1[Types])</f>
        <v>Income</v>
      </c>
    </row>
    <row r="198" spans="2:7" x14ac:dyDescent="0.25">
      <c r="B198" s="3">
        <v>45150</v>
      </c>
      <c r="C198" t="str">
        <f>TEXT(Raw_transaction[[#This Row],[Date]],"mmm")</f>
        <v>Aug</v>
      </c>
      <c r="D198" s="5">
        <f>68.21+46.72+32.55</f>
        <v>147.47999999999999</v>
      </c>
      <c r="E198" t="s">
        <v>12</v>
      </c>
      <c r="F198" t="str">
        <f>_xlfn.XLOOKUP(Raw_transaction[[#This Row],[Categories]],Table1[Categories],Table1[Types])</f>
        <v>Expense</v>
      </c>
    </row>
    <row r="199" spans="2:7" x14ac:dyDescent="0.25">
      <c r="B199" s="3">
        <v>45154</v>
      </c>
      <c r="C199" t="str">
        <f>TEXT(Raw_transaction[[#This Row],[Date]],"mmm")</f>
        <v>Aug</v>
      </c>
      <c r="D199" s="5">
        <v>58.36</v>
      </c>
      <c r="E199" t="s">
        <v>5</v>
      </c>
      <c r="F199" t="str">
        <f>_xlfn.XLOOKUP(Raw_transaction[[#This Row],[Categories]],Table1[Categories],Table1[Types])</f>
        <v>Expense</v>
      </c>
    </row>
    <row r="200" spans="2:7" x14ac:dyDescent="0.25">
      <c r="B200" s="3">
        <v>45155</v>
      </c>
      <c r="C200" t="str">
        <f>TEXT(Raw_transaction[[#This Row],[Date]],"mmm")</f>
        <v>Aug</v>
      </c>
      <c r="D200" s="5">
        <v>298</v>
      </c>
      <c r="E200" t="s">
        <v>26</v>
      </c>
      <c r="F200" t="str">
        <f>_xlfn.XLOOKUP(Raw_transaction[[#This Row],[Categories]],Table1[Categories],Table1[Types])</f>
        <v>Expense</v>
      </c>
    </row>
    <row r="201" spans="2:7" x14ac:dyDescent="0.25">
      <c r="B201" s="3">
        <v>45155</v>
      </c>
      <c r="C201" t="str">
        <f>TEXT(Raw_transaction[[#This Row],[Date]],"mmm")</f>
        <v>Aug</v>
      </c>
      <c r="D201" s="5">
        <v>9.9</v>
      </c>
      <c r="E201" t="s">
        <v>23</v>
      </c>
      <c r="F201" t="str">
        <f>_xlfn.XLOOKUP(Raw_transaction[[#This Row],[Categories]],Table1[Categories],Table1[Types])</f>
        <v>Expense</v>
      </c>
    </row>
    <row r="202" spans="2:7" x14ac:dyDescent="0.25">
      <c r="B202" s="3">
        <v>45156</v>
      </c>
      <c r="C202" t="str">
        <f>TEXT(Raw_transaction[[#This Row],[Date]],"mmm")</f>
        <v>Aug</v>
      </c>
      <c r="D202" s="5">
        <v>260</v>
      </c>
      <c r="E202" t="s">
        <v>44</v>
      </c>
      <c r="F202" t="str">
        <f>_xlfn.XLOOKUP(Raw_transaction[[#This Row],[Categories]],Table1[Categories],Table1[Types])</f>
        <v>Income</v>
      </c>
    </row>
    <row r="203" spans="2:7" x14ac:dyDescent="0.25">
      <c r="B203" s="3">
        <v>45156</v>
      </c>
      <c r="C203" t="str">
        <f>TEXT(Raw_transaction[[#This Row],[Date]],"mmm")</f>
        <v>Aug</v>
      </c>
      <c r="D203" s="5">
        <v>4.3099999999999996</v>
      </c>
      <c r="E203" t="s">
        <v>13</v>
      </c>
      <c r="F203" t="str">
        <f>_xlfn.XLOOKUP(Raw_transaction[[#This Row],[Categories]],Table1[Categories],Table1[Types])</f>
        <v>Expense</v>
      </c>
    </row>
    <row r="204" spans="2:7" x14ac:dyDescent="0.25">
      <c r="B204" s="3">
        <v>45157</v>
      </c>
      <c r="C204" t="str">
        <f>TEXT(Raw_transaction[[#This Row],[Date]],"mmm")</f>
        <v>Aug</v>
      </c>
      <c r="D204" s="5">
        <v>11.95</v>
      </c>
      <c r="E204" t="s">
        <v>13</v>
      </c>
      <c r="F204" t="str">
        <f>_xlfn.XLOOKUP(Raw_transaction[[#This Row],[Categories]],Table1[Categories],Table1[Types])</f>
        <v>Expense</v>
      </c>
    </row>
    <row r="205" spans="2:7" x14ac:dyDescent="0.25">
      <c r="B205" s="3">
        <v>45158</v>
      </c>
      <c r="C205" t="str">
        <f>TEXT(Raw_transaction[[#This Row],[Date]],"mmm")</f>
        <v>Aug</v>
      </c>
      <c r="D205" s="5">
        <v>4.95</v>
      </c>
      <c r="E205" t="s">
        <v>23</v>
      </c>
      <c r="F205" t="str">
        <f>_xlfn.XLOOKUP(Raw_transaction[[#This Row],[Categories]],Table1[Categories],Table1[Types])</f>
        <v>Expense</v>
      </c>
    </row>
    <row r="206" spans="2:7" x14ac:dyDescent="0.25">
      <c r="B206" s="3">
        <v>45159</v>
      </c>
      <c r="C206" t="str">
        <f>TEXT(Raw_transaction[[#This Row],[Date]],"mmm")</f>
        <v>Aug</v>
      </c>
      <c r="D206" s="5">
        <f>49+16.63</f>
        <v>65.63</v>
      </c>
      <c r="E206" t="s">
        <v>26</v>
      </c>
      <c r="F206" t="str">
        <f>_xlfn.XLOOKUP(Raw_transaction[[#This Row],[Categories]],Table1[Categories],Table1[Types])</f>
        <v>Expense</v>
      </c>
    </row>
    <row r="207" spans="2:7" x14ac:dyDescent="0.25">
      <c r="B207" s="3">
        <v>45159</v>
      </c>
      <c r="C207" t="str">
        <f>TEXT(Raw_transaction[[#This Row],[Date]],"mmm")</f>
        <v>Aug</v>
      </c>
      <c r="D207" s="5">
        <v>3.39</v>
      </c>
      <c r="E207" t="s">
        <v>12</v>
      </c>
      <c r="F207" t="str">
        <f>_xlfn.XLOOKUP(Raw_transaction[[#This Row],[Categories]],Table1[Categories],Table1[Types])</f>
        <v>Expense</v>
      </c>
    </row>
    <row r="208" spans="2:7" x14ac:dyDescent="0.25">
      <c r="B208" s="3">
        <v>45163</v>
      </c>
      <c r="C208" t="str">
        <f>TEXT(Raw_transaction[[#This Row],[Date]],"mmm")</f>
        <v>Aug</v>
      </c>
      <c r="D208" s="5">
        <v>2709.31</v>
      </c>
      <c r="E208" t="s">
        <v>6</v>
      </c>
      <c r="F208" t="str">
        <f>_xlfn.XLOOKUP(Raw_transaction[[#This Row],[Categories]],Table1[Categories],Table1[Types])</f>
        <v>Income</v>
      </c>
    </row>
    <row r="209" spans="2:6" x14ac:dyDescent="0.25">
      <c r="B209" s="3">
        <v>45164</v>
      </c>
      <c r="C209" t="str">
        <f>TEXT(Raw_transaction[[#This Row],[Date]],"mmm")</f>
        <v>Aug</v>
      </c>
      <c r="D209" s="5">
        <v>5.5</v>
      </c>
      <c r="E209" t="s">
        <v>23</v>
      </c>
      <c r="F209" t="str">
        <f>_xlfn.XLOOKUP(Raw_transaction[[#This Row],[Categories]],Table1[Categories],Table1[Types])</f>
        <v>Expense</v>
      </c>
    </row>
    <row r="210" spans="2:6" x14ac:dyDescent="0.25">
      <c r="B210" s="3">
        <v>45164</v>
      </c>
      <c r="C210" t="str">
        <f>TEXT(Raw_transaction[[#This Row],[Date]],"mmm")</f>
        <v>Aug</v>
      </c>
      <c r="D210" s="5">
        <v>224.95</v>
      </c>
      <c r="E210" t="s">
        <v>26</v>
      </c>
      <c r="F210" t="str">
        <f>_xlfn.XLOOKUP(Raw_transaction[[#This Row],[Categories]],Table1[Categories],Table1[Types])</f>
        <v>Expense</v>
      </c>
    </row>
    <row r="211" spans="2:6" x14ac:dyDescent="0.25">
      <c r="B211" s="3">
        <v>45167</v>
      </c>
      <c r="C211" t="str">
        <f>TEXT(Raw_transaction[[#This Row],[Date]],"mmm")</f>
        <v>Aug</v>
      </c>
      <c r="D211" s="5">
        <f>2.99+51.81</f>
        <v>54.800000000000004</v>
      </c>
      <c r="E211" t="s">
        <v>12</v>
      </c>
      <c r="F211" t="str">
        <f>_xlfn.XLOOKUP(Raw_transaction[[#This Row],[Categories]],Table1[Categories],Table1[Types])</f>
        <v>Expense</v>
      </c>
    </row>
    <row r="212" spans="2:6" x14ac:dyDescent="0.25">
      <c r="B212" s="3">
        <v>45169</v>
      </c>
      <c r="C212" t="str">
        <f>TEXT(Raw_transaction[[#This Row],[Date]],"mmm")</f>
        <v>Aug</v>
      </c>
      <c r="D212" s="5">
        <v>14.3</v>
      </c>
      <c r="E212" t="s">
        <v>23</v>
      </c>
      <c r="F212" t="str">
        <f>_xlfn.XLOOKUP(Raw_transaction[[#This Row],[Categories]],Table1[Categories],Table1[Types])</f>
        <v>Expense</v>
      </c>
    </row>
    <row r="213" spans="2:6" x14ac:dyDescent="0.25">
      <c r="B213" s="3">
        <v>45170</v>
      </c>
      <c r="C213" t="str">
        <f>TEXT(Raw_transaction[[#This Row],[Date]],"mmm")</f>
        <v>Sep</v>
      </c>
      <c r="D213" s="5">
        <v>0</v>
      </c>
      <c r="E213" t="s">
        <v>6</v>
      </c>
      <c r="F213" t="str">
        <f>_xlfn.XLOOKUP(Raw_transaction[[#This Row],[Categories]],Table1[Categories],Table1[Types])</f>
        <v>Income</v>
      </c>
    </row>
    <row r="214" spans="2:6" x14ac:dyDescent="0.25">
      <c r="B214" s="3">
        <v>45170</v>
      </c>
      <c r="C214" t="str">
        <f>TEXT(Raw_transaction[[#This Row],[Date]],"mmm")</f>
        <v>Sep</v>
      </c>
      <c r="D214" s="5">
        <v>0</v>
      </c>
      <c r="E214" t="s">
        <v>14</v>
      </c>
      <c r="F214" t="str">
        <f>_xlfn.XLOOKUP(Raw_transaction[[#This Row],[Categories]],Table1[Categories],Table1[Types])</f>
        <v>Expense</v>
      </c>
    </row>
    <row r="215" spans="2:6" x14ac:dyDescent="0.25">
      <c r="B215" s="3">
        <v>45200</v>
      </c>
      <c r="C215" t="str">
        <f>TEXT(Raw_transaction[[#This Row],[Date]],"mmm")</f>
        <v>Oct</v>
      </c>
      <c r="D215" s="5">
        <v>0</v>
      </c>
      <c r="E215" t="s">
        <v>6</v>
      </c>
      <c r="F215" t="str">
        <f>_xlfn.XLOOKUP(Raw_transaction[[#This Row],[Categories]],Table1[Categories],Table1[Types])</f>
        <v>Income</v>
      </c>
    </row>
    <row r="216" spans="2:6" x14ac:dyDescent="0.25">
      <c r="B216" s="3">
        <v>45200</v>
      </c>
      <c r="C216" t="str">
        <f>TEXT(Raw_transaction[[#This Row],[Date]],"mmm")</f>
        <v>Oct</v>
      </c>
      <c r="D216" s="5">
        <v>0</v>
      </c>
      <c r="E216" t="s">
        <v>14</v>
      </c>
      <c r="F216" t="str">
        <f>_xlfn.XLOOKUP(Raw_transaction[[#This Row],[Categories]],Table1[Categories],Table1[Types])</f>
        <v>Expense</v>
      </c>
    </row>
    <row r="217" spans="2:6" x14ac:dyDescent="0.25">
      <c r="B217" s="3">
        <v>45231</v>
      </c>
      <c r="C217" t="str">
        <f>TEXT(Raw_transaction[[#This Row],[Date]],"mmm")</f>
        <v>Nov</v>
      </c>
      <c r="D217" s="5">
        <v>0</v>
      </c>
      <c r="E217" t="s">
        <v>6</v>
      </c>
      <c r="F217" t="str">
        <f>_xlfn.XLOOKUP(Raw_transaction[[#This Row],[Categories]],Table1[Categories],Table1[Types])</f>
        <v>Income</v>
      </c>
    </row>
    <row r="218" spans="2:6" x14ac:dyDescent="0.25">
      <c r="B218" s="3">
        <v>45231</v>
      </c>
      <c r="C218" t="str">
        <f>TEXT(Raw_transaction[[#This Row],[Date]],"mmm")</f>
        <v>Nov</v>
      </c>
      <c r="D218" s="5">
        <v>0</v>
      </c>
      <c r="E218" t="s">
        <v>14</v>
      </c>
      <c r="F218" t="str">
        <f>_xlfn.XLOOKUP(Raw_transaction[[#This Row],[Categories]],Table1[Categories],Table1[Types])</f>
        <v>Expense</v>
      </c>
    </row>
    <row r="219" spans="2:6" x14ac:dyDescent="0.25">
      <c r="B219" s="3">
        <v>45262</v>
      </c>
      <c r="C219" t="str">
        <f>TEXT(Raw_transaction[[#This Row],[Date]],"mmm")</f>
        <v>Dec</v>
      </c>
      <c r="D219" s="5">
        <v>0</v>
      </c>
      <c r="E219" t="s">
        <v>6</v>
      </c>
      <c r="F219" t="str">
        <f>_xlfn.XLOOKUP(Raw_transaction[[#This Row],[Categories]],Table1[Categories],Table1[Types])</f>
        <v>Income</v>
      </c>
    </row>
    <row r="220" spans="2:6" x14ac:dyDescent="0.25">
      <c r="B220" s="3">
        <v>45262</v>
      </c>
      <c r="C220" t="str">
        <f>TEXT(Raw_transaction[[#This Row],[Date]],"mmm")</f>
        <v>Dec</v>
      </c>
      <c r="D220" s="5">
        <v>0</v>
      </c>
      <c r="E220" t="s">
        <v>14</v>
      </c>
      <c r="F220" t="str">
        <f>_xlfn.XLOOKUP(Raw_transaction[[#This Row],[Categories]],Table1[Categories],Table1[Types])</f>
        <v>Expense</v>
      </c>
    </row>
  </sheetData>
  <dataValidations count="1">
    <dataValidation type="list" allowBlank="1" showInputMessage="1" showErrorMessage="1" sqref="E4:E220" xr:uid="{A5380E93-8AF4-4D03-8D6E-C843914F3D6C}">
      <formula1>$J$4:$J$19</formula1>
    </dataValidation>
  </dataValidations>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E8E05-8FCB-488B-A76A-7139C217C8F3}">
  <dimension ref="A1:F60"/>
  <sheetViews>
    <sheetView workbookViewId="0">
      <selection activeCell="C4" sqref="C4:D15"/>
    </sheetView>
  </sheetViews>
  <sheetFormatPr defaultRowHeight="15" x14ac:dyDescent="0.25"/>
  <cols>
    <col min="1" max="1" width="16" bestFit="1" customWidth="1"/>
    <col min="2" max="2" width="14.85546875" bestFit="1" customWidth="1"/>
    <col min="4" max="4" width="15.7109375" customWidth="1"/>
    <col min="5" max="5" width="10.140625" bestFit="1" customWidth="1"/>
  </cols>
  <sheetData>
    <row r="1" spans="1:4" x14ac:dyDescent="0.25">
      <c r="A1" s="6" t="s">
        <v>3</v>
      </c>
      <c r="B1" t="s">
        <v>8</v>
      </c>
    </row>
    <row r="3" spans="1:4" x14ac:dyDescent="0.25">
      <c r="A3" s="6" t="s">
        <v>35</v>
      </c>
      <c r="B3" t="s">
        <v>34</v>
      </c>
    </row>
    <row r="4" spans="1:4" x14ac:dyDescent="0.25">
      <c r="A4" s="7" t="s">
        <v>38</v>
      </c>
      <c r="B4" s="8">
        <v>12192.83</v>
      </c>
      <c r="C4" s="36" t="s">
        <v>38</v>
      </c>
      <c r="D4" s="7">
        <f>B4</f>
        <v>12192.83</v>
      </c>
    </row>
    <row r="5" spans="1:4" x14ac:dyDescent="0.25">
      <c r="A5" s="7" t="s">
        <v>37</v>
      </c>
      <c r="B5" s="8">
        <v>32291.5</v>
      </c>
      <c r="C5" s="36" t="s">
        <v>37</v>
      </c>
      <c r="D5" s="7">
        <f t="shared" ref="D5:D15" si="0">B5</f>
        <v>32291.5</v>
      </c>
    </row>
    <row r="6" spans="1:4" x14ac:dyDescent="0.25">
      <c r="A6" s="7" t="s">
        <v>40</v>
      </c>
      <c r="B6" s="8">
        <v>6802.14</v>
      </c>
      <c r="C6" s="36" t="s">
        <v>40</v>
      </c>
      <c r="D6" s="7">
        <f t="shared" si="0"/>
        <v>6802.14</v>
      </c>
    </row>
    <row r="7" spans="1:4" x14ac:dyDescent="0.25">
      <c r="A7" s="7" t="s">
        <v>36</v>
      </c>
      <c r="B7" s="8">
        <v>5655.3</v>
      </c>
      <c r="C7" s="36" t="s">
        <v>36</v>
      </c>
      <c r="D7" s="7">
        <f t="shared" si="0"/>
        <v>5655.3</v>
      </c>
    </row>
    <row r="8" spans="1:4" x14ac:dyDescent="0.25">
      <c r="A8" s="7" t="s">
        <v>41</v>
      </c>
      <c r="B8" s="8">
        <v>5616.1100000000006</v>
      </c>
      <c r="C8" s="36" t="s">
        <v>41</v>
      </c>
      <c r="D8" s="7">
        <f t="shared" si="0"/>
        <v>5616.1100000000006</v>
      </c>
    </row>
    <row r="9" spans="1:4" x14ac:dyDescent="0.25">
      <c r="A9" s="7" t="s">
        <v>39</v>
      </c>
      <c r="B9" s="8">
        <v>8424.17</v>
      </c>
      <c r="C9" s="36" t="s">
        <v>39</v>
      </c>
      <c r="D9" s="7">
        <f t="shared" si="0"/>
        <v>8424.17</v>
      </c>
    </row>
    <row r="10" spans="1:4" x14ac:dyDescent="0.25">
      <c r="A10" s="7" t="s">
        <v>43</v>
      </c>
      <c r="B10" s="8">
        <v>6091.12</v>
      </c>
      <c r="C10" s="36" t="s">
        <v>43</v>
      </c>
      <c r="D10" s="7">
        <f t="shared" si="0"/>
        <v>6091.12</v>
      </c>
    </row>
    <row r="11" spans="1:4" x14ac:dyDescent="0.25">
      <c r="A11" s="7" t="s">
        <v>45</v>
      </c>
      <c r="B11" s="8">
        <v>5777.35</v>
      </c>
      <c r="C11" s="36" t="s">
        <v>45</v>
      </c>
      <c r="D11" s="7">
        <f t="shared" si="0"/>
        <v>5777.35</v>
      </c>
    </row>
    <row r="12" spans="1:4" x14ac:dyDescent="0.25">
      <c r="A12" s="7" t="s">
        <v>49</v>
      </c>
      <c r="B12" s="8">
        <v>0</v>
      </c>
      <c r="C12" s="36" t="s">
        <v>49</v>
      </c>
      <c r="D12" s="7">
        <f t="shared" si="0"/>
        <v>0</v>
      </c>
    </row>
    <row r="13" spans="1:4" x14ac:dyDescent="0.25">
      <c r="A13" s="7" t="s">
        <v>48</v>
      </c>
      <c r="B13" s="8">
        <v>0</v>
      </c>
      <c r="C13" s="36" t="s">
        <v>48</v>
      </c>
      <c r="D13" s="7">
        <f t="shared" si="0"/>
        <v>0</v>
      </c>
    </row>
    <row r="14" spans="1:4" x14ac:dyDescent="0.25">
      <c r="A14" s="7" t="s">
        <v>47</v>
      </c>
      <c r="B14" s="8">
        <v>0</v>
      </c>
      <c r="C14" s="36" t="s">
        <v>47</v>
      </c>
      <c r="D14" s="7">
        <f t="shared" si="0"/>
        <v>0</v>
      </c>
    </row>
    <row r="15" spans="1:4" x14ac:dyDescent="0.25">
      <c r="A15" s="7" t="s">
        <v>46</v>
      </c>
      <c r="B15" s="8">
        <v>0</v>
      </c>
      <c r="C15" s="36" t="s">
        <v>46</v>
      </c>
      <c r="D15" s="7">
        <f t="shared" si="0"/>
        <v>0</v>
      </c>
    </row>
    <row r="19" spans="1:6" x14ac:dyDescent="0.25">
      <c r="A19" s="6" t="s">
        <v>3</v>
      </c>
      <c r="B19" t="s">
        <v>9</v>
      </c>
    </row>
    <row r="20" spans="1:6" x14ac:dyDescent="0.25">
      <c r="E20" s="8"/>
      <c r="F20" s="46"/>
    </row>
    <row r="21" spans="1:6" x14ac:dyDescent="0.25">
      <c r="A21" s="6" t="s">
        <v>35</v>
      </c>
      <c r="B21" t="s">
        <v>34</v>
      </c>
      <c r="E21" s="8"/>
      <c r="F21" s="46"/>
    </row>
    <row r="22" spans="1:6" x14ac:dyDescent="0.25">
      <c r="A22" s="7" t="s">
        <v>38</v>
      </c>
      <c r="B22" s="8">
        <v>3929.7799999999997</v>
      </c>
      <c r="E22" s="8"/>
      <c r="F22" s="46"/>
    </row>
    <row r="23" spans="1:6" x14ac:dyDescent="0.25">
      <c r="A23" s="7" t="s">
        <v>37</v>
      </c>
      <c r="B23" s="8">
        <v>3324.8000000000006</v>
      </c>
    </row>
    <row r="24" spans="1:6" x14ac:dyDescent="0.25">
      <c r="A24" s="7" t="s">
        <v>40</v>
      </c>
      <c r="B24" s="8">
        <v>4715.5599999999995</v>
      </c>
    </row>
    <row r="25" spans="1:6" x14ac:dyDescent="0.25">
      <c r="A25" s="7" t="s">
        <v>36</v>
      </c>
      <c r="B25" s="8">
        <v>8135.0599999999995</v>
      </c>
    </row>
    <row r="26" spans="1:6" x14ac:dyDescent="0.25">
      <c r="A26" s="7" t="s">
        <v>41</v>
      </c>
      <c r="B26" s="8">
        <v>7135.829999999999</v>
      </c>
    </row>
    <row r="27" spans="1:6" x14ac:dyDescent="0.25">
      <c r="A27" s="7" t="s">
        <v>39</v>
      </c>
      <c r="B27" s="8">
        <v>6551.2299999999987</v>
      </c>
    </row>
    <row r="28" spans="1:6" x14ac:dyDescent="0.25">
      <c r="A28" s="7" t="s">
        <v>43</v>
      </c>
      <c r="B28" s="8">
        <v>30521.279999999999</v>
      </c>
    </row>
    <row r="29" spans="1:6" x14ac:dyDescent="0.25">
      <c r="A29" s="7" t="s">
        <v>45</v>
      </c>
      <c r="B29" s="8">
        <v>8267.94</v>
      </c>
    </row>
    <row r="30" spans="1:6" x14ac:dyDescent="0.25">
      <c r="A30" s="7" t="s">
        <v>49</v>
      </c>
      <c r="B30" s="8">
        <v>0</v>
      </c>
    </row>
    <row r="31" spans="1:6" x14ac:dyDescent="0.25">
      <c r="A31" s="7" t="s">
        <v>48</v>
      </c>
      <c r="B31" s="8">
        <v>0</v>
      </c>
    </row>
    <row r="32" spans="1:6" x14ac:dyDescent="0.25">
      <c r="A32" s="7" t="s">
        <v>47</v>
      </c>
      <c r="B32" s="8">
        <v>0</v>
      </c>
    </row>
    <row r="33" spans="1:2" x14ac:dyDescent="0.25">
      <c r="A33" s="7" t="s">
        <v>46</v>
      </c>
      <c r="B33" s="8">
        <v>0</v>
      </c>
    </row>
    <row r="37" spans="1:2" x14ac:dyDescent="0.25">
      <c r="A37" s="6" t="s">
        <v>3</v>
      </c>
      <c r="B37" t="s">
        <v>9</v>
      </c>
    </row>
    <row r="39" spans="1:2" x14ac:dyDescent="0.25">
      <c r="A39" s="6" t="s">
        <v>35</v>
      </c>
      <c r="B39" t="s">
        <v>34</v>
      </c>
    </row>
    <row r="40" spans="1:2" x14ac:dyDescent="0.25">
      <c r="A40" s="7" t="s">
        <v>14</v>
      </c>
      <c r="B40" s="8">
        <v>43660.82</v>
      </c>
    </row>
    <row r="41" spans="1:2" x14ac:dyDescent="0.25">
      <c r="A41" s="7" t="s">
        <v>10</v>
      </c>
      <c r="B41" s="8">
        <v>14532</v>
      </c>
    </row>
    <row r="42" spans="1:2" x14ac:dyDescent="0.25">
      <c r="A42" s="7" t="s">
        <v>26</v>
      </c>
      <c r="B42" s="8">
        <v>3469.4100000000003</v>
      </c>
    </row>
    <row r="43" spans="1:2" x14ac:dyDescent="0.25">
      <c r="A43" s="7" t="s">
        <v>18</v>
      </c>
      <c r="B43" s="8">
        <v>2937.3899999999994</v>
      </c>
    </row>
    <row r="44" spans="1:2" x14ac:dyDescent="0.25">
      <c r="A44" s="7" t="s">
        <v>25</v>
      </c>
      <c r="B44" s="8">
        <v>2752.95</v>
      </c>
    </row>
    <row r="45" spans="1:2" x14ac:dyDescent="0.25">
      <c r="A45" s="7" t="s">
        <v>12</v>
      </c>
      <c r="B45" s="8">
        <v>1606.8199999999997</v>
      </c>
    </row>
    <row r="46" spans="1:2" x14ac:dyDescent="0.25">
      <c r="A46" s="7" t="s">
        <v>23</v>
      </c>
      <c r="B46" s="8">
        <v>1566.4900000000005</v>
      </c>
    </row>
    <row r="47" spans="1:2" x14ac:dyDescent="0.25">
      <c r="A47" s="7" t="s">
        <v>24</v>
      </c>
      <c r="B47" s="8">
        <v>988.95000000000016</v>
      </c>
    </row>
    <row r="48" spans="1:2" x14ac:dyDescent="0.25">
      <c r="A48" s="7" t="s">
        <v>5</v>
      </c>
      <c r="B48" s="8">
        <v>825.36</v>
      </c>
    </row>
    <row r="49" spans="1:3" x14ac:dyDescent="0.25">
      <c r="A49" s="7" t="s">
        <v>13</v>
      </c>
      <c r="B49" s="8">
        <v>241.29</v>
      </c>
    </row>
    <row r="53" spans="1:3" x14ac:dyDescent="0.25">
      <c r="A53" s="6" t="s">
        <v>3</v>
      </c>
      <c r="B53" t="s">
        <v>8</v>
      </c>
    </row>
    <row r="55" spans="1:3" x14ac:dyDescent="0.25">
      <c r="A55" s="6" t="s">
        <v>35</v>
      </c>
      <c r="B55" t="s">
        <v>34</v>
      </c>
    </row>
    <row r="56" spans="1:3" x14ac:dyDescent="0.25">
      <c r="A56" s="7" t="s">
        <v>6</v>
      </c>
      <c r="B56" s="8">
        <v>40830.92</v>
      </c>
      <c r="C56" s="46"/>
    </row>
    <row r="57" spans="1:3" x14ac:dyDescent="0.25">
      <c r="A57" s="7" t="s">
        <v>7</v>
      </c>
      <c r="B57" s="8">
        <v>29045.96</v>
      </c>
      <c r="C57" s="46"/>
    </row>
    <row r="58" spans="1:3" x14ac:dyDescent="0.25">
      <c r="A58" s="7" t="s">
        <v>19</v>
      </c>
      <c r="B58" s="8">
        <v>12192.83</v>
      </c>
      <c r="C58" s="46"/>
    </row>
    <row r="59" spans="1:3" x14ac:dyDescent="0.25">
      <c r="A59" s="7" t="s">
        <v>17</v>
      </c>
      <c r="B59" s="8">
        <v>520.80999999999995</v>
      </c>
      <c r="C59" s="46"/>
    </row>
    <row r="60" spans="1:3" x14ac:dyDescent="0.25">
      <c r="A60" s="7" t="s">
        <v>44</v>
      </c>
      <c r="B60" s="8">
        <v>260</v>
      </c>
      <c r="C60" s="4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6F4D5-E400-4BCF-80A1-5A36211E75A0}">
  <dimension ref="A1:Z32"/>
  <sheetViews>
    <sheetView tabSelected="1" zoomScale="60" zoomScaleNormal="60" workbookViewId="0">
      <selection activeCell="S51" sqref="S51"/>
    </sheetView>
  </sheetViews>
  <sheetFormatPr defaultRowHeight="15" x14ac:dyDescent="0.25"/>
  <cols>
    <col min="1" max="1" width="9.140625" style="4"/>
    <col min="2" max="2" width="8" style="4" customWidth="1"/>
    <col min="3" max="3" width="4" style="2" customWidth="1"/>
    <col min="4" max="4" width="15.28515625" style="2" customWidth="1"/>
    <col min="5" max="5" width="23.140625" style="2" customWidth="1"/>
    <col min="6" max="6" width="16.28515625" style="2" bestFit="1" customWidth="1"/>
    <col min="7" max="7" width="10.5703125" style="2" customWidth="1"/>
    <col min="8" max="8" width="15.42578125" style="2" customWidth="1"/>
    <col min="9" max="9" width="19.5703125" style="2" customWidth="1"/>
    <col min="10" max="10" width="9.85546875" style="2" bestFit="1" customWidth="1"/>
    <col min="11" max="11" width="10.85546875" style="2" bestFit="1" customWidth="1"/>
    <col min="12" max="12" width="14.28515625" style="2" bestFit="1" customWidth="1"/>
    <col min="13" max="13" width="17.85546875" style="2" customWidth="1"/>
    <col min="14" max="14" width="9.140625" style="2"/>
    <col min="15" max="15" width="15.42578125" style="2" customWidth="1"/>
    <col min="16" max="17" width="14.28515625" style="2" bestFit="1" customWidth="1"/>
    <col min="18" max="18" width="16" style="2" customWidth="1"/>
    <col min="19" max="20" width="9.140625" style="2"/>
    <col min="21" max="21" width="29.140625" style="2" customWidth="1"/>
    <col min="22" max="22" width="11.42578125" style="2" customWidth="1"/>
    <col min="23" max="23" width="9.140625" style="2"/>
    <col min="24" max="24" width="6.28515625" style="2" customWidth="1"/>
    <col min="25" max="25" width="9.85546875" style="2" bestFit="1" customWidth="1"/>
    <col min="26" max="16384" width="9.140625" style="2"/>
  </cols>
  <sheetData>
    <row r="1" spans="1:14" s="4" customFormat="1" ht="20.25" customHeight="1" x14ac:dyDescent="0.25">
      <c r="E1" s="74" t="s">
        <v>22</v>
      </c>
      <c r="F1" s="74"/>
      <c r="G1" s="74"/>
      <c r="H1" s="74"/>
      <c r="I1" s="74"/>
      <c r="J1" s="74"/>
      <c r="K1" s="74"/>
      <c r="L1" s="74"/>
      <c r="M1" s="74"/>
      <c r="N1" s="74"/>
    </row>
    <row r="2" spans="1:14" s="4" customFormat="1" ht="33.75" customHeight="1" x14ac:dyDescent="0.25">
      <c r="E2" s="74"/>
      <c r="F2" s="74"/>
      <c r="G2" s="74"/>
      <c r="H2" s="74"/>
      <c r="I2" s="74"/>
      <c r="J2" s="74"/>
      <c r="K2" s="74"/>
      <c r="L2" s="74"/>
      <c r="M2" s="74"/>
      <c r="N2" s="74"/>
    </row>
    <row r="3" spans="1:14" s="4" customFormat="1" ht="24" customHeight="1" x14ac:dyDescent="0.25">
      <c r="E3" s="74"/>
      <c r="F3" s="74"/>
      <c r="G3" s="74"/>
      <c r="H3" s="74"/>
      <c r="I3" s="74"/>
      <c r="J3" s="74"/>
      <c r="K3" s="74"/>
      <c r="L3" s="74"/>
      <c r="M3" s="74"/>
      <c r="N3" s="74"/>
    </row>
    <row r="6" spans="1:14" x14ac:dyDescent="0.25">
      <c r="A6" s="18"/>
      <c r="B6" s="18"/>
      <c r="C6" s="11"/>
      <c r="I6" s="24"/>
    </row>
    <row r="7" spans="1:14" ht="31.5" x14ac:dyDescent="0.5">
      <c r="D7" s="11"/>
      <c r="E7" s="33"/>
      <c r="F7" s="11"/>
    </row>
    <row r="8" spans="1:14" ht="31.5" customHeight="1" x14ac:dyDescent="0.25"/>
    <row r="9" spans="1:14" ht="31.5" customHeight="1" x14ac:dyDescent="0.5">
      <c r="E9" s="48" t="s">
        <v>8</v>
      </c>
      <c r="F9" s="48"/>
      <c r="G9" s="48"/>
      <c r="H9" s="49">
        <f>E31</f>
        <v>82850.52</v>
      </c>
      <c r="I9" s="49"/>
      <c r="J9" s="73">
        <f>H9/($H$9+$H$10+$H$11)</f>
        <v>0.5</v>
      </c>
    </row>
    <row r="10" spans="1:14" ht="31.5" x14ac:dyDescent="0.5">
      <c r="A10" s="10"/>
      <c r="E10" s="48" t="s">
        <v>9</v>
      </c>
      <c r="F10" s="48"/>
      <c r="G10" s="48"/>
      <c r="H10" s="49">
        <f>P31</f>
        <v>72581.48</v>
      </c>
      <c r="I10" s="49"/>
      <c r="J10" s="73">
        <f>H10/($H$9+$H$10+$H$11)</f>
        <v>0.43802670158256091</v>
      </c>
    </row>
    <row r="11" spans="1:14" ht="31.5" x14ac:dyDescent="0.5">
      <c r="E11" s="48" t="s">
        <v>21</v>
      </c>
      <c r="F11" s="48"/>
      <c r="G11" s="48"/>
      <c r="H11" s="50">
        <f>H9-H10</f>
        <v>10269.040000000008</v>
      </c>
      <c r="I11" s="50"/>
      <c r="J11" s="73">
        <f>H11/($H$9+$H$10+$H$11)</f>
        <v>6.1973298417439066E-2</v>
      </c>
    </row>
    <row r="17" spans="4:26" ht="38.25" customHeight="1" x14ac:dyDescent="0.25">
      <c r="D17" s="19" t="s">
        <v>50</v>
      </c>
      <c r="E17" s="19"/>
      <c r="F17" s="19"/>
      <c r="G17" s="19"/>
      <c r="H17" s="9"/>
      <c r="I17" s="9"/>
      <c r="J17" s="9" t="s">
        <v>55</v>
      </c>
      <c r="K17" s="9"/>
      <c r="L17" s="9"/>
      <c r="O17" s="19" t="s">
        <v>51</v>
      </c>
      <c r="P17" s="19"/>
      <c r="Q17" s="19"/>
      <c r="R17" s="19"/>
      <c r="S17" s="9"/>
      <c r="T17" s="9"/>
      <c r="U17" s="9"/>
      <c r="V17" s="9"/>
      <c r="W17" s="9" t="s">
        <v>56</v>
      </c>
      <c r="X17" s="9"/>
      <c r="Y17" s="9"/>
    </row>
    <row r="18" spans="4:26" ht="21" x14ac:dyDescent="0.35">
      <c r="D18" s="12" t="s">
        <v>0</v>
      </c>
      <c r="E18" s="16" t="s">
        <v>53</v>
      </c>
      <c r="F18" s="17"/>
      <c r="G18" s="17"/>
      <c r="I18" s="39" t="s">
        <v>2</v>
      </c>
      <c r="J18" s="40" t="s">
        <v>57</v>
      </c>
      <c r="K18" s="41"/>
      <c r="L18" s="42"/>
      <c r="M18" s="43" t="s">
        <v>59</v>
      </c>
      <c r="O18" s="20" t="s">
        <v>0</v>
      </c>
      <c r="P18" s="25" t="s">
        <v>58</v>
      </c>
      <c r="Q18" s="25"/>
      <c r="R18" s="21"/>
      <c r="U18" s="35" t="s">
        <v>2</v>
      </c>
      <c r="V18" s="30" t="s">
        <v>57</v>
      </c>
      <c r="W18" s="37"/>
      <c r="X18" s="38"/>
      <c r="Y18" s="30" t="s">
        <v>59</v>
      </c>
      <c r="Z18" s="38"/>
    </row>
    <row r="19" spans="4:26" ht="18.75" x14ac:dyDescent="0.3">
      <c r="D19" s="47" t="str">
        <f>Analysis!A4</f>
        <v>Jan</v>
      </c>
      <c r="E19" s="14">
        <f>Analysis!B4</f>
        <v>12192.83</v>
      </c>
      <c r="F19" s="15"/>
      <c r="G19" s="15"/>
      <c r="I19" s="34" t="str">
        <f>Analysis!A56</f>
        <v>Salary</v>
      </c>
      <c r="J19" s="23">
        <f>Analysis!B56</f>
        <v>40830.92</v>
      </c>
      <c r="K19" s="23"/>
      <c r="L19" s="23"/>
      <c r="M19" s="56">
        <f>J19/$J$24</f>
        <v>0.49282635763782767</v>
      </c>
      <c r="O19" s="13" t="str">
        <f>Analysis!A22</f>
        <v>Jan</v>
      </c>
      <c r="P19" s="26">
        <f>Analysis!B22</f>
        <v>3929.7799999999997</v>
      </c>
      <c r="Q19" s="26"/>
      <c r="R19" s="14"/>
      <c r="U19" s="52" t="str">
        <f>Analysis!A40</f>
        <v>Other</v>
      </c>
      <c r="V19" s="53">
        <f>Analysis!B40</f>
        <v>43660.82</v>
      </c>
      <c r="W19" s="54"/>
      <c r="X19" s="55"/>
      <c r="Y19" s="57">
        <f>V19/$V$29</f>
        <v>0.60154215648399556</v>
      </c>
      <c r="Z19" s="58"/>
    </row>
    <row r="20" spans="4:26" ht="18.75" x14ac:dyDescent="0.3">
      <c r="D20" s="47" t="str">
        <f>Analysis!A5</f>
        <v>Feb</v>
      </c>
      <c r="E20" s="14">
        <f>Analysis!B5</f>
        <v>32291.5</v>
      </c>
      <c r="F20" s="15"/>
      <c r="G20" s="15"/>
      <c r="I20" s="34" t="str">
        <f>Analysis!A57</f>
        <v>Bonus</v>
      </c>
      <c r="J20" s="22">
        <f>Analysis!B57</f>
        <v>29045.96</v>
      </c>
      <c r="K20" s="22"/>
      <c r="L20" s="22"/>
      <c r="M20" s="56">
        <f>J20/$J$24</f>
        <v>0.35058271209402181</v>
      </c>
      <c r="O20" s="13" t="str">
        <f>Analysis!A23</f>
        <v>Feb</v>
      </c>
      <c r="P20" s="27">
        <f>Analysis!B23</f>
        <v>3324.8000000000006</v>
      </c>
      <c r="Q20" s="27"/>
      <c r="R20" s="28"/>
      <c r="U20" s="31" t="str">
        <f>Analysis!A41</f>
        <v>Rent</v>
      </c>
      <c r="V20" s="14">
        <f>Analysis!B41</f>
        <v>14532</v>
      </c>
      <c r="W20" s="15"/>
      <c r="X20" s="51"/>
      <c r="Y20" s="59">
        <f t="shared" ref="Y20:Y28" si="0">V20/$V$29</f>
        <v>0.20021636373355844</v>
      </c>
      <c r="Z20" s="60"/>
    </row>
    <row r="21" spans="4:26" ht="18.75" x14ac:dyDescent="0.3">
      <c r="D21" s="47" t="str">
        <f>Analysis!A6</f>
        <v>Mar</v>
      </c>
      <c r="E21" s="14">
        <f>Analysis!B6</f>
        <v>6802.14</v>
      </c>
      <c r="F21" s="15"/>
      <c r="G21" s="15"/>
      <c r="I21" s="34" t="str">
        <f>Analysis!A58</f>
        <v>Account Balance</v>
      </c>
      <c r="J21" s="22">
        <f>Analysis!B58</f>
        <v>12192.83</v>
      </c>
      <c r="K21" s="22"/>
      <c r="L21" s="22"/>
      <c r="M21" s="56">
        <f>J21/$J$24</f>
        <v>0.1471666080068055</v>
      </c>
      <c r="O21" s="13" t="str">
        <f>Analysis!A24</f>
        <v>Mar</v>
      </c>
      <c r="P21" s="26">
        <f>Analysis!B24</f>
        <v>4715.5599999999995</v>
      </c>
      <c r="Q21" s="26"/>
      <c r="R21" s="14"/>
      <c r="U21" s="31" t="str">
        <f>Analysis!A42</f>
        <v>Shopping</v>
      </c>
      <c r="V21" s="14">
        <f>Analysis!B42</f>
        <v>3469.4100000000003</v>
      </c>
      <c r="W21" s="15"/>
      <c r="X21" s="51"/>
      <c r="Y21" s="59">
        <f t="shared" si="0"/>
        <v>4.7800210191360104E-2</v>
      </c>
      <c r="Z21" s="60"/>
    </row>
    <row r="22" spans="4:26" ht="18.75" x14ac:dyDescent="0.3">
      <c r="D22" s="47" t="str">
        <f>Analysis!A7</f>
        <v>Apr</v>
      </c>
      <c r="E22" s="14">
        <f>Analysis!B7</f>
        <v>5655.3</v>
      </c>
      <c r="F22" s="15"/>
      <c r="G22" s="15"/>
      <c r="I22" s="34" t="str">
        <f>Analysis!A59</f>
        <v>Side Husle</v>
      </c>
      <c r="J22" s="22">
        <f>Analysis!B59</f>
        <v>520.80999999999995</v>
      </c>
      <c r="K22" s="22"/>
      <c r="L22" s="22"/>
      <c r="M22" s="56">
        <f>J22/$J$24</f>
        <v>6.2861403887386575E-3</v>
      </c>
      <c r="O22" s="13" t="str">
        <f>Analysis!A25</f>
        <v>Apr</v>
      </c>
      <c r="P22" s="26">
        <f>Analysis!B25</f>
        <v>8135.0599999999995</v>
      </c>
      <c r="Q22" s="26"/>
      <c r="R22" s="14"/>
      <c r="U22" s="31" t="str">
        <f>Analysis!A43</f>
        <v>Send family money</v>
      </c>
      <c r="V22" s="14">
        <f>Analysis!B43</f>
        <v>2937.3899999999994</v>
      </c>
      <c r="W22" s="15"/>
      <c r="X22" s="51"/>
      <c r="Y22" s="59">
        <f t="shared" si="0"/>
        <v>4.0470241168959344E-2</v>
      </c>
      <c r="Z22" s="60"/>
    </row>
    <row r="23" spans="4:26" ht="18.75" x14ac:dyDescent="0.3">
      <c r="D23" s="47" t="str">
        <f>Analysis!A8</f>
        <v>May</v>
      </c>
      <c r="E23" s="14">
        <f>Analysis!B8</f>
        <v>5616.1100000000006</v>
      </c>
      <c r="F23" s="15"/>
      <c r="G23" s="15"/>
      <c r="I23" s="34" t="str">
        <f>Analysis!A60</f>
        <v>Tax return</v>
      </c>
      <c r="J23" s="22">
        <f>Analysis!B60</f>
        <v>260</v>
      </c>
      <c r="K23" s="22"/>
      <c r="L23" s="22"/>
      <c r="M23" s="56">
        <f>J23/$J$24</f>
        <v>3.1381818726062311E-3</v>
      </c>
      <c r="O23" s="13" t="str">
        <f>Analysis!A26</f>
        <v>May</v>
      </c>
      <c r="P23" s="26">
        <f>Analysis!B26</f>
        <v>7135.829999999999</v>
      </c>
      <c r="Q23" s="26"/>
      <c r="R23" s="14"/>
      <c r="U23" s="31" t="str">
        <f>Analysis!A44</f>
        <v>Health &amp; Wellness</v>
      </c>
      <c r="V23" s="14">
        <f>Analysis!B44</f>
        <v>2752.95</v>
      </c>
      <c r="W23" s="15"/>
      <c r="X23" s="51"/>
      <c r="Y23" s="59">
        <f t="shared" si="0"/>
        <v>3.7929097064430199E-2</v>
      </c>
      <c r="Z23" s="60"/>
    </row>
    <row r="24" spans="4:26" ht="21" x14ac:dyDescent="0.35">
      <c r="D24" s="47" t="str">
        <f>Analysis!A9</f>
        <v>Jun</v>
      </c>
      <c r="E24" s="14">
        <f>Analysis!B9</f>
        <v>8424.17</v>
      </c>
      <c r="F24" s="15"/>
      <c r="G24" s="15"/>
      <c r="I24" s="39" t="s">
        <v>52</v>
      </c>
      <c r="J24" s="66">
        <f>SUM(J19:L23)</f>
        <v>82850.52</v>
      </c>
      <c r="K24" s="67"/>
      <c r="L24" s="67"/>
      <c r="M24" s="61">
        <f>SUM(M19:M23)</f>
        <v>0.99999999999999989</v>
      </c>
      <c r="O24" s="13" t="str">
        <f>Analysis!A27</f>
        <v>Jun</v>
      </c>
      <c r="P24" s="26">
        <f>Analysis!B27</f>
        <v>6551.2299999999987</v>
      </c>
      <c r="Q24" s="26"/>
      <c r="R24" s="14"/>
      <c r="U24" s="31" t="str">
        <f>Analysis!A45</f>
        <v>Groceries</v>
      </c>
      <c r="V24" s="14">
        <f>Analysis!B45</f>
        <v>1606.8199999999997</v>
      </c>
      <c r="W24" s="15"/>
      <c r="X24" s="51"/>
      <c r="Y24" s="59">
        <f t="shared" si="0"/>
        <v>2.2138154250919098E-2</v>
      </c>
      <c r="Z24" s="60"/>
    </row>
    <row r="25" spans="4:26" ht="21" x14ac:dyDescent="0.35">
      <c r="D25" s="47" t="str">
        <f>Analysis!A10</f>
        <v>Jul</v>
      </c>
      <c r="E25" s="14">
        <f>Analysis!B10</f>
        <v>6091.12</v>
      </c>
      <c r="F25" s="15"/>
      <c r="G25" s="15"/>
      <c r="I25" s="39" t="s">
        <v>54</v>
      </c>
      <c r="J25" s="66">
        <f>AVERAGEIF(J19:L23,"&gt;0")</f>
        <v>16570.103999999999</v>
      </c>
      <c r="K25" s="67"/>
      <c r="L25" s="67"/>
      <c r="M25" s="61">
        <f>AVERAGEIF(M19:M23, "&gt;0")</f>
        <v>0.19999999999999998</v>
      </c>
      <c r="O25" s="13" t="str">
        <f>Analysis!A28</f>
        <v>Jul</v>
      </c>
      <c r="P25" s="26">
        <f>Analysis!B28</f>
        <v>30521.279999999999</v>
      </c>
      <c r="Q25" s="26"/>
      <c r="R25" s="14"/>
      <c r="U25" s="31" t="str">
        <f>Analysis!A46</f>
        <v>Food &amp; Drink</v>
      </c>
      <c r="V25" s="14">
        <f>Analysis!B46</f>
        <v>1566.4900000000005</v>
      </c>
      <c r="W25" s="15"/>
      <c r="X25" s="51"/>
      <c r="Y25" s="59">
        <f t="shared" si="0"/>
        <v>2.1582502864367057E-2</v>
      </c>
      <c r="Z25" s="60"/>
    </row>
    <row r="26" spans="4:26" ht="18.75" x14ac:dyDescent="0.3">
      <c r="D26" s="47" t="str">
        <f>Analysis!A11</f>
        <v>Aug</v>
      </c>
      <c r="E26" s="14">
        <f>Analysis!B11</f>
        <v>5777.35</v>
      </c>
      <c r="F26" s="15"/>
      <c r="G26" s="15"/>
      <c r="O26" s="13" t="str">
        <f>Analysis!A29</f>
        <v>Aug</v>
      </c>
      <c r="P26" s="26">
        <f>Analysis!B29</f>
        <v>8267.94</v>
      </c>
      <c r="Q26" s="26"/>
      <c r="R26" s="14"/>
      <c r="U26" s="31" t="str">
        <f>Analysis!A47</f>
        <v>Travel</v>
      </c>
      <c r="V26" s="14">
        <f>Analysis!B47</f>
        <v>988.95000000000016</v>
      </c>
      <c r="W26" s="15"/>
      <c r="X26" s="51"/>
      <c r="Y26" s="59">
        <f t="shared" si="0"/>
        <v>1.362537661122369E-2</v>
      </c>
      <c r="Z26" s="60"/>
    </row>
    <row r="27" spans="4:26" ht="18.75" x14ac:dyDescent="0.3">
      <c r="D27" s="47" t="str">
        <f>Analysis!A12</f>
        <v>Sep</v>
      </c>
      <c r="E27" s="14">
        <f>Analysis!B12</f>
        <v>0</v>
      </c>
      <c r="F27" s="15"/>
      <c r="G27" s="15"/>
      <c r="O27" s="13" t="str">
        <f>Analysis!A30</f>
        <v>Sep</v>
      </c>
      <c r="P27" s="26">
        <f>Analysis!B30</f>
        <v>0</v>
      </c>
      <c r="Q27" s="26"/>
      <c r="R27" s="14"/>
      <c r="U27" s="31" t="str">
        <f>Analysis!A48</f>
        <v>Utilities</v>
      </c>
      <c r="V27" s="14">
        <f>Analysis!B48</f>
        <v>825.36</v>
      </c>
      <c r="W27" s="15"/>
      <c r="X27" s="51"/>
      <c r="Y27" s="59">
        <f t="shared" si="0"/>
        <v>1.1371495869194179E-2</v>
      </c>
      <c r="Z27" s="60"/>
    </row>
    <row r="28" spans="4:26" ht="18.75" x14ac:dyDescent="0.3">
      <c r="D28" s="47" t="str">
        <f>Analysis!A13</f>
        <v>Oct</v>
      </c>
      <c r="E28" s="14">
        <f>Analysis!B13</f>
        <v>0</v>
      </c>
      <c r="F28" s="15"/>
      <c r="G28" s="15"/>
      <c r="O28" s="13" t="str">
        <f>Analysis!A31</f>
        <v>Oct</v>
      </c>
      <c r="P28" s="26">
        <f>Analysis!B31</f>
        <v>0</v>
      </c>
      <c r="Q28" s="26"/>
      <c r="R28" s="14"/>
      <c r="U28" s="62" t="str">
        <f>Analysis!A49</f>
        <v>Entertainment</v>
      </c>
      <c r="V28" s="29">
        <f>Analysis!B49</f>
        <v>241.29</v>
      </c>
      <c r="W28" s="23"/>
      <c r="X28" s="63"/>
      <c r="Y28" s="59">
        <f t="shared" si="0"/>
        <v>3.3244017619921771E-3</v>
      </c>
      <c r="Z28" s="60"/>
    </row>
    <row r="29" spans="4:26" ht="18.75" x14ac:dyDescent="0.3">
      <c r="D29" s="47" t="str">
        <f>Analysis!A14</f>
        <v>Nov</v>
      </c>
      <c r="E29" s="14">
        <f>Analysis!B14</f>
        <v>0</v>
      </c>
      <c r="F29" s="15"/>
      <c r="G29" s="15"/>
      <c r="O29" s="13" t="str">
        <f>Analysis!A32</f>
        <v>Nov</v>
      </c>
      <c r="P29" s="26">
        <f>Analysis!B32</f>
        <v>0</v>
      </c>
      <c r="Q29" s="26"/>
      <c r="R29" s="14"/>
      <c r="U29" s="32" t="s">
        <v>52</v>
      </c>
      <c r="V29" s="70">
        <f>SUM(V19:V28)</f>
        <v>72581.48000000001</v>
      </c>
      <c r="W29" s="70"/>
      <c r="X29" s="70"/>
      <c r="Y29" s="64">
        <f>SUM(Y19:Z28)</f>
        <v>0.99999999999999978</v>
      </c>
      <c r="Z29" s="65"/>
    </row>
    <row r="30" spans="4:26" ht="18.75" x14ac:dyDescent="0.3">
      <c r="D30" s="47" t="str">
        <f>Analysis!A15</f>
        <v>Dec</v>
      </c>
      <c r="E30" s="14">
        <f>Analysis!B15</f>
        <v>0</v>
      </c>
      <c r="F30" s="15"/>
      <c r="G30" s="15"/>
      <c r="O30" s="13" t="str">
        <f>Analysis!A33</f>
        <v>Dec</v>
      </c>
      <c r="P30" s="26">
        <f>Analysis!B33</f>
        <v>0</v>
      </c>
      <c r="Q30" s="26"/>
      <c r="R30" s="14"/>
      <c r="U30" s="32" t="s">
        <v>54</v>
      </c>
      <c r="V30" s="70">
        <f>AVERAGEIF(V19:V28,"&gt;0")</f>
        <v>7258.148000000001</v>
      </c>
      <c r="W30" s="70"/>
      <c r="X30" s="70"/>
      <c r="Y30" s="64">
        <f>AVERAGE(Y19:Z28)</f>
        <v>9.9999999999999978E-2</v>
      </c>
      <c r="Z30" s="65"/>
    </row>
    <row r="31" spans="4:26" ht="21" x14ac:dyDescent="0.35">
      <c r="D31" s="44" t="s">
        <v>52</v>
      </c>
      <c r="E31" s="71">
        <f>SUM(E19:E30)</f>
        <v>82850.52</v>
      </c>
      <c r="F31" s="72"/>
      <c r="G31" s="72"/>
      <c r="O31" s="45" t="s">
        <v>52</v>
      </c>
      <c r="P31" s="68">
        <f>SUM(P19:R30)</f>
        <v>72581.48</v>
      </c>
      <c r="Q31" s="69"/>
      <c r="R31" s="69"/>
    </row>
    <row r="32" spans="4:26" ht="21" x14ac:dyDescent="0.35">
      <c r="D32" s="44" t="s">
        <v>54</v>
      </c>
      <c r="E32" s="71">
        <f>AVERAGEIF(E19:G30, "&gt;0")</f>
        <v>10356.315000000001</v>
      </c>
      <c r="F32" s="72"/>
      <c r="G32" s="72"/>
      <c r="O32" s="45" t="s">
        <v>54</v>
      </c>
      <c r="P32" s="68">
        <f>AVERAGEIF(P19:R30,"&gt;0")</f>
        <v>9072.6849999999995</v>
      </c>
      <c r="Q32" s="69"/>
      <c r="R32" s="69"/>
    </row>
  </sheetData>
  <mergeCells count="71">
    <mergeCell ref="Y29:Z29"/>
    <mergeCell ref="Y30:Z30"/>
    <mergeCell ref="V27:X27"/>
    <mergeCell ref="V28:X28"/>
    <mergeCell ref="V29:X29"/>
    <mergeCell ref="V30:X30"/>
    <mergeCell ref="Y19:Z19"/>
    <mergeCell ref="Y20:Z20"/>
    <mergeCell ref="Y21:Z21"/>
    <mergeCell ref="Y22:Z22"/>
    <mergeCell ref="Y23:Z23"/>
    <mergeCell ref="Y24:Z24"/>
    <mergeCell ref="Y25:Z25"/>
    <mergeCell ref="Y26:Z26"/>
    <mergeCell ref="Y27:Z27"/>
    <mergeCell ref="Y28:Z28"/>
    <mergeCell ref="V22:X22"/>
    <mergeCell ref="V23:X23"/>
    <mergeCell ref="V24:X24"/>
    <mergeCell ref="V25:X25"/>
    <mergeCell ref="V26:X26"/>
    <mergeCell ref="Y18:Z18"/>
    <mergeCell ref="V18:X18"/>
    <mergeCell ref="V19:X19"/>
    <mergeCell ref="V20:X20"/>
    <mergeCell ref="V21:X21"/>
    <mergeCell ref="J25:L25"/>
    <mergeCell ref="E32:G32"/>
    <mergeCell ref="J20:L20"/>
    <mergeCell ref="J21:L21"/>
    <mergeCell ref="J22:L22"/>
    <mergeCell ref="J23:L23"/>
    <mergeCell ref="J24:L24"/>
    <mergeCell ref="E1:N3"/>
    <mergeCell ref="J18:L18"/>
    <mergeCell ref="J19:L19"/>
    <mergeCell ref="P29:R29"/>
    <mergeCell ref="P30:R30"/>
    <mergeCell ref="P31:R31"/>
    <mergeCell ref="P32:R32"/>
    <mergeCell ref="P24:R24"/>
    <mergeCell ref="P25:R25"/>
    <mergeCell ref="P26:R26"/>
    <mergeCell ref="P27:R27"/>
    <mergeCell ref="P28:R28"/>
    <mergeCell ref="P19:R19"/>
    <mergeCell ref="P20:R20"/>
    <mergeCell ref="P21:R21"/>
    <mergeCell ref="P22:R22"/>
    <mergeCell ref="P23:R23"/>
    <mergeCell ref="A6:B6"/>
    <mergeCell ref="D17:G17"/>
    <mergeCell ref="P18:R18"/>
    <mergeCell ref="O17:R17"/>
    <mergeCell ref="H9:I9"/>
    <mergeCell ref="H10:I10"/>
    <mergeCell ref="H11:I11"/>
    <mergeCell ref="E28:G28"/>
    <mergeCell ref="E29:G29"/>
    <mergeCell ref="E30:G30"/>
    <mergeCell ref="E31:G31"/>
    <mergeCell ref="E18:G18"/>
    <mergeCell ref="E19:G19"/>
    <mergeCell ref="E20:G20"/>
    <mergeCell ref="E21:G21"/>
    <mergeCell ref="E22:G22"/>
    <mergeCell ref="E23:G23"/>
    <mergeCell ref="E24:G24"/>
    <mergeCell ref="E25:G25"/>
    <mergeCell ref="E26:G26"/>
    <mergeCell ref="E27:G27"/>
  </mergeCells>
  <conditionalFormatting sqref="E19:G30">
    <cfRule type="dataBar" priority="2">
      <dataBar>
        <cfvo type="min"/>
        <cfvo type="max"/>
        <color rgb="FF63C384"/>
      </dataBar>
      <extLst>
        <ext xmlns:x14="http://schemas.microsoft.com/office/spreadsheetml/2009/9/main" uri="{B025F937-C7B1-47D3-B67F-A62EFF666E3E}">
          <x14:id>{799E703F-418B-4B6D-B919-615EE4AD269E}</x14:id>
        </ext>
      </extLst>
    </cfRule>
  </conditionalFormatting>
  <conditionalFormatting sqref="P19:R30">
    <cfRule type="dataBar" priority="5">
      <dataBar>
        <cfvo type="min"/>
        <cfvo type="max"/>
        <color rgb="FFFF555A"/>
      </dataBar>
      <extLst>
        <ext xmlns:x14="http://schemas.microsoft.com/office/spreadsheetml/2009/9/main" uri="{B025F937-C7B1-47D3-B67F-A62EFF666E3E}">
          <x14:id>{9E86DDC4-55EB-4630-9720-75616227161F}</x14:id>
        </ext>
      </extLst>
    </cfRule>
    <cfRule type="dataBar" priority="8">
      <dataBar>
        <cfvo type="min"/>
        <cfvo type="max"/>
        <color rgb="FFFBABB3"/>
      </dataBar>
      <extLst>
        <ext xmlns:x14="http://schemas.microsoft.com/office/spreadsheetml/2009/9/main" uri="{B025F937-C7B1-47D3-B67F-A62EFF666E3E}">
          <x14:id>{9F96148E-FC78-46A9-B52E-93FBD3494A61}</x14:id>
        </ext>
      </extLst>
    </cfRule>
  </conditionalFormatting>
  <conditionalFormatting sqref="J19:L23">
    <cfRule type="dataBar" priority="1">
      <dataBar>
        <cfvo type="min"/>
        <cfvo type="max"/>
        <color rgb="FF63C384"/>
      </dataBar>
      <extLst>
        <ext xmlns:x14="http://schemas.microsoft.com/office/spreadsheetml/2009/9/main" uri="{B025F937-C7B1-47D3-B67F-A62EFF666E3E}">
          <x14:id>{6EE46039-1C67-495F-9BFE-0C6AEB975075}</x14:id>
        </ext>
      </extLst>
    </cfRule>
  </conditionalFormatting>
  <conditionalFormatting sqref="V19:V28 Y19:Y28">
    <cfRule type="dataBar" priority="4">
      <dataBar>
        <cfvo type="min"/>
        <cfvo type="max"/>
        <color rgb="FFFF555A"/>
      </dataBar>
      <extLst>
        <ext xmlns:x14="http://schemas.microsoft.com/office/spreadsheetml/2009/9/main" uri="{B025F937-C7B1-47D3-B67F-A62EFF666E3E}">
          <x14:id>{8F9DB116-ED93-49EB-8DCB-52355DB3F8E5}</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799E703F-418B-4B6D-B919-615EE4AD269E}">
            <x14:dataBar minLength="0" maxLength="100" border="1" negativeBarBorderColorSameAsPositive="0">
              <x14:cfvo type="autoMin"/>
              <x14:cfvo type="autoMax"/>
              <x14:borderColor rgb="FF63C384"/>
              <x14:negativeFillColor rgb="FFFF0000"/>
              <x14:negativeBorderColor rgb="FFFF0000"/>
              <x14:axisColor rgb="FF000000"/>
            </x14:dataBar>
          </x14:cfRule>
          <xm:sqref>E19:G30</xm:sqref>
        </x14:conditionalFormatting>
        <x14:conditionalFormatting xmlns:xm="http://schemas.microsoft.com/office/excel/2006/main">
          <x14:cfRule type="dataBar" id="{9E86DDC4-55EB-4630-9720-75616227161F}">
            <x14:dataBar minLength="0" maxLength="100" border="1" negativeBarBorderColorSameAsPositive="0">
              <x14:cfvo type="autoMin"/>
              <x14:cfvo type="autoMax"/>
              <x14:borderColor rgb="FFFF555A"/>
              <x14:negativeFillColor rgb="FFFF0000"/>
              <x14:negativeBorderColor rgb="FFFF0000"/>
              <x14:axisColor rgb="FF000000"/>
            </x14:dataBar>
          </x14:cfRule>
          <x14:cfRule type="dataBar" id="{9F96148E-FC78-46A9-B52E-93FBD3494A61}">
            <x14:dataBar minLength="0" maxLength="100" gradient="0">
              <x14:cfvo type="autoMin"/>
              <x14:cfvo type="autoMax"/>
              <x14:negativeFillColor rgb="FFFF0000"/>
              <x14:axisColor rgb="FF000000"/>
            </x14:dataBar>
          </x14:cfRule>
          <xm:sqref>P19:R30</xm:sqref>
        </x14:conditionalFormatting>
        <x14:conditionalFormatting xmlns:xm="http://schemas.microsoft.com/office/excel/2006/main">
          <x14:cfRule type="dataBar" id="{6EE46039-1C67-495F-9BFE-0C6AEB975075}">
            <x14:dataBar minLength="0" maxLength="100" border="1" negativeBarBorderColorSameAsPositive="0">
              <x14:cfvo type="autoMin"/>
              <x14:cfvo type="autoMax"/>
              <x14:borderColor rgb="FF63C384"/>
              <x14:negativeFillColor rgb="FFFF0000"/>
              <x14:negativeBorderColor rgb="FFFF0000"/>
              <x14:axisColor rgb="FF000000"/>
            </x14:dataBar>
          </x14:cfRule>
          <xm:sqref>J19:L23</xm:sqref>
        </x14:conditionalFormatting>
        <x14:conditionalFormatting xmlns:xm="http://schemas.microsoft.com/office/excel/2006/main">
          <x14:cfRule type="dataBar" id="{8F9DB116-ED93-49EB-8DCB-52355DB3F8E5}">
            <x14:dataBar minLength="0" maxLength="100" border="1" negativeBarBorderColorSameAsPositive="0">
              <x14:cfvo type="autoMin"/>
              <x14:cfvo type="autoMax"/>
              <x14:borderColor rgb="FFFF555A"/>
              <x14:negativeFillColor rgb="FFFF0000"/>
              <x14:negativeBorderColor rgb="FFFF0000"/>
              <x14:axisColor rgb="FF000000"/>
            </x14:dataBar>
          </x14:cfRule>
          <xm:sqref>V19:V28 Y19:Y28</xm:sqref>
        </x14:conditionalFormatting>
      </x14:conditionalFormattings>
    </ex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Raw_data</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Siriluk</dc:creator>
  <cp:lastModifiedBy>Siriluk</cp:lastModifiedBy>
  <dcterms:created xsi:type="dcterms:W3CDTF">2024-02-15T23:08:33Z</dcterms:created>
  <dcterms:modified xsi:type="dcterms:W3CDTF">2024-02-18T05:14:11Z</dcterms:modified>
</cp:coreProperties>
</file>