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fileSharing readOnlyRecommended="1"/>
  <workbookPr date1904="1"/>
  <mc:AlternateContent xmlns:mc="http://schemas.openxmlformats.org/markup-compatibility/2006">
    <mc:Choice Requires="x15">
      <x15ac:absPath xmlns:x15ac="http://schemas.microsoft.com/office/spreadsheetml/2010/11/ac" url="https://helsinkifi-my.sharepoint.com/personal/kohout_ad_helsinki_fi/Documents/RELAB/"/>
    </mc:Choice>
  </mc:AlternateContent>
  <xr:revisionPtr revIDLastSave="0" documentId="8_{62F608DF-B9B5-4BAA-9859-2D98579AFD72}" xr6:coauthVersionLast="47" xr6:coauthVersionMax="47" xr10:uidLastSave="{00000000-0000-0000-0000-000000000000}"/>
  <bookViews>
    <workbookView xWindow="0" yWindow="0" windowWidth="25135" windowHeight="10316" tabRatio="445" xr2:uid="{00000000-000D-0000-FFFF-FFFF00000000}"/>
  </bookViews>
  <sheets>
    <sheet name="Sample_Catalog" sheetId="1" r:id="rId1"/>
    <sheet name="Spectra" sheetId="3" r:id="rId2"/>
    <sheet name="Chemical_analyses" sheetId="2" r:id="rId3"/>
  </sheets>
  <definedNames>
    <definedName name="_xlnm._FilterDatabase" localSheetId="0" hidden="1">Sample_Catalog!$A$1:$AR$436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05" i="1" l="1"/>
  <c r="Y506" i="1"/>
  <c r="Y507" i="1"/>
  <c r="Y508" i="1"/>
  <c r="Y509" i="1"/>
  <c r="Y510" i="1"/>
  <c r="Y511" i="1"/>
  <c r="AB505" i="1"/>
  <c r="AE505" i="1"/>
  <c r="AB506" i="1"/>
  <c r="AE506" i="1"/>
  <c r="AB507" i="1"/>
  <c r="AE507" i="1"/>
  <c r="AB508" i="1"/>
  <c r="AE508" i="1"/>
  <c r="AB509" i="1"/>
  <c r="AE509" i="1"/>
  <c r="AB510" i="1"/>
  <c r="AE510" i="1"/>
  <c r="AB511" i="1"/>
  <c r="AE511" i="1"/>
  <c r="W505" i="1"/>
  <c r="W506" i="1"/>
  <c r="W507" i="1"/>
  <c r="W508" i="1"/>
  <c r="W509" i="1"/>
  <c r="W510" i="1"/>
  <c r="W511" i="1"/>
  <c r="S505" i="1"/>
  <c r="S506" i="1"/>
  <c r="S507" i="1"/>
  <c r="S508" i="1"/>
  <c r="S509" i="1"/>
  <c r="S510" i="1"/>
  <c r="S511" i="1"/>
  <c r="AB504" i="1"/>
  <c r="AB503" i="1"/>
  <c r="S502" i="1"/>
  <c r="W502" i="1"/>
  <c r="Y502" i="1"/>
  <c r="AB502" i="1"/>
  <c r="AE502" i="1"/>
  <c r="S503" i="1"/>
  <c r="W503" i="1"/>
  <c r="Y503" i="1"/>
  <c r="AE503" i="1"/>
  <c r="S504" i="1"/>
  <c r="W504" i="1"/>
  <c r="Y504" i="1"/>
  <c r="AE504" i="1"/>
  <c r="AH501" i="1"/>
  <c r="AE501" i="1"/>
  <c r="AC501" i="1"/>
  <c r="AA501" i="1"/>
  <c r="AB501" i="1" s="1"/>
  <c r="W501" i="1"/>
  <c r="S501" i="1"/>
  <c r="Y501" i="1" s="1"/>
  <c r="S498" i="1"/>
  <c r="S499" i="1"/>
  <c r="AE500" i="1"/>
  <c r="AB500" i="1"/>
  <c r="Y500" i="1"/>
  <c r="AE499" i="1"/>
  <c r="AB499" i="1"/>
  <c r="Y499" i="1"/>
  <c r="AE498" i="1"/>
  <c r="AB498" i="1"/>
  <c r="Y498" i="1"/>
  <c r="AE497" i="1"/>
  <c r="AB497" i="1"/>
  <c r="W497" i="1"/>
  <c r="W498" i="1"/>
  <c r="W499" i="1"/>
  <c r="W500" i="1"/>
  <c r="S497" i="1"/>
  <c r="Y497" i="1" s="1"/>
  <c r="S500" i="1"/>
  <c r="AE496" i="1"/>
  <c r="AB496" i="1"/>
  <c r="W496" i="1"/>
  <c r="AE495" i="1"/>
  <c r="AB495" i="1"/>
  <c r="W495" i="1"/>
  <c r="AE494" i="1"/>
  <c r="AB494" i="1"/>
  <c r="W494" i="1"/>
  <c r="W493" i="1"/>
  <c r="AB493" i="1"/>
  <c r="AE493" i="1"/>
  <c r="S496" i="1"/>
  <c r="Y496" i="1" s="1"/>
  <c r="S495" i="1"/>
  <c r="Y495" i="1" s="1"/>
  <c r="S494" i="1"/>
  <c r="Y494" i="1" s="1"/>
  <c r="S493" i="1"/>
  <c r="Y493" i="1" s="1"/>
  <c r="AB491" i="1"/>
  <c r="AB490" i="1"/>
  <c r="AB489" i="1"/>
  <c r="AB488" i="1"/>
  <c r="AB487" i="1"/>
  <c r="AB486" i="1"/>
  <c r="AB485" i="1"/>
  <c r="AB484" i="1"/>
  <c r="S484" i="1"/>
  <c r="Y484" i="1" s="1"/>
  <c r="S485" i="1"/>
  <c r="Y485" i="1" s="1"/>
  <c r="S486" i="1"/>
  <c r="Y486" i="1" s="1"/>
  <c r="S487" i="1"/>
  <c r="Y487" i="1" s="1"/>
  <c r="S488" i="1"/>
  <c r="Y488" i="1" s="1"/>
  <c r="S489" i="1"/>
  <c r="Y489" i="1" s="1"/>
  <c r="S490" i="1"/>
  <c r="Y490" i="1" s="1"/>
  <c r="S491" i="1"/>
  <c r="Y491" i="1" s="1"/>
  <c r="S492" i="1"/>
  <c r="S483" i="1"/>
  <c r="W484" i="1"/>
  <c r="AE484" i="1"/>
  <c r="W485" i="1"/>
  <c r="AE485" i="1"/>
  <c r="W486" i="1"/>
  <c r="AE486" i="1"/>
  <c r="W487" i="1"/>
  <c r="AE487" i="1"/>
  <c r="W488" i="1"/>
  <c r="AE488" i="1"/>
  <c r="W489" i="1"/>
  <c r="AE489" i="1"/>
  <c r="W490" i="1"/>
  <c r="AE490" i="1"/>
  <c r="W491" i="1"/>
  <c r="AE491" i="1"/>
  <c r="W492" i="1"/>
  <c r="AB492" i="1"/>
  <c r="AE492" i="1"/>
  <c r="AE483" i="1"/>
  <c r="AB483" i="1"/>
  <c r="W483" i="1"/>
  <c r="Y483" i="1"/>
  <c r="AH492" i="1"/>
  <c r="AE482" i="1"/>
  <c r="AB482" i="1"/>
  <c r="W482" i="1"/>
  <c r="S482" i="1"/>
  <c r="Y482" i="1" s="1"/>
  <c r="S481" i="1"/>
  <c r="W481" i="1"/>
  <c r="Y481" i="1"/>
  <c r="AB481" i="1"/>
  <c r="AE481" i="1"/>
  <c r="AB438" i="1"/>
  <c r="AE438" i="1"/>
  <c r="AB439" i="1"/>
  <c r="AE439" i="1"/>
  <c r="AB440" i="1"/>
  <c r="AE440" i="1"/>
  <c r="AB441" i="1"/>
  <c r="AE441" i="1"/>
  <c r="AB442" i="1"/>
  <c r="AE442" i="1"/>
  <c r="AB443" i="1"/>
  <c r="AE443" i="1"/>
  <c r="AB444" i="1"/>
  <c r="AE444" i="1"/>
  <c r="AB445" i="1"/>
  <c r="AE445" i="1"/>
  <c r="AB446" i="1"/>
  <c r="AE446" i="1"/>
  <c r="AB447" i="1"/>
  <c r="AE447" i="1"/>
  <c r="AB448" i="1"/>
  <c r="AE448" i="1"/>
  <c r="AB449" i="1"/>
  <c r="AE449" i="1"/>
  <c r="AB450" i="1"/>
  <c r="AE450" i="1"/>
  <c r="AB451" i="1"/>
  <c r="AE451" i="1"/>
  <c r="AB452" i="1"/>
  <c r="AE452" i="1"/>
  <c r="AB453" i="1"/>
  <c r="AE453" i="1"/>
  <c r="AB454" i="1"/>
  <c r="AE454" i="1"/>
  <c r="AB455" i="1"/>
  <c r="AE455" i="1"/>
  <c r="AB456" i="1"/>
  <c r="AE456" i="1"/>
  <c r="AB457" i="1"/>
  <c r="AE457" i="1"/>
  <c r="AB458" i="1"/>
  <c r="AE458" i="1"/>
  <c r="AB459" i="1"/>
  <c r="AE459" i="1"/>
  <c r="AB460" i="1"/>
  <c r="AE460" i="1"/>
  <c r="AB461" i="1"/>
  <c r="AE461" i="1"/>
  <c r="AB462" i="1"/>
  <c r="AE462" i="1"/>
  <c r="AB463" i="1"/>
  <c r="AE463" i="1"/>
  <c r="AB464" i="1"/>
  <c r="AE464" i="1"/>
  <c r="AB465" i="1"/>
  <c r="AE465" i="1"/>
  <c r="AB466" i="1"/>
  <c r="AE466" i="1"/>
  <c r="AB467" i="1"/>
  <c r="AE467" i="1"/>
  <c r="AB468" i="1"/>
  <c r="AE468" i="1"/>
  <c r="AB469" i="1"/>
  <c r="AE469" i="1"/>
  <c r="AB470" i="1"/>
  <c r="AE470" i="1"/>
  <c r="AB471" i="1"/>
  <c r="AE471" i="1"/>
  <c r="AB472" i="1"/>
  <c r="AE472" i="1"/>
  <c r="AB473" i="1"/>
  <c r="AE473" i="1"/>
  <c r="AB474" i="1"/>
  <c r="AE474" i="1"/>
  <c r="AB475" i="1"/>
  <c r="AE475" i="1"/>
  <c r="AB476" i="1"/>
  <c r="AE476" i="1"/>
  <c r="AB477" i="1"/>
  <c r="AE477" i="1"/>
  <c r="AB478" i="1"/>
  <c r="AE478" i="1"/>
  <c r="AB479" i="1"/>
  <c r="AE479" i="1"/>
  <c r="AB480" i="1"/>
  <c r="AE480" i="1"/>
  <c r="AB437" i="1"/>
  <c r="AE437" i="1"/>
  <c r="W480" i="1"/>
  <c r="S480" i="1"/>
  <c r="Y480" i="1" s="1"/>
  <c r="S475" i="1"/>
  <c r="W475" i="1"/>
  <c r="Y475" i="1"/>
  <c r="W476" i="1"/>
  <c r="S476" i="1"/>
  <c r="Y476" i="1" s="1"/>
  <c r="W479" i="1"/>
  <c r="S479" i="1"/>
  <c r="Y479" i="1" s="1"/>
  <c r="W478" i="1"/>
  <c r="S478" i="1"/>
  <c r="Y478" i="1" s="1"/>
  <c r="W477" i="1"/>
  <c r="S477" i="1"/>
  <c r="Y477" i="1" s="1"/>
  <c r="W474" i="1"/>
  <c r="S474" i="1"/>
  <c r="Y474" i="1" s="1"/>
  <c r="W473" i="1"/>
  <c r="S473" i="1"/>
  <c r="Y473" i="1" s="1"/>
  <c r="W472" i="1"/>
  <c r="S472" i="1"/>
  <c r="Y472" i="1" s="1"/>
  <c r="W471" i="1"/>
  <c r="S471" i="1"/>
  <c r="Y471" i="1" s="1"/>
  <c r="W470" i="1"/>
  <c r="S470" i="1"/>
  <c r="Y470" i="1" s="1"/>
  <c r="W469" i="1"/>
  <c r="S469" i="1"/>
  <c r="Y469" i="1" s="1"/>
  <c r="W468" i="1"/>
  <c r="S468" i="1"/>
  <c r="Y468" i="1" s="1"/>
  <c r="W467" i="1"/>
  <c r="S467" i="1"/>
  <c r="Y467" i="1" s="1"/>
  <c r="W466" i="1"/>
  <c r="S466" i="1"/>
  <c r="Y466" i="1" s="1"/>
  <c r="W465" i="1"/>
  <c r="S465" i="1"/>
  <c r="Y465" i="1" s="1"/>
  <c r="W464" i="1"/>
  <c r="S464" i="1"/>
  <c r="Y464" i="1" s="1"/>
  <c r="W463" i="1"/>
  <c r="S463" i="1"/>
  <c r="Y463" i="1" s="1"/>
  <c r="W462" i="1"/>
  <c r="S462" i="1"/>
  <c r="Y462" i="1" s="1"/>
  <c r="W461" i="1"/>
  <c r="S461" i="1"/>
  <c r="Y461" i="1" s="1"/>
  <c r="W460" i="1"/>
  <c r="S460" i="1"/>
  <c r="Y460" i="1" s="1"/>
  <c r="W459" i="1"/>
  <c r="S459" i="1"/>
  <c r="Y459" i="1" s="1"/>
  <c r="W458" i="1"/>
  <c r="S458" i="1"/>
  <c r="Y458" i="1" s="1"/>
  <c r="W457" i="1"/>
  <c r="S457" i="1"/>
  <c r="Y457" i="1" s="1"/>
  <c r="W456" i="1"/>
  <c r="S456" i="1"/>
  <c r="Y456" i="1" s="1"/>
  <c r="W455" i="1"/>
  <c r="S455" i="1"/>
  <c r="Y455" i="1" s="1"/>
  <c r="W454" i="1"/>
  <c r="S454" i="1"/>
  <c r="Y454" i="1" s="1"/>
  <c r="W453" i="1"/>
  <c r="S453" i="1"/>
  <c r="Y453" i="1" s="1"/>
  <c r="W452" i="1"/>
  <c r="S452" i="1"/>
  <c r="Y452" i="1" s="1"/>
  <c r="W451" i="1"/>
  <c r="S451" i="1"/>
  <c r="Y451" i="1" s="1"/>
  <c r="W450" i="1"/>
  <c r="S450" i="1"/>
  <c r="Y450" i="1" s="1"/>
  <c r="W449" i="1"/>
  <c r="S449" i="1"/>
  <c r="Y449" i="1" s="1"/>
  <c r="W448" i="1"/>
  <c r="S448" i="1"/>
  <c r="Y448" i="1" s="1"/>
  <c r="W447" i="1"/>
  <c r="S447" i="1"/>
  <c r="Y447" i="1" s="1"/>
  <c r="W446" i="1"/>
  <c r="S446" i="1"/>
  <c r="Y446" i="1" s="1"/>
  <c r="W445" i="1"/>
  <c r="S445" i="1"/>
  <c r="Y445" i="1" s="1"/>
  <c r="W444" i="1"/>
  <c r="S444" i="1"/>
  <c r="Y444" i="1" s="1"/>
  <c r="W443" i="1"/>
  <c r="S443" i="1"/>
  <c r="Y443" i="1" s="1"/>
  <c r="W442" i="1"/>
  <c r="S442" i="1"/>
  <c r="Y442" i="1" s="1"/>
  <c r="W441" i="1"/>
  <c r="S441" i="1"/>
  <c r="Y441" i="1" s="1"/>
  <c r="W440" i="1"/>
  <c r="S440" i="1"/>
  <c r="Y440" i="1" s="1"/>
  <c r="W439" i="1"/>
  <c r="S439" i="1"/>
  <c r="Y439" i="1" s="1"/>
  <c r="W438" i="1"/>
  <c r="S438" i="1"/>
  <c r="Y438" i="1" s="1"/>
  <c r="W437" i="1"/>
  <c r="S437" i="1"/>
  <c r="Y437" i="1" s="1"/>
  <c r="AN1" i="1"/>
  <c r="V22" i="1"/>
  <c r="AO1" i="1"/>
  <c r="AP1" i="1"/>
  <c r="AQ1" i="1"/>
  <c r="AR1" i="1"/>
  <c r="AS1" i="1"/>
  <c r="AT1" i="1"/>
  <c r="AU1" i="1"/>
  <c r="AR64" i="1"/>
  <c r="AR63" i="1"/>
  <c r="AR62" i="1"/>
  <c r="AR46" i="1"/>
  <c r="AR45" i="1"/>
  <c r="AR44" i="1"/>
  <c r="AR43" i="1"/>
  <c r="AR42" i="1"/>
  <c r="AR40" i="1"/>
  <c r="AR41" i="1"/>
  <c r="AR39" i="1"/>
  <c r="AR38" i="1"/>
  <c r="AR37" i="1"/>
  <c r="AR36" i="1"/>
  <c r="AR35" i="1"/>
  <c r="AR30" i="1"/>
  <c r="AR29" i="1"/>
  <c r="AR28" i="1"/>
  <c r="AR27" i="1"/>
  <c r="AR26" i="1"/>
  <c r="AR25" i="1"/>
  <c r="AR24" i="1"/>
  <c r="AR23" i="1"/>
  <c r="AR22" i="1"/>
  <c r="AE24" i="1"/>
  <c r="AC24" i="1"/>
  <c r="AA24" i="1"/>
  <c r="AB24" i="1" s="1"/>
  <c r="V24" i="1"/>
  <c r="W24" i="1" s="1"/>
  <c r="AE28" i="1"/>
  <c r="AC28" i="1"/>
  <c r="AA28" i="1"/>
  <c r="AB28" i="1" s="1"/>
  <c r="V28" i="1"/>
  <c r="W28" i="1" s="1"/>
  <c r="AC29" i="1"/>
  <c r="AA29" i="1"/>
  <c r="V29" i="1"/>
  <c r="AE27" i="1"/>
  <c r="V27" i="1"/>
  <c r="W27" i="1" s="1"/>
  <c r="AE26" i="1"/>
  <c r="V26" i="1"/>
  <c r="W26" i="1" s="1"/>
  <c r="AE25" i="1"/>
  <c r="V25" i="1"/>
  <c r="W25" i="1" s="1"/>
  <c r="AD20" i="1"/>
  <c r="AD21" i="1"/>
  <c r="AD30" i="1"/>
  <c r="AD31" i="1"/>
  <c r="AD32" i="1"/>
  <c r="AD33" i="1"/>
  <c r="AD34" i="1"/>
  <c r="V35" i="1"/>
  <c r="W35" i="1" s="1"/>
  <c r="V36" i="1"/>
  <c r="AC37" i="1"/>
  <c r="AA37" i="1"/>
  <c r="Z37" i="1"/>
  <c r="X37" i="1"/>
  <c r="V37" i="1"/>
  <c r="V38" i="1"/>
  <c r="V39" i="1"/>
  <c r="V40" i="1"/>
  <c r="AC41" i="1"/>
  <c r="AA41" i="1"/>
  <c r="Z41" i="1"/>
  <c r="X41" i="1"/>
  <c r="V43" i="1"/>
  <c r="V44" i="1"/>
  <c r="V45" i="1"/>
  <c r="V46" i="1"/>
  <c r="AE19" i="1"/>
  <c r="AE18" i="1"/>
  <c r="AB18" i="1"/>
  <c r="V18" i="1"/>
  <c r="W18" i="1" s="1"/>
  <c r="V17" i="1"/>
  <c r="V16" i="1"/>
  <c r="V15" i="1"/>
  <c r="V14" i="1"/>
  <c r="V13" i="1"/>
  <c r="V12" i="1"/>
  <c r="AC10" i="1"/>
  <c r="AA10" i="1"/>
  <c r="V10" i="1"/>
  <c r="AC9" i="1"/>
  <c r="AA9" i="1"/>
  <c r="Z9" i="1"/>
  <c r="X9" i="1"/>
  <c r="V9" i="1"/>
  <c r="AE7" i="1"/>
  <c r="AB7" i="1"/>
  <c r="V6" i="1"/>
  <c r="Z6" i="1"/>
  <c r="X6" i="1"/>
  <c r="AE69" i="1"/>
  <c r="AE80" i="1"/>
  <c r="AE81" i="1"/>
  <c r="AE82" i="1"/>
  <c r="AE83" i="1"/>
  <c r="AE84" i="1"/>
  <c r="AE85" i="1"/>
  <c r="AE93" i="1"/>
  <c r="AE94" i="1"/>
  <c r="AE95" i="1"/>
  <c r="AE96" i="1"/>
  <c r="AE97" i="1"/>
  <c r="AE98" i="1"/>
  <c r="AE99" i="1"/>
  <c r="AB65" i="1"/>
  <c r="AB66" i="1"/>
  <c r="AB68" i="1"/>
  <c r="AB69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6" i="1"/>
  <c r="AB107" i="1"/>
  <c r="AB108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3" i="1"/>
  <c r="W84" i="1"/>
  <c r="W85" i="1"/>
  <c r="W86" i="1"/>
  <c r="W87" i="1"/>
  <c r="W88" i="1"/>
  <c r="W89" i="1"/>
  <c r="W90" i="1"/>
  <c r="W91" i="1"/>
  <c r="W92" i="1"/>
  <c r="W96" i="1"/>
  <c r="W97" i="1"/>
  <c r="W98" i="1"/>
  <c r="W99" i="1"/>
  <c r="W100" i="1"/>
  <c r="W101" i="1"/>
  <c r="W102" i="1"/>
  <c r="W103" i="1"/>
  <c r="W104" i="1"/>
  <c r="W105" i="1"/>
  <c r="AE64" i="1"/>
  <c r="AE62" i="1"/>
  <c r="AE63" i="1"/>
  <c r="AB62" i="1"/>
  <c r="Y62" i="1"/>
  <c r="AE3" i="1"/>
  <c r="AE4" i="1"/>
  <c r="AE5" i="1"/>
  <c r="AR5" i="1" s="1"/>
  <c r="AE8" i="1"/>
  <c r="AE9" i="1"/>
  <c r="AE10" i="1"/>
  <c r="AE11" i="1"/>
  <c r="AR11" i="1" s="1"/>
  <c r="AE12" i="1"/>
  <c r="AR12" i="1" s="1"/>
  <c r="AE13" i="1"/>
  <c r="AE14" i="1"/>
  <c r="AE15" i="1"/>
  <c r="AE16" i="1"/>
  <c r="AE17" i="1"/>
  <c r="AB3" i="1"/>
  <c r="AB5" i="1"/>
  <c r="AQ5" i="1" s="1"/>
  <c r="AB8" i="1"/>
  <c r="AB9" i="1"/>
  <c r="AB10" i="1"/>
  <c r="AB11" i="1"/>
  <c r="AQ11" i="1" s="1"/>
  <c r="AB13" i="1"/>
  <c r="AB14" i="1"/>
  <c r="AB15" i="1"/>
  <c r="AB16" i="1"/>
  <c r="AB17" i="1"/>
  <c r="Y11" i="1"/>
  <c r="AP11" i="1" s="1"/>
  <c r="Y9" i="1"/>
  <c r="Y8" i="1"/>
  <c r="Y6" i="1"/>
  <c r="AP6" i="1" s="1"/>
  <c r="Y5" i="1"/>
  <c r="AP5" i="1" s="1"/>
  <c r="AE20" i="1"/>
  <c r="AE21" i="1"/>
  <c r="AE22" i="1"/>
  <c r="AE23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B22" i="1"/>
  <c r="AB23" i="1"/>
  <c r="AB29" i="1"/>
  <c r="AB37" i="1"/>
  <c r="AB41" i="1"/>
  <c r="AB42" i="1"/>
  <c r="Y37" i="1"/>
  <c r="Y41" i="1"/>
  <c r="Y42" i="1"/>
  <c r="AE50" i="1"/>
  <c r="AR50" i="1" s="1"/>
  <c r="AE53" i="1"/>
  <c r="AE56" i="1"/>
  <c r="AE57" i="1"/>
  <c r="AE58" i="1"/>
  <c r="AB50" i="1"/>
  <c r="AQ50" i="1" s="1"/>
  <c r="AB51" i="1"/>
  <c r="AB52" i="1"/>
  <c r="AB53" i="1"/>
  <c r="AB54" i="1"/>
  <c r="AB55" i="1"/>
  <c r="AB56" i="1"/>
  <c r="AB57" i="1"/>
  <c r="AB58" i="1"/>
  <c r="AB59" i="1"/>
  <c r="AB60" i="1"/>
  <c r="AB61" i="1"/>
  <c r="Y47" i="1"/>
  <c r="Y48" i="1"/>
  <c r="Y49" i="1"/>
  <c r="Y51" i="1"/>
  <c r="Y52" i="1"/>
  <c r="Y53" i="1"/>
  <c r="Y54" i="1"/>
  <c r="Y55" i="1"/>
  <c r="Y56" i="1"/>
  <c r="Y57" i="1"/>
  <c r="Y58" i="1"/>
  <c r="Y59" i="1"/>
  <c r="Y60" i="1"/>
  <c r="Y61" i="1"/>
  <c r="W50" i="1"/>
  <c r="AO50" i="1" s="1"/>
  <c r="W51" i="1"/>
  <c r="W53" i="1"/>
  <c r="W54" i="1"/>
  <c r="W55" i="1"/>
  <c r="W56" i="1"/>
  <c r="W57" i="1"/>
  <c r="W58" i="1"/>
  <c r="W59" i="1"/>
  <c r="W60" i="1"/>
  <c r="W61" i="1"/>
  <c r="W22" i="1"/>
  <c r="W23" i="1"/>
  <c r="W37" i="1"/>
  <c r="W40" i="1"/>
  <c r="W42" i="1"/>
  <c r="W43" i="1"/>
  <c r="W44" i="1"/>
  <c r="W45" i="1"/>
  <c r="W46" i="1"/>
  <c r="W5" i="1"/>
  <c r="AO5" i="1" s="1"/>
  <c r="W6" i="1"/>
  <c r="AO6" i="1" s="1"/>
  <c r="W8" i="1"/>
  <c r="W9" i="1"/>
  <c r="W10" i="1"/>
  <c r="W11" i="1"/>
  <c r="AO11" i="1" s="1"/>
  <c r="W12" i="1"/>
  <c r="W13" i="1"/>
  <c r="W14" i="1"/>
  <c r="W15" i="1"/>
  <c r="W16" i="1"/>
  <c r="W17" i="1"/>
  <c r="AE2" i="1"/>
  <c r="AB2" i="1"/>
  <c r="AH382" i="1"/>
  <c r="W391" i="1"/>
  <c r="S385" i="1"/>
  <c r="S391" i="1"/>
  <c r="S393" i="1"/>
  <c r="S403" i="1"/>
  <c r="S405" i="1"/>
  <c r="S406" i="1"/>
  <c r="W405" i="1"/>
  <c r="V41" i="1"/>
  <c r="AB390" i="1"/>
  <c r="AE390" i="1"/>
  <c r="S390" i="1"/>
  <c r="Y390" i="1" s="1"/>
  <c r="AE228" i="1"/>
  <c r="AE231" i="1"/>
  <c r="AE229" i="1"/>
  <c r="AE230" i="1"/>
  <c r="AE208" i="1"/>
  <c r="AE141" i="1"/>
  <c r="AE142" i="1"/>
  <c r="AE210" i="1"/>
  <c r="AE209" i="1"/>
  <c r="AE139" i="1"/>
  <c r="AE138" i="1"/>
  <c r="AE234" i="1"/>
  <c r="AE233" i="1"/>
  <c r="AE237" i="1"/>
  <c r="AE188" i="1"/>
  <c r="AE189" i="1"/>
  <c r="AE190" i="1"/>
  <c r="AE224" i="1"/>
  <c r="AE227" i="1"/>
  <c r="AE225" i="1"/>
  <c r="AE226" i="1"/>
  <c r="AE232" i="1"/>
  <c r="AE235" i="1"/>
  <c r="AE236" i="1"/>
  <c r="S208" i="1"/>
  <c r="Y208" i="1" s="1"/>
  <c r="W208" i="1"/>
  <c r="S141" i="1"/>
  <c r="Y141" i="1" s="1"/>
  <c r="W141" i="1"/>
  <c r="S142" i="1"/>
  <c r="W142" i="1"/>
  <c r="Y142" i="1"/>
  <c r="S210" i="1"/>
  <c r="W210" i="1"/>
  <c r="Y210" i="1"/>
  <c r="S209" i="1"/>
  <c r="Y209" i="1" s="1"/>
  <c r="W209" i="1"/>
  <c r="S139" i="1"/>
  <c r="W139" i="1"/>
  <c r="Y139" i="1"/>
  <c r="S138" i="1"/>
  <c r="Y138" i="1" s="1"/>
  <c r="W138" i="1"/>
  <c r="S234" i="1"/>
  <c r="W234" i="1"/>
  <c r="Y234" i="1"/>
  <c r="S233" i="1"/>
  <c r="W233" i="1"/>
  <c r="Y233" i="1"/>
  <c r="S237" i="1"/>
  <c r="Y237" i="1" s="1"/>
  <c r="W237" i="1"/>
  <c r="S188" i="1"/>
  <c r="Y188" i="1" s="1"/>
  <c r="W188" i="1"/>
  <c r="S189" i="1"/>
  <c r="Y189" i="1" s="1"/>
  <c r="W189" i="1"/>
  <c r="S190" i="1"/>
  <c r="W190" i="1"/>
  <c r="Y190" i="1"/>
  <c r="S224" i="1"/>
  <c r="W224" i="1"/>
  <c r="Y224" i="1"/>
  <c r="S227" i="1"/>
  <c r="Y227" i="1" s="1"/>
  <c r="W227" i="1"/>
  <c r="S225" i="1"/>
  <c r="W225" i="1"/>
  <c r="Y225" i="1"/>
  <c r="S228" i="1"/>
  <c r="W228" i="1"/>
  <c r="Y228" i="1"/>
  <c r="S231" i="1"/>
  <c r="Y231" i="1" s="1"/>
  <c r="W231" i="1"/>
  <c r="S226" i="1"/>
  <c r="Y226" i="1" s="1"/>
  <c r="W226" i="1"/>
  <c r="S229" i="1"/>
  <c r="W229" i="1"/>
  <c r="Y229" i="1"/>
  <c r="S230" i="1"/>
  <c r="W230" i="1"/>
  <c r="Y230" i="1"/>
  <c r="AB382" i="1"/>
  <c r="AE382" i="1"/>
  <c r="AB409" i="1"/>
  <c r="AE409" i="1"/>
  <c r="AB410" i="1"/>
  <c r="AE410" i="1"/>
  <c r="AB432" i="1"/>
  <c r="AE432" i="1"/>
  <c r="AB383" i="1"/>
  <c r="AE383" i="1"/>
  <c r="AB411" i="1"/>
  <c r="AE411" i="1"/>
  <c r="AB412" i="1"/>
  <c r="AE412" i="1"/>
  <c r="AB413" i="1"/>
  <c r="AE413" i="1"/>
  <c r="AB414" i="1"/>
  <c r="AE414" i="1"/>
  <c r="AB416" i="1"/>
  <c r="AE416" i="1"/>
  <c r="AB415" i="1"/>
  <c r="AE415" i="1"/>
  <c r="AB418" i="1"/>
  <c r="AE418" i="1"/>
  <c r="AB417" i="1"/>
  <c r="AE417" i="1"/>
  <c r="AB384" i="1"/>
  <c r="AE384" i="1"/>
  <c r="AB419" i="1"/>
  <c r="AE419" i="1"/>
  <c r="AB420" i="1"/>
  <c r="AE420" i="1"/>
  <c r="AB421" i="1"/>
  <c r="AE421" i="1"/>
  <c r="AB422" i="1"/>
  <c r="AE422" i="1"/>
  <c r="AB385" i="1"/>
  <c r="AE385" i="1"/>
  <c r="AB408" i="1"/>
  <c r="AE408" i="1"/>
  <c r="AB427" i="1"/>
  <c r="AE427" i="1"/>
  <c r="AB349" i="1"/>
  <c r="AE349" i="1"/>
  <c r="AB401" i="1"/>
  <c r="AE401" i="1"/>
  <c r="AB402" i="1"/>
  <c r="AE402" i="1"/>
  <c r="AB386" i="1"/>
  <c r="AE386" i="1"/>
  <c r="S351" i="1"/>
  <c r="S352" i="1"/>
  <c r="S353" i="1"/>
  <c r="S374" i="1"/>
  <c r="S375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48" i="1"/>
  <c r="S347" i="1"/>
  <c r="S346" i="1"/>
  <c r="S345" i="1"/>
  <c r="S344" i="1"/>
  <c r="S343" i="1"/>
  <c r="S342" i="1"/>
  <c r="S341" i="1"/>
  <c r="S340" i="1"/>
  <c r="S404" i="1"/>
  <c r="S394" i="1"/>
  <c r="S397" i="1"/>
  <c r="S395" i="1"/>
  <c r="S396" i="1"/>
  <c r="S400" i="1"/>
  <c r="S398" i="1"/>
  <c r="S399" i="1"/>
  <c r="S433" i="1"/>
  <c r="S434" i="1"/>
  <c r="S435" i="1"/>
  <c r="S436" i="1"/>
  <c r="S387" i="1"/>
  <c r="S388" i="1"/>
  <c r="S389" i="1"/>
  <c r="S428" i="1"/>
  <c r="S430" i="1"/>
  <c r="S429" i="1"/>
  <c r="S431" i="1"/>
  <c r="S339" i="1"/>
  <c r="S378" i="1"/>
  <c r="S376" i="1"/>
  <c r="S377" i="1"/>
  <c r="S381" i="1"/>
  <c r="S379" i="1"/>
  <c r="S380" i="1"/>
  <c r="S338" i="1"/>
  <c r="S426" i="1"/>
  <c r="S423" i="1"/>
  <c r="S424" i="1"/>
  <c r="S425" i="1"/>
  <c r="S382" i="1"/>
  <c r="Y382" i="1" s="1"/>
  <c r="S409" i="1"/>
  <c r="Y409" i="1" s="1"/>
  <c r="S410" i="1"/>
  <c r="Y410" i="1" s="1"/>
  <c r="S432" i="1"/>
  <c r="Y432" i="1" s="1"/>
  <c r="S383" i="1"/>
  <c r="Y383" i="1" s="1"/>
  <c r="S411" i="1"/>
  <c r="Y411" i="1" s="1"/>
  <c r="S412" i="1"/>
  <c r="Y412" i="1" s="1"/>
  <c r="S413" i="1"/>
  <c r="Y413" i="1" s="1"/>
  <c r="S414" i="1"/>
  <c r="Y414" i="1" s="1"/>
  <c r="S416" i="1"/>
  <c r="Y416" i="1" s="1"/>
  <c r="S415" i="1"/>
  <c r="Y415" i="1" s="1"/>
  <c r="S418" i="1"/>
  <c r="Y418" i="1" s="1"/>
  <c r="S417" i="1"/>
  <c r="Y417" i="1" s="1"/>
  <c r="S384" i="1"/>
  <c r="Y384" i="1" s="1"/>
  <c r="S419" i="1"/>
  <c r="Y419" i="1" s="1"/>
  <c r="S420" i="1"/>
  <c r="Y420" i="1" s="1"/>
  <c r="S421" i="1"/>
  <c r="Y421" i="1" s="1"/>
  <c r="S422" i="1"/>
  <c r="Y422" i="1" s="1"/>
  <c r="Y385" i="1"/>
  <c r="S408" i="1"/>
  <c r="Y408" i="1" s="1"/>
  <c r="S427" i="1"/>
  <c r="Y427" i="1" s="1"/>
  <c r="S349" i="1"/>
  <c r="Y349" i="1" s="1"/>
  <c r="S401" i="1"/>
  <c r="Y401" i="1" s="1"/>
  <c r="S402" i="1"/>
  <c r="Y402" i="1" s="1"/>
  <c r="U5" i="1"/>
  <c r="T5" i="1"/>
  <c r="R5" i="1"/>
  <c r="W402" i="1"/>
  <c r="U11" i="1"/>
  <c r="T11" i="1"/>
  <c r="R11" i="1"/>
  <c r="AB141" i="1"/>
  <c r="AB142" i="1"/>
  <c r="AF6" i="1"/>
  <c r="AD6" i="1"/>
  <c r="AF49" i="1"/>
  <c r="AD49" i="1"/>
  <c r="AC49" i="1"/>
  <c r="AA49" i="1"/>
  <c r="V49" i="1"/>
  <c r="U49" i="1"/>
  <c r="T49" i="1"/>
  <c r="R49" i="1"/>
  <c r="AF48" i="1"/>
  <c r="AD48" i="1"/>
  <c r="AC48" i="1"/>
  <c r="AA48" i="1"/>
  <c r="V48" i="1"/>
  <c r="U48" i="1"/>
  <c r="T48" i="1"/>
  <c r="R48" i="1"/>
  <c r="AF47" i="1"/>
  <c r="AD47" i="1"/>
  <c r="V47" i="1"/>
  <c r="T47" i="1"/>
  <c r="U47" i="1"/>
  <c r="R47" i="1"/>
  <c r="U50" i="1"/>
  <c r="T50" i="1"/>
  <c r="R50" i="1"/>
  <c r="U53" i="1"/>
  <c r="T53" i="1"/>
  <c r="R53" i="1"/>
  <c r="U57" i="1"/>
  <c r="T57" i="1"/>
  <c r="R57" i="1"/>
  <c r="U58" i="1"/>
  <c r="T58" i="1"/>
  <c r="R58" i="1"/>
  <c r="U56" i="1"/>
  <c r="T56" i="1"/>
  <c r="R56" i="1"/>
  <c r="U63" i="1"/>
  <c r="T63" i="1"/>
  <c r="R63" i="1"/>
  <c r="U64" i="1"/>
  <c r="T64" i="1"/>
  <c r="R64" i="1"/>
  <c r="U59" i="1"/>
  <c r="T59" i="1"/>
  <c r="R59" i="1"/>
  <c r="U61" i="1"/>
  <c r="T61" i="1"/>
  <c r="R61" i="1"/>
  <c r="U60" i="1"/>
  <c r="T60" i="1"/>
  <c r="R60" i="1"/>
  <c r="U62" i="1"/>
  <c r="T62" i="1"/>
  <c r="R62" i="1"/>
  <c r="U52" i="1"/>
  <c r="T52" i="1"/>
  <c r="R52" i="1"/>
  <c r="U55" i="1"/>
  <c r="T55" i="1"/>
  <c r="R55" i="1"/>
  <c r="U54" i="1"/>
  <c r="T54" i="1"/>
  <c r="R54" i="1"/>
  <c r="U51" i="1"/>
  <c r="T51" i="1"/>
  <c r="R51" i="1"/>
  <c r="AM1" i="1"/>
  <c r="AL1" i="1"/>
  <c r="AA47" i="1"/>
  <c r="AC47" i="1"/>
  <c r="U9" i="1"/>
  <c r="T9" i="1"/>
  <c r="R9" i="1"/>
  <c r="AC209" i="1"/>
  <c r="AA209" i="1"/>
  <c r="AB209" i="1" s="1"/>
  <c r="AC208" i="1"/>
  <c r="AA208" i="1"/>
  <c r="AB138" i="1"/>
  <c r="AB190" i="1"/>
  <c r="AB221" i="1"/>
  <c r="AB236" i="1"/>
  <c r="AB157" i="1"/>
  <c r="AB158" i="1"/>
  <c r="AB161" i="1"/>
  <c r="AB148" i="1"/>
  <c r="AB147" i="1"/>
  <c r="AB144" i="1"/>
  <c r="AB143" i="1"/>
  <c r="AB146" i="1"/>
  <c r="AB145" i="1"/>
  <c r="AB152" i="1"/>
  <c r="AB186" i="1"/>
  <c r="AB159" i="1"/>
  <c r="AB155" i="1"/>
  <c r="AB162" i="1"/>
  <c r="AB163" i="1"/>
  <c r="AB164" i="1"/>
  <c r="AB165" i="1"/>
  <c r="AB160" i="1"/>
  <c r="AB153" i="1"/>
  <c r="AB151" i="1"/>
  <c r="AB185" i="1"/>
  <c r="AB166" i="1"/>
  <c r="AB156" i="1"/>
  <c r="AB184" i="1"/>
  <c r="AB167" i="1"/>
  <c r="AB174" i="1"/>
  <c r="AB169" i="1"/>
  <c r="AB173" i="1"/>
  <c r="AB168" i="1"/>
  <c r="AB183" i="1"/>
  <c r="AB170" i="1"/>
  <c r="AB180" i="1"/>
  <c r="AB182" i="1"/>
  <c r="AB176" i="1"/>
  <c r="AB171" i="1"/>
  <c r="AB179" i="1"/>
  <c r="AB172" i="1"/>
  <c r="AB178" i="1"/>
  <c r="AB175" i="1"/>
  <c r="AB177" i="1"/>
  <c r="AB154" i="1"/>
  <c r="AB181" i="1"/>
  <c r="AB187" i="1"/>
  <c r="AB149" i="1"/>
  <c r="AB150" i="1"/>
  <c r="AB188" i="1"/>
  <c r="AB189" i="1"/>
  <c r="AC207" i="1"/>
  <c r="AA207" i="1"/>
  <c r="X286" i="1"/>
  <c r="V377" i="1"/>
  <c r="V376" i="1"/>
  <c r="V378" i="1"/>
  <c r="X287" i="1"/>
  <c r="X313" i="1"/>
  <c r="X312" i="1"/>
  <c r="X311" i="1"/>
  <c r="X310" i="1"/>
  <c r="X309" i="1"/>
  <c r="X308" i="1"/>
  <c r="V436" i="1"/>
  <c r="V435" i="1"/>
  <c r="V434" i="1"/>
  <c r="V433" i="1"/>
  <c r="AB308" i="1"/>
  <c r="AB309" i="1"/>
  <c r="AB310" i="1"/>
  <c r="AB311" i="1"/>
  <c r="AB312" i="1"/>
  <c r="AB313" i="1"/>
  <c r="AB314" i="1"/>
  <c r="AB315" i="1"/>
  <c r="AB316" i="1"/>
  <c r="AB317" i="1"/>
  <c r="AB318" i="1"/>
  <c r="AB307" i="1"/>
  <c r="AB269" i="1"/>
  <c r="AB260" i="1"/>
  <c r="AB264" i="1"/>
  <c r="AB248" i="1"/>
  <c r="AB268" i="1"/>
  <c r="AB249" i="1"/>
  <c r="AB263" i="1"/>
  <c r="AB265" i="1"/>
  <c r="AB246" i="1"/>
  <c r="AB247" i="1"/>
  <c r="AB244" i="1"/>
  <c r="AB271" i="1"/>
  <c r="AB245" i="1"/>
  <c r="AB266" i="1"/>
  <c r="AB262" i="1"/>
  <c r="AB242" i="1"/>
  <c r="AB243" i="1"/>
  <c r="AB261" i="1"/>
  <c r="AB267" i="1"/>
  <c r="AB240" i="1"/>
  <c r="AB241" i="1"/>
  <c r="AB276" i="1"/>
  <c r="AB288" i="1"/>
  <c r="AB290" i="1"/>
  <c r="AB291" i="1"/>
  <c r="AB289" i="1"/>
  <c r="AB281" i="1"/>
  <c r="AB282" i="1"/>
  <c r="AB283" i="1"/>
  <c r="AB284" i="1"/>
  <c r="AB285" i="1"/>
  <c r="AB305" i="1"/>
  <c r="AB273" i="1"/>
  <c r="AB274" i="1"/>
  <c r="AB275" i="1"/>
  <c r="AB270" i="1"/>
  <c r="AB238" i="1"/>
  <c r="AB279" i="1"/>
  <c r="AB280" i="1"/>
  <c r="AB306" i="1"/>
  <c r="AB301" i="1"/>
  <c r="AB302" i="1"/>
  <c r="AB304" i="1"/>
  <c r="AB303" i="1"/>
  <c r="AB327" i="1"/>
  <c r="AB335" i="1"/>
  <c r="AB328" i="1"/>
  <c r="AB329" i="1"/>
  <c r="AB330" i="1"/>
  <c r="AB331" i="1"/>
  <c r="AB332" i="1"/>
  <c r="AB333" i="1"/>
  <c r="AB334" i="1"/>
  <c r="AB319" i="1"/>
  <c r="AB337" i="1"/>
  <c r="AB323" i="1"/>
  <c r="AB321" i="1"/>
  <c r="AB320" i="1"/>
  <c r="AB336" i="1"/>
  <c r="AB322" i="1"/>
  <c r="AB324" i="1"/>
  <c r="AB325" i="1"/>
  <c r="AB294" i="1"/>
  <c r="AB292" i="1"/>
  <c r="AB293" i="1"/>
  <c r="AB295" i="1"/>
  <c r="AB299" i="1"/>
  <c r="AB300" i="1"/>
  <c r="AB296" i="1"/>
  <c r="AB297" i="1"/>
  <c r="AB298" i="1"/>
  <c r="AB254" i="1"/>
  <c r="S308" i="1"/>
  <c r="Y308" i="1" s="1"/>
  <c r="S309" i="1"/>
  <c r="S310" i="1"/>
  <c r="S311" i="1"/>
  <c r="S312" i="1"/>
  <c r="S313" i="1"/>
  <c r="S314" i="1"/>
  <c r="S315" i="1"/>
  <c r="Y315" i="1" s="1"/>
  <c r="S316" i="1"/>
  <c r="Y316" i="1" s="1"/>
  <c r="S317" i="1"/>
  <c r="Y317" i="1" s="1"/>
  <c r="S318" i="1"/>
  <c r="Y318" i="1" s="1"/>
  <c r="S307" i="1"/>
  <c r="S269" i="1"/>
  <c r="S260" i="1"/>
  <c r="S264" i="1"/>
  <c r="S248" i="1"/>
  <c r="S268" i="1"/>
  <c r="S249" i="1"/>
  <c r="S263" i="1"/>
  <c r="S265" i="1"/>
  <c r="S246" i="1"/>
  <c r="S247" i="1"/>
  <c r="S244" i="1"/>
  <c r="S271" i="1"/>
  <c r="S245" i="1"/>
  <c r="S266" i="1"/>
  <c r="S262" i="1"/>
  <c r="S242" i="1"/>
  <c r="S243" i="1"/>
  <c r="S261" i="1"/>
  <c r="S267" i="1"/>
  <c r="S240" i="1"/>
  <c r="S241" i="1"/>
  <c r="S276" i="1"/>
  <c r="S288" i="1"/>
  <c r="Y288" i="1" s="1"/>
  <c r="S290" i="1"/>
  <c r="Y290" i="1" s="1"/>
  <c r="S291" i="1"/>
  <c r="Y291" i="1" s="1"/>
  <c r="S289" i="1"/>
  <c r="S281" i="1"/>
  <c r="S282" i="1"/>
  <c r="S283" i="1"/>
  <c r="S284" i="1"/>
  <c r="S285" i="1"/>
  <c r="S305" i="1"/>
  <c r="S273" i="1"/>
  <c r="S274" i="1"/>
  <c r="S275" i="1"/>
  <c r="S270" i="1"/>
  <c r="S238" i="1"/>
  <c r="S279" i="1"/>
  <c r="S280" i="1"/>
  <c r="S306" i="1"/>
  <c r="S301" i="1"/>
  <c r="S302" i="1"/>
  <c r="S304" i="1"/>
  <c r="S303" i="1"/>
  <c r="S327" i="1"/>
  <c r="S335" i="1"/>
  <c r="S328" i="1"/>
  <c r="S329" i="1"/>
  <c r="S330" i="1"/>
  <c r="S331" i="1"/>
  <c r="S332" i="1"/>
  <c r="S333" i="1"/>
  <c r="S334" i="1"/>
  <c r="S319" i="1"/>
  <c r="S337" i="1"/>
  <c r="S323" i="1"/>
  <c r="S321" i="1"/>
  <c r="S320" i="1"/>
  <c r="S336" i="1"/>
  <c r="S322" i="1"/>
  <c r="S324" i="1"/>
  <c r="S325" i="1"/>
  <c r="S294" i="1"/>
  <c r="S292" i="1"/>
  <c r="S293" i="1"/>
  <c r="S295" i="1"/>
  <c r="S299" i="1"/>
  <c r="S300" i="1"/>
  <c r="S296" i="1"/>
  <c r="S297" i="1"/>
  <c r="S298" i="1"/>
  <c r="S254" i="1"/>
  <c r="S255" i="1"/>
  <c r="S287" i="1"/>
  <c r="S194" i="1"/>
  <c r="Y194" i="1" s="1"/>
  <c r="S200" i="1"/>
  <c r="Y200" i="1" s="1"/>
  <c r="S192" i="1"/>
  <c r="Y192" i="1" s="1"/>
  <c r="S202" i="1"/>
  <c r="Y202" i="1" s="1"/>
  <c r="S191" i="1"/>
  <c r="Y191" i="1" s="1"/>
  <c r="S201" i="1"/>
  <c r="Y201" i="1" s="1"/>
  <c r="S195" i="1"/>
  <c r="Y195" i="1" s="1"/>
  <c r="S203" i="1"/>
  <c r="Y203" i="1" s="1"/>
  <c r="S196" i="1"/>
  <c r="Y196" i="1" s="1"/>
  <c r="S204" i="1"/>
  <c r="Y204" i="1" s="1"/>
  <c r="S205" i="1"/>
  <c r="Y205" i="1" s="1"/>
  <c r="S197" i="1"/>
  <c r="Y197" i="1" s="1"/>
  <c r="S198" i="1"/>
  <c r="Y198" i="1" s="1"/>
  <c r="S206" i="1"/>
  <c r="Y206" i="1" s="1"/>
  <c r="S239" i="1"/>
  <c r="S131" i="1"/>
  <c r="Y131" i="1" s="1"/>
  <c r="S217" i="1"/>
  <c r="Y217" i="1" s="1"/>
  <c r="S132" i="1"/>
  <c r="Y132" i="1" s="1"/>
  <c r="S213" i="1"/>
  <c r="Y213" i="1" s="1"/>
  <c r="S216" i="1"/>
  <c r="Y216" i="1" s="1"/>
  <c r="S214" i="1"/>
  <c r="Y214" i="1" s="1"/>
  <c r="S133" i="1"/>
  <c r="Y133" i="1" s="1"/>
  <c r="S218" i="1"/>
  <c r="Y218" i="1" s="1"/>
  <c r="S211" i="1"/>
  <c r="Y211" i="1" s="1"/>
  <c r="S134" i="1"/>
  <c r="Y134" i="1" s="1"/>
  <c r="S135" i="1"/>
  <c r="Y135" i="1" s="1"/>
  <c r="S215" i="1"/>
  <c r="Y215" i="1" s="1"/>
  <c r="S136" i="1"/>
  <c r="Y136" i="1" s="1"/>
  <c r="S212" i="1"/>
  <c r="Y212" i="1" s="1"/>
  <c r="S220" i="1"/>
  <c r="Y220" i="1" s="1"/>
  <c r="S137" i="1"/>
  <c r="Y137" i="1" s="1"/>
  <c r="S219" i="1"/>
  <c r="Y219" i="1" s="1"/>
  <c r="S223" i="1"/>
  <c r="Y223" i="1" s="1"/>
  <c r="S221" i="1"/>
  <c r="Y221" i="1" s="1"/>
  <c r="S222" i="1"/>
  <c r="Y222" i="1" s="1"/>
  <c r="S232" i="1"/>
  <c r="Y232" i="1" s="1"/>
  <c r="S235" i="1"/>
  <c r="Y235" i="1" s="1"/>
  <c r="S236" i="1"/>
  <c r="Y236" i="1" s="1"/>
  <c r="S326" i="1"/>
  <c r="S157" i="1"/>
  <c r="Y157" i="1" s="1"/>
  <c r="S158" i="1"/>
  <c r="Y158" i="1" s="1"/>
  <c r="S161" i="1"/>
  <c r="Y161" i="1" s="1"/>
  <c r="S148" i="1"/>
  <c r="Y148" i="1" s="1"/>
  <c r="S147" i="1"/>
  <c r="Y147" i="1" s="1"/>
  <c r="S144" i="1"/>
  <c r="Y144" i="1" s="1"/>
  <c r="S143" i="1"/>
  <c r="Y143" i="1" s="1"/>
  <c r="S146" i="1"/>
  <c r="Y146" i="1" s="1"/>
  <c r="S145" i="1"/>
  <c r="Y145" i="1" s="1"/>
  <c r="S152" i="1"/>
  <c r="Y152" i="1" s="1"/>
  <c r="S186" i="1"/>
  <c r="Y186" i="1" s="1"/>
  <c r="S159" i="1"/>
  <c r="Y159" i="1" s="1"/>
  <c r="S155" i="1"/>
  <c r="Y155" i="1" s="1"/>
  <c r="S162" i="1"/>
  <c r="Y162" i="1" s="1"/>
  <c r="S278" i="1"/>
  <c r="S163" i="1"/>
  <c r="Y163" i="1" s="1"/>
  <c r="S164" i="1"/>
  <c r="Y164" i="1" s="1"/>
  <c r="S165" i="1"/>
  <c r="Y165" i="1" s="1"/>
  <c r="S160" i="1"/>
  <c r="Y160" i="1" s="1"/>
  <c r="S153" i="1"/>
  <c r="Y153" i="1" s="1"/>
  <c r="S151" i="1"/>
  <c r="Y151" i="1" s="1"/>
  <c r="S185" i="1"/>
  <c r="Y185" i="1" s="1"/>
  <c r="S166" i="1"/>
  <c r="Y166" i="1" s="1"/>
  <c r="S156" i="1"/>
  <c r="Y156" i="1" s="1"/>
  <c r="S184" i="1"/>
  <c r="Y184" i="1" s="1"/>
  <c r="S167" i="1"/>
  <c r="Y167" i="1" s="1"/>
  <c r="S174" i="1"/>
  <c r="Y174" i="1" s="1"/>
  <c r="S169" i="1"/>
  <c r="Y169" i="1" s="1"/>
  <c r="S173" i="1"/>
  <c r="Y173" i="1" s="1"/>
  <c r="S168" i="1"/>
  <c r="Y168" i="1" s="1"/>
  <c r="S183" i="1"/>
  <c r="Y183" i="1" s="1"/>
  <c r="S170" i="1"/>
  <c r="Y170" i="1" s="1"/>
  <c r="S180" i="1"/>
  <c r="Y180" i="1" s="1"/>
  <c r="S182" i="1"/>
  <c r="Y182" i="1" s="1"/>
  <c r="S272" i="1"/>
  <c r="S176" i="1"/>
  <c r="Y176" i="1" s="1"/>
  <c r="S171" i="1"/>
  <c r="Y171" i="1" s="1"/>
  <c r="S179" i="1"/>
  <c r="Y179" i="1" s="1"/>
  <c r="S172" i="1"/>
  <c r="Y172" i="1" s="1"/>
  <c r="S178" i="1"/>
  <c r="Y178" i="1" s="1"/>
  <c r="S175" i="1"/>
  <c r="Y175" i="1" s="1"/>
  <c r="S177" i="1"/>
  <c r="Y177" i="1" s="1"/>
  <c r="S251" i="1"/>
  <c r="S250" i="1"/>
  <c r="S252" i="1"/>
  <c r="S253" i="1"/>
  <c r="S256" i="1"/>
  <c r="S257" i="1"/>
  <c r="S259" i="1"/>
  <c r="S258" i="1"/>
  <c r="S277" i="1"/>
  <c r="S154" i="1"/>
  <c r="Y154" i="1" s="1"/>
  <c r="S181" i="1"/>
  <c r="Y181" i="1" s="1"/>
  <c r="S187" i="1"/>
  <c r="Y187" i="1" s="1"/>
  <c r="S149" i="1"/>
  <c r="Y149" i="1" s="1"/>
  <c r="S150" i="1"/>
  <c r="Y150" i="1" s="1"/>
  <c r="S207" i="1"/>
  <c r="Y207" i="1" s="1"/>
  <c r="S286" i="1"/>
  <c r="S140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48" i="1"/>
  <c r="AB347" i="1"/>
  <c r="AB346" i="1"/>
  <c r="AB345" i="1"/>
  <c r="AB344" i="1"/>
  <c r="AB343" i="1"/>
  <c r="AB342" i="1"/>
  <c r="AB341" i="1"/>
  <c r="AB340" i="1"/>
  <c r="AB404" i="1"/>
  <c r="AB394" i="1"/>
  <c r="AB397" i="1"/>
  <c r="AB395" i="1"/>
  <c r="AB396" i="1"/>
  <c r="AB400" i="1"/>
  <c r="AB398" i="1"/>
  <c r="AB399" i="1"/>
  <c r="AB433" i="1"/>
  <c r="AB434" i="1"/>
  <c r="AB435" i="1"/>
  <c r="AB436" i="1"/>
  <c r="AB387" i="1"/>
  <c r="AB388" i="1"/>
  <c r="AB389" i="1"/>
  <c r="AB428" i="1"/>
  <c r="AB430" i="1"/>
  <c r="AB429" i="1"/>
  <c r="AB431" i="1"/>
  <c r="AB339" i="1"/>
  <c r="AB378" i="1"/>
  <c r="AB376" i="1"/>
  <c r="AB377" i="1"/>
  <c r="AB381" i="1"/>
  <c r="AB379" i="1"/>
  <c r="AB380" i="1"/>
  <c r="AB338" i="1"/>
  <c r="AB426" i="1"/>
  <c r="AB423" i="1"/>
  <c r="AB424" i="1"/>
  <c r="AB425" i="1"/>
  <c r="AB351" i="1"/>
  <c r="AB352" i="1"/>
  <c r="AB353" i="1"/>
  <c r="AB374" i="1"/>
  <c r="AB375" i="1"/>
  <c r="AB354" i="1"/>
  <c r="AB355" i="1"/>
  <c r="AB406" i="1"/>
  <c r="AB407" i="1"/>
  <c r="AB372" i="1"/>
  <c r="AB373" i="1"/>
  <c r="AB370" i="1"/>
  <c r="AB371" i="1"/>
  <c r="AB350" i="1"/>
  <c r="AB393" i="1"/>
  <c r="Z122" i="1"/>
  <c r="X122" i="1"/>
  <c r="Z115" i="1"/>
  <c r="X115" i="1"/>
  <c r="AC122" i="1"/>
  <c r="AA122" i="1"/>
  <c r="AC115" i="1"/>
  <c r="AA115" i="1"/>
  <c r="AC123" i="1"/>
  <c r="AA123" i="1"/>
  <c r="AC113" i="1"/>
  <c r="AA113" i="1"/>
  <c r="AC120" i="1"/>
  <c r="AA120" i="1"/>
  <c r="AC111" i="1"/>
  <c r="AA111" i="1"/>
  <c r="AC118" i="1"/>
  <c r="AA118" i="1"/>
  <c r="Z123" i="1"/>
  <c r="X123" i="1"/>
  <c r="Z113" i="1"/>
  <c r="X113" i="1"/>
  <c r="Z120" i="1"/>
  <c r="X120" i="1"/>
  <c r="Z118" i="1"/>
  <c r="X118" i="1"/>
  <c r="Z111" i="1"/>
  <c r="X111" i="1"/>
  <c r="AC116" i="1"/>
  <c r="AA116" i="1"/>
  <c r="AC117" i="1"/>
  <c r="AA117" i="1"/>
  <c r="AC110" i="1"/>
  <c r="AA110" i="1"/>
  <c r="Z116" i="1"/>
  <c r="X116" i="1"/>
  <c r="Z110" i="1"/>
  <c r="X110" i="1"/>
  <c r="Z117" i="1"/>
  <c r="X117" i="1"/>
  <c r="AC112" i="1"/>
  <c r="AA112" i="1"/>
  <c r="AC119" i="1"/>
  <c r="AA119" i="1"/>
  <c r="Z112" i="1"/>
  <c r="X112" i="1"/>
  <c r="Z119" i="1"/>
  <c r="X119" i="1"/>
  <c r="AA121" i="1"/>
  <c r="AC121" i="1"/>
  <c r="X121" i="1"/>
  <c r="Z121" i="1"/>
  <c r="X109" i="1"/>
  <c r="Z109" i="1"/>
  <c r="X114" i="1"/>
  <c r="Z114" i="1"/>
  <c r="AA114" i="1"/>
  <c r="AC114" i="1"/>
  <c r="AC109" i="1"/>
  <c r="AA109" i="1"/>
  <c r="X130" i="1"/>
  <c r="Z130" i="1"/>
  <c r="X128" i="1"/>
  <c r="Z128" i="1"/>
  <c r="X126" i="1"/>
  <c r="Z126" i="1"/>
  <c r="X124" i="1"/>
  <c r="Z124" i="1"/>
  <c r="X125" i="1"/>
  <c r="Z125" i="1"/>
  <c r="X127" i="1"/>
  <c r="Z127" i="1"/>
  <c r="AA130" i="1"/>
  <c r="AC130" i="1"/>
  <c r="AA128" i="1"/>
  <c r="AC128" i="1"/>
  <c r="AA126" i="1"/>
  <c r="AC126" i="1"/>
  <c r="AA124" i="1"/>
  <c r="AC124" i="1"/>
  <c r="AA125" i="1"/>
  <c r="AC125" i="1"/>
  <c r="AA129" i="1"/>
  <c r="AC129" i="1"/>
  <c r="AA127" i="1"/>
  <c r="AC127" i="1"/>
  <c r="Z129" i="1"/>
  <c r="X129" i="1"/>
  <c r="S51" i="1"/>
  <c r="S5" i="1"/>
  <c r="S52" i="1"/>
  <c r="S62" i="1"/>
  <c r="S392" i="1"/>
  <c r="S407" i="1"/>
  <c r="S372" i="1"/>
  <c r="S373" i="1"/>
  <c r="S370" i="1"/>
  <c r="S371" i="1"/>
  <c r="S350" i="1"/>
  <c r="S386" i="1"/>
  <c r="Y386" i="1" s="1"/>
  <c r="S193" i="1"/>
  <c r="Y193" i="1" s="1"/>
  <c r="S199" i="1"/>
  <c r="Y199" i="1" s="1"/>
  <c r="AB392" i="1"/>
  <c r="AB239" i="1"/>
  <c r="AB326" i="1"/>
  <c r="AB278" i="1"/>
  <c r="AB272" i="1"/>
  <c r="AB251" i="1"/>
  <c r="AB250" i="1"/>
  <c r="AB252" i="1"/>
  <c r="AB253" i="1"/>
  <c r="AB256" i="1"/>
  <c r="AB257" i="1"/>
  <c r="AB259" i="1"/>
  <c r="AB258" i="1"/>
  <c r="AB277" i="1"/>
  <c r="AB286" i="1"/>
  <c r="AB255" i="1"/>
  <c r="AB287" i="1"/>
  <c r="S50" i="1"/>
  <c r="S47" i="1"/>
  <c r="AE193" i="1"/>
  <c r="AE199" i="1"/>
  <c r="AE194" i="1"/>
  <c r="AE200" i="1"/>
  <c r="AE192" i="1"/>
  <c r="AE202" i="1"/>
  <c r="AE191" i="1"/>
  <c r="AE201" i="1"/>
  <c r="AE195" i="1"/>
  <c r="AE203" i="1"/>
  <c r="AE196" i="1"/>
  <c r="AE204" i="1"/>
  <c r="AE205" i="1"/>
  <c r="AE197" i="1"/>
  <c r="AE198" i="1"/>
  <c r="AE206" i="1"/>
  <c r="AE239" i="1"/>
  <c r="AE131" i="1"/>
  <c r="AE217" i="1"/>
  <c r="AE132" i="1"/>
  <c r="AE213" i="1"/>
  <c r="AE216" i="1"/>
  <c r="AE214" i="1"/>
  <c r="AE133" i="1"/>
  <c r="AE218" i="1"/>
  <c r="AE211" i="1"/>
  <c r="AE134" i="1"/>
  <c r="AE135" i="1"/>
  <c r="AE215" i="1"/>
  <c r="AE136" i="1"/>
  <c r="AE212" i="1"/>
  <c r="AE220" i="1"/>
  <c r="AE137" i="1"/>
  <c r="AE219" i="1"/>
  <c r="AE223" i="1"/>
  <c r="AE221" i="1"/>
  <c r="AE222" i="1"/>
  <c r="AE326" i="1"/>
  <c r="AE157" i="1"/>
  <c r="AE158" i="1"/>
  <c r="AE161" i="1"/>
  <c r="AE148" i="1"/>
  <c r="AE147" i="1"/>
  <c r="AE144" i="1"/>
  <c r="AE143" i="1"/>
  <c r="AE146" i="1"/>
  <c r="AE145" i="1"/>
  <c r="AE152" i="1"/>
  <c r="AE186" i="1"/>
  <c r="AE159" i="1"/>
  <c r="AE155" i="1"/>
  <c r="AE162" i="1"/>
  <c r="AE278" i="1"/>
  <c r="AE163" i="1"/>
  <c r="AE164" i="1"/>
  <c r="AE165" i="1"/>
  <c r="AE160" i="1"/>
  <c r="AE153" i="1"/>
  <c r="AE151" i="1"/>
  <c r="AE185" i="1"/>
  <c r="AE166" i="1"/>
  <c r="AE156" i="1"/>
  <c r="AE184" i="1"/>
  <c r="AE167" i="1"/>
  <c r="AE174" i="1"/>
  <c r="AE169" i="1"/>
  <c r="AE173" i="1"/>
  <c r="AE168" i="1"/>
  <c r="AE183" i="1"/>
  <c r="AE170" i="1"/>
  <c r="AE180" i="1"/>
  <c r="AE182" i="1"/>
  <c r="AE272" i="1"/>
  <c r="AE176" i="1"/>
  <c r="AE171" i="1"/>
  <c r="AE179" i="1"/>
  <c r="AE172" i="1"/>
  <c r="AE178" i="1"/>
  <c r="AE175" i="1"/>
  <c r="AE177" i="1"/>
  <c r="AE251" i="1"/>
  <c r="AE250" i="1"/>
  <c r="AE252" i="1"/>
  <c r="AE253" i="1"/>
  <c r="AE256" i="1"/>
  <c r="AE257" i="1"/>
  <c r="AE259" i="1"/>
  <c r="AE258" i="1"/>
  <c r="AE277" i="1"/>
  <c r="AE154" i="1"/>
  <c r="AE181" i="1"/>
  <c r="AE187" i="1"/>
  <c r="AE149" i="1"/>
  <c r="AE150" i="1"/>
  <c r="AE207" i="1"/>
  <c r="AE286" i="1"/>
  <c r="AE140" i="1"/>
  <c r="AE308" i="1"/>
  <c r="AE309" i="1"/>
  <c r="AE310" i="1"/>
  <c r="AE311" i="1"/>
  <c r="AE312" i="1"/>
  <c r="AE313" i="1"/>
  <c r="AE314" i="1"/>
  <c r="AE315" i="1"/>
  <c r="AE316" i="1"/>
  <c r="AE317" i="1"/>
  <c r="AE318" i="1"/>
  <c r="AE307" i="1"/>
  <c r="AE269" i="1"/>
  <c r="AE260" i="1"/>
  <c r="AE264" i="1"/>
  <c r="AE248" i="1"/>
  <c r="AE268" i="1"/>
  <c r="AE249" i="1"/>
  <c r="AE263" i="1"/>
  <c r="AE265" i="1"/>
  <c r="AE246" i="1"/>
  <c r="AE247" i="1"/>
  <c r="AE244" i="1"/>
  <c r="AE271" i="1"/>
  <c r="AE245" i="1"/>
  <c r="AE266" i="1"/>
  <c r="AE262" i="1"/>
  <c r="AE242" i="1"/>
  <c r="AE243" i="1"/>
  <c r="AE261" i="1"/>
  <c r="AE267" i="1"/>
  <c r="AE240" i="1"/>
  <c r="AE241" i="1"/>
  <c r="AE276" i="1"/>
  <c r="AE288" i="1"/>
  <c r="AE289" i="1"/>
  <c r="AE290" i="1"/>
  <c r="AE291" i="1"/>
  <c r="AE281" i="1"/>
  <c r="AE282" i="1"/>
  <c r="AE283" i="1"/>
  <c r="AE284" i="1"/>
  <c r="AE285" i="1"/>
  <c r="AE305" i="1"/>
  <c r="AE273" i="1"/>
  <c r="AE274" i="1"/>
  <c r="AE275" i="1"/>
  <c r="AE270" i="1"/>
  <c r="AE238" i="1"/>
  <c r="AE279" i="1"/>
  <c r="AE280" i="1"/>
  <c r="AE306" i="1"/>
  <c r="AE301" i="1"/>
  <c r="AE302" i="1"/>
  <c r="AE304" i="1"/>
  <c r="AE303" i="1"/>
  <c r="AE327" i="1"/>
  <c r="AE335" i="1"/>
  <c r="AE328" i="1"/>
  <c r="AE329" i="1"/>
  <c r="AE330" i="1"/>
  <c r="AE331" i="1"/>
  <c r="AE332" i="1"/>
  <c r="AE333" i="1"/>
  <c r="AE334" i="1"/>
  <c r="AE319" i="1"/>
  <c r="AE337" i="1"/>
  <c r="AE323" i="1"/>
  <c r="AE321" i="1"/>
  <c r="AE320" i="1"/>
  <c r="AE336" i="1"/>
  <c r="AE322" i="1"/>
  <c r="AE324" i="1"/>
  <c r="AE325" i="1"/>
  <c r="AE294" i="1"/>
  <c r="AE292" i="1"/>
  <c r="AE293" i="1"/>
  <c r="AE295" i="1"/>
  <c r="AE299" i="1"/>
  <c r="AE300" i="1"/>
  <c r="AE296" i="1"/>
  <c r="AE297" i="1"/>
  <c r="AE298" i="1"/>
  <c r="AE254" i="1"/>
  <c r="AE255" i="1"/>
  <c r="AE287" i="1"/>
  <c r="AE392" i="1"/>
  <c r="AE393" i="1"/>
  <c r="AE406" i="1"/>
  <c r="AE407" i="1"/>
  <c r="AE372" i="1"/>
  <c r="AE373" i="1"/>
  <c r="AE370" i="1"/>
  <c r="AE371" i="1"/>
  <c r="AE350" i="1"/>
  <c r="AE351" i="1"/>
  <c r="AE352" i="1"/>
  <c r="AE353" i="1"/>
  <c r="AE374" i="1"/>
  <c r="AE375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48" i="1"/>
  <c r="AE347" i="1"/>
  <c r="AE346" i="1"/>
  <c r="AE345" i="1"/>
  <c r="AE344" i="1"/>
  <c r="AE343" i="1"/>
  <c r="AE342" i="1"/>
  <c r="AE341" i="1"/>
  <c r="AE340" i="1"/>
  <c r="AE404" i="1"/>
  <c r="AE394" i="1"/>
  <c r="AE397" i="1"/>
  <c r="AE395" i="1"/>
  <c r="AE396" i="1"/>
  <c r="AE400" i="1"/>
  <c r="AE398" i="1"/>
  <c r="AE399" i="1"/>
  <c r="AE433" i="1"/>
  <c r="AE434" i="1"/>
  <c r="AE435" i="1"/>
  <c r="AE436" i="1"/>
  <c r="AE387" i="1"/>
  <c r="AE388" i="1"/>
  <c r="AE389" i="1"/>
  <c r="AE428" i="1"/>
  <c r="AE430" i="1"/>
  <c r="AE429" i="1"/>
  <c r="AE431" i="1"/>
  <c r="AE339" i="1"/>
  <c r="AE378" i="1"/>
  <c r="AE376" i="1"/>
  <c r="AE377" i="1"/>
  <c r="AE381" i="1"/>
  <c r="AE379" i="1"/>
  <c r="AE380" i="1"/>
  <c r="AE338" i="1"/>
  <c r="AE426" i="1"/>
  <c r="AE423" i="1"/>
  <c r="AE424" i="1"/>
  <c r="AE425" i="1"/>
  <c r="S56" i="1"/>
  <c r="S60" i="1"/>
  <c r="S9" i="1"/>
  <c r="R115" i="1"/>
  <c r="R122" i="1"/>
  <c r="R123" i="1"/>
  <c r="R113" i="1"/>
  <c r="R120" i="1"/>
  <c r="R111" i="1"/>
  <c r="R118" i="1"/>
  <c r="R66" i="1"/>
  <c r="R116" i="1"/>
  <c r="R110" i="1"/>
  <c r="R117" i="1"/>
  <c r="R112" i="1"/>
  <c r="R119" i="1"/>
  <c r="R65" i="1"/>
  <c r="R114" i="1"/>
  <c r="R121" i="1"/>
  <c r="R109" i="1"/>
  <c r="W211" i="1"/>
  <c r="R124" i="1"/>
  <c r="R129" i="1"/>
  <c r="R127" i="1"/>
  <c r="R125" i="1"/>
  <c r="R126" i="1"/>
  <c r="R128" i="1"/>
  <c r="R130" i="1"/>
  <c r="W407" i="1"/>
  <c r="W394" i="1"/>
  <c r="W395" i="1"/>
  <c r="W396" i="1"/>
  <c r="W397" i="1"/>
  <c r="W398" i="1"/>
  <c r="W399" i="1"/>
  <c r="W400" i="1"/>
  <c r="W433" i="1"/>
  <c r="W434" i="1"/>
  <c r="W435" i="1"/>
  <c r="W436" i="1"/>
  <c r="W423" i="1"/>
  <c r="W424" i="1"/>
  <c r="W425" i="1"/>
  <c r="W426" i="1"/>
  <c r="W379" i="1"/>
  <c r="W380" i="1"/>
  <c r="W381" i="1"/>
  <c r="W386" i="1"/>
  <c r="W349" i="1"/>
  <c r="W339" i="1"/>
  <c r="W427" i="1"/>
  <c r="W340" i="1"/>
  <c r="W341" i="1"/>
  <c r="W342" i="1"/>
  <c r="W343" i="1"/>
  <c r="W344" i="1"/>
  <c r="W345" i="1"/>
  <c r="W346" i="1"/>
  <c r="W347" i="1"/>
  <c r="W348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2" i="1"/>
  <c r="W373" i="1"/>
  <c r="W374" i="1"/>
  <c r="W375" i="1"/>
  <c r="W370" i="1"/>
  <c r="W371" i="1"/>
  <c r="W387" i="1"/>
  <c r="W376" i="1"/>
  <c r="W377" i="1"/>
  <c r="W378" i="1"/>
  <c r="W406" i="1"/>
  <c r="Y339" i="1"/>
  <c r="Y340" i="1"/>
  <c r="Y341" i="1"/>
  <c r="Y342" i="1"/>
  <c r="Y343" i="1"/>
  <c r="Y344" i="1"/>
  <c r="Y345" i="1"/>
  <c r="Y346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7" i="1"/>
  <c r="Y388" i="1"/>
  <c r="Y389" i="1"/>
  <c r="Y392" i="1"/>
  <c r="Y393" i="1"/>
  <c r="Y394" i="1"/>
  <c r="Y395" i="1"/>
  <c r="Y396" i="1"/>
  <c r="Y397" i="1"/>
  <c r="Y398" i="1"/>
  <c r="Y399" i="1"/>
  <c r="Y400" i="1"/>
  <c r="Y404" i="1"/>
  <c r="Y406" i="1"/>
  <c r="Y407" i="1"/>
  <c r="Y423" i="1"/>
  <c r="Y424" i="1"/>
  <c r="Y425" i="1"/>
  <c r="Y426" i="1"/>
  <c r="Y428" i="1"/>
  <c r="Y429" i="1"/>
  <c r="Y430" i="1"/>
  <c r="Y431" i="1"/>
  <c r="Y433" i="1"/>
  <c r="Y434" i="1"/>
  <c r="Y435" i="1"/>
  <c r="Y436" i="1"/>
  <c r="Y338" i="1"/>
  <c r="Y240" i="1"/>
  <c r="Y241" i="1"/>
  <c r="Y242" i="1"/>
  <c r="Y243" i="1"/>
  <c r="Y244" i="1"/>
  <c r="Y245" i="1"/>
  <c r="Y246" i="1"/>
  <c r="Y247" i="1"/>
  <c r="Y248" i="1"/>
  <c r="Y249" i="1"/>
  <c r="Y254" i="1"/>
  <c r="Y255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9" i="1"/>
  <c r="Y280" i="1"/>
  <c r="Y281" i="1"/>
  <c r="Y282" i="1"/>
  <c r="Y283" i="1"/>
  <c r="Y284" i="1"/>
  <c r="Y285" i="1"/>
  <c r="Y287" i="1"/>
  <c r="Y289" i="1"/>
  <c r="Y309" i="1"/>
  <c r="Y310" i="1"/>
  <c r="Y311" i="1"/>
  <c r="Y312" i="1"/>
  <c r="Y313" i="1"/>
  <c r="Y314" i="1"/>
  <c r="Y324" i="1"/>
  <c r="Y325" i="1"/>
  <c r="Y335" i="1"/>
  <c r="Y239" i="1"/>
  <c r="Y250" i="1"/>
  <c r="Y251" i="1"/>
  <c r="Y252" i="1"/>
  <c r="Y253" i="1"/>
  <c r="Y256" i="1"/>
  <c r="Y257" i="1"/>
  <c r="Y258" i="1"/>
  <c r="Y259" i="1"/>
  <c r="Y272" i="1"/>
  <c r="Y277" i="1"/>
  <c r="Y278" i="1"/>
  <c r="Y286" i="1"/>
  <c r="Y326" i="1"/>
  <c r="W240" i="1"/>
  <c r="W241" i="1"/>
  <c r="W242" i="1"/>
  <c r="W243" i="1"/>
  <c r="W244" i="1"/>
  <c r="W245" i="1"/>
  <c r="W246" i="1"/>
  <c r="W247" i="1"/>
  <c r="W248" i="1"/>
  <c r="W249" i="1"/>
  <c r="W254" i="1"/>
  <c r="W255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3" i="1"/>
  <c r="W274" i="1"/>
  <c r="W275" i="1"/>
  <c r="W276" i="1"/>
  <c r="W279" i="1"/>
  <c r="W280" i="1"/>
  <c r="W281" i="1"/>
  <c r="W282" i="1"/>
  <c r="W283" i="1"/>
  <c r="W284" i="1"/>
  <c r="W285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7" i="1"/>
  <c r="W328" i="1"/>
  <c r="W329" i="1"/>
  <c r="W330" i="1"/>
  <c r="W331" i="1"/>
  <c r="W332" i="1"/>
  <c r="W333" i="1"/>
  <c r="W334" i="1"/>
  <c r="W335" i="1"/>
  <c r="W336" i="1"/>
  <c r="W337" i="1"/>
  <c r="W238" i="1"/>
  <c r="W132" i="1"/>
  <c r="W133" i="1"/>
  <c r="W134" i="1"/>
  <c r="W135" i="1"/>
  <c r="W136" i="1"/>
  <c r="W137" i="1"/>
  <c r="W239" i="1"/>
  <c r="W140" i="1"/>
  <c r="W250" i="1"/>
  <c r="W251" i="1"/>
  <c r="W143" i="1"/>
  <c r="W144" i="1"/>
  <c r="W145" i="1"/>
  <c r="W146" i="1"/>
  <c r="W147" i="1"/>
  <c r="W148" i="1"/>
  <c r="W252" i="1"/>
  <c r="W253" i="1"/>
  <c r="W149" i="1"/>
  <c r="W150" i="1"/>
  <c r="W256" i="1"/>
  <c r="W257" i="1"/>
  <c r="W258" i="1"/>
  <c r="W259" i="1"/>
  <c r="W151" i="1"/>
  <c r="W152" i="1"/>
  <c r="W153" i="1"/>
  <c r="W154" i="1"/>
  <c r="W272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277" i="1"/>
  <c r="W278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86" i="1"/>
  <c r="W207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32" i="1"/>
  <c r="W235" i="1"/>
  <c r="W326" i="1"/>
  <c r="W236" i="1"/>
  <c r="W131" i="1"/>
  <c r="V142" i="2" a="1"/>
  <c r="V142" i="2" s="1"/>
  <c r="AK1" i="1"/>
  <c r="AI1" i="1"/>
  <c r="AJ1" i="1"/>
  <c r="AH432" i="1"/>
  <c r="AH416" i="1"/>
  <c r="AH422" i="1"/>
  <c r="AH231" i="1"/>
  <c r="AH383" i="1"/>
  <c r="AH415" i="1"/>
  <c r="AH411" i="1"/>
  <c r="AH418" i="1"/>
  <c r="AH385" i="1"/>
  <c r="AH384" i="1"/>
  <c r="AH229" i="1"/>
  <c r="AH419" i="1"/>
  <c r="AH413" i="1"/>
  <c r="AH420" i="1"/>
  <c r="AH230" i="1"/>
  <c r="AH414" i="1"/>
  <c r="AH421" i="1"/>
  <c r="AH417" i="1"/>
  <c r="AH323" i="1"/>
  <c r="AH193" i="1"/>
  <c r="AH217" i="1"/>
  <c r="AH140" i="1"/>
  <c r="AH198" i="1"/>
  <c r="AH197" i="1"/>
  <c r="AH228" i="1"/>
  <c r="AH412" i="1"/>
  <c r="AH338" i="1"/>
  <c r="AH131" i="1"/>
  <c r="AH428" i="1"/>
  <c r="AH336" i="1"/>
  <c r="AH320" i="1"/>
  <c r="AH294" i="1"/>
  <c r="AH212" i="1"/>
  <c r="AH300" i="1"/>
  <c r="AH132" i="1"/>
  <c r="AH303" i="1"/>
  <c r="AH210" i="1"/>
  <c r="AH334" i="1"/>
  <c r="AH331" i="1"/>
  <c r="AH203" i="1"/>
  <c r="AH214" i="1"/>
  <c r="AH135" i="1"/>
  <c r="AH199" i="1"/>
  <c r="AH430" i="1"/>
  <c r="AH202" i="1"/>
  <c r="AH226" i="1"/>
  <c r="AH333" i="1"/>
  <c r="AH219" i="1"/>
  <c r="AH332" i="1"/>
  <c r="AH297" i="1"/>
  <c r="AH224" i="1"/>
  <c r="AH431" i="1"/>
  <c r="AH301" i="1"/>
  <c r="AH293" i="1"/>
  <c r="AH429" i="1"/>
  <c r="AH295" i="1"/>
  <c r="AH205" i="1"/>
  <c r="AH225" i="1"/>
  <c r="AH232" i="1"/>
  <c r="AH192" i="1"/>
  <c r="AH327" i="1"/>
  <c r="AH136" i="1"/>
  <c r="AH233" i="1"/>
  <c r="AH134" i="1"/>
  <c r="AH213" i="1"/>
  <c r="AH307" i="1"/>
  <c r="AH196" i="1"/>
  <c r="AH337" i="1"/>
  <c r="AH227" i="1"/>
  <c r="AH206" i="1"/>
  <c r="AH238" i="1"/>
  <c r="AH410" i="1"/>
  <c r="AH220" i="1"/>
  <c r="AH204" i="1"/>
  <c r="AH237" i="1"/>
  <c r="AH329" i="1"/>
  <c r="AH321" i="1"/>
  <c r="AH408" i="1"/>
  <c r="AH211" i="1"/>
  <c r="AH137" i="1"/>
  <c r="AH222" i="1"/>
  <c r="AH201" i="1"/>
  <c r="AH292" i="1"/>
  <c r="AH319" i="1"/>
  <c r="AH409" i="1"/>
  <c r="AH234" i="1"/>
  <c r="AH299" i="1"/>
  <c r="AH195" i="1"/>
  <c r="AH216" i="1"/>
  <c r="AH392" i="1"/>
  <c r="AH304" i="1"/>
  <c r="AH191" i="1"/>
  <c r="AH133" i="1"/>
  <c r="AH305" i="1"/>
  <c r="AH330" i="1"/>
  <c r="AH302" i="1"/>
  <c r="AH223" i="1"/>
  <c r="AH215" i="1"/>
  <c r="AH296" i="1"/>
  <c r="AH322" i="1"/>
  <c r="AH328" i="1"/>
  <c r="AH306" i="1"/>
  <c r="AH194" i="1"/>
  <c r="AH218" i="1"/>
  <c r="AH200" i="1"/>
  <c r="AH298" i="1"/>
  <c r="AH139" i="1"/>
  <c r="AH393" i="1"/>
  <c r="X492" i="1" l="1"/>
  <c r="Z492" i="1"/>
  <c r="Y492" i="1" s="1"/>
  <c r="X22" i="1"/>
  <c r="X34" i="1"/>
  <c r="V34" i="1"/>
  <c r="W34" i="1" s="1"/>
  <c r="X33" i="1"/>
  <c r="V33" i="1"/>
  <c r="W33" i="1" s="1"/>
  <c r="X32" i="1"/>
  <c r="V32" i="1"/>
  <c r="W32" i="1" s="1"/>
  <c r="X31" i="1"/>
  <c r="V31" i="1"/>
  <c r="W31" i="1" s="1"/>
  <c r="X30" i="1"/>
  <c r="V30" i="1"/>
  <c r="W30" i="1" s="1"/>
  <c r="Z22" i="1"/>
  <c r="Z34" i="1"/>
  <c r="Z33" i="1"/>
  <c r="Z32" i="1"/>
  <c r="Z31" i="1"/>
  <c r="Z30" i="1"/>
  <c r="Z21" i="1"/>
  <c r="Z20" i="1"/>
  <c r="X4" i="1"/>
  <c r="X24" i="1"/>
  <c r="X28" i="1"/>
  <c r="AA27" i="1"/>
  <c r="X27" i="1"/>
  <c r="AA26" i="1"/>
  <c r="X26" i="1"/>
  <c r="AA25" i="1"/>
  <c r="X25" i="1"/>
  <c r="AA20" i="1"/>
  <c r="X20" i="1"/>
  <c r="Y20" i="1" s="1"/>
  <c r="V20" i="1"/>
  <c r="W20" i="1" s="1"/>
  <c r="AA21" i="1"/>
  <c r="X21" i="1"/>
  <c r="Y21" i="1" s="1"/>
  <c r="V21" i="1"/>
  <c r="W21" i="1" s="1"/>
  <c r="AA30" i="1"/>
  <c r="AA31" i="1"/>
  <c r="AA32" i="1"/>
  <c r="AA33" i="1"/>
  <c r="AA34" i="1"/>
  <c r="AA35" i="1"/>
  <c r="X35" i="1"/>
  <c r="Z24" i="1"/>
  <c r="Z28" i="1"/>
  <c r="AC27" i="1"/>
  <c r="Z27" i="1"/>
  <c r="AC26" i="1"/>
  <c r="Z26" i="1"/>
  <c r="AC25" i="1"/>
  <c r="Z25" i="1"/>
  <c r="AC20" i="1"/>
  <c r="AC21" i="1"/>
  <c r="AC30" i="1"/>
  <c r="AC31" i="1"/>
  <c r="AC32" i="1"/>
  <c r="AC33" i="1"/>
  <c r="AC34" i="1"/>
  <c r="AC35" i="1"/>
  <c r="Z35" i="1"/>
  <c r="AO12" i="1"/>
  <c r="AA19" i="1"/>
  <c r="X19" i="1"/>
  <c r="V19" i="1"/>
  <c r="W19" i="1" s="1"/>
  <c r="X18" i="1"/>
  <c r="AC19" i="1"/>
  <c r="Z19" i="1"/>
  <c r="Z18" i="1"/>
  <c r="AR20" i="1"/>
  <c r="AR21" i="1"/>
  <c r="AR31" i="1"/>
  <c r="AR32" i="1"/>
  <c r="AR33" i="1"/>
  <c r="AR34" i="1"/>
  <c r="X7" i="1"/>
  <c r="V7" i="1"/>
  <c r="W7" i="1" s="1"/>
  <c r="Z7" i="1"/>
  <c r="AA6" i="1"/>
  <c r="W403" i="1"/>
  <c r="V4" i="1"/>
  <c r="W4" i="1" s="1"/>
  <c r="AO4" i="1" s="1"/>
  <c r="V3" i="1"/>
  <c r="V2" i="1"/>
  <c r="W2" i="1" s="1"/>
  <c r="AO2" i="1" s="1"/>
  <c r="AC6" i="1"/>
  <c r="AO24" i="1"/>
  <c r="AO28" i="1"/>
  <c r="W29" i="1"/>
  <c r="AO29" i="1"/>
  <c r="AO7" i="1"/>
  <c r="W36" i="1"/>
  <c r="AO36" i="1"/>
  <c r="W39" i="1"/>
  <c r="AO39" i="1"/>
  <c r="AO27" i="1"/>
  <c r="AO26" i="1"/>
  <c r="AO25" i="1"/>
  <c r="W38" i="1"/>
  <c r="AO38" i="1"/>
  <c r="AO19" i="1"/>
  <c r="W47" i="1"/>
  <c r="AO47" i="1"/>
  <c r="AE47" i="1"/>
  <c r="AR47" i="1"/>
  <c r="W48" i="1"/>
  <c r="AO48" i="1"/>
  <c r="AB48" i="1"/>
  <c r="AQ48" i="1"/>
  <c r="AE48" i="1"/>
  <c r="AR48" i="1"/>
  <c r="W49" i="1"/>
  <c r="AO49" i="1"/>
  <c r="AB49" i="1"/>
  <c r="AQ49" i="1"/>
  <c r="AE49" i="1"/>
  <c r="AR49" i="1"/>
  <c r="AE6" i="1"/>
  <c r="AR6" i="1"/>
  <c r="W41" i="1"/>
  <c r="AO41" i="1"/>
  <c r="AR2" i="1"/>
  <c r="AR3" i="1"/>
  <c r="AR4" i="1"/>
  <c r="AR7" i="1"/>
  <c r="AR8" i="1"/>
  <c r="AR9" i="1"/>
  <c r="AR10" i="1"/>
  <c r="AR13" i="1"/>
  <c r="AR14" i="1"/>
  <c r="AR15" i="1"/>
  <c r="AR16" i="1"/>
  <c r="AR17" i="1"/>
  <c r="AR18" i="1"/>
  <c r="AR19" i="1"/>
  <c r="AR53" i="1"/>
  <c r="AR56" i="1"/>
  <c r="AR57" i="1"/>
  <c r="AR58" i="1"/>
  <c r="AR69" i="1"/>
  <c r="AR80" i="1"/>
  <c r="AR81" i="1"/>
  <c r="AR82" i="1"/>
  <c r="AR83" i="1"/>
  <c r="AR84" i="1"/>
  <c r="AR85" i="1"/>
  <c r="AR93" i="1"/>
  <c r="AR94" i="1"/>
  <c r="AR95" i="1"/>
  <c r="AR96" i="1"/>
  <c r="AR97" i="1"/>
  <c r="AR98" i="1"/>
  <c r="AR99" i="1"/>
  <c r="AQ2" i="1"/>
  <c r="AP8" i="1"/>
  <c r="AP9" i="1"/>
  <c r="AP37" i="1"/>
  <c r="AP41" i="1"/>
  <c r="AP42" i="1"/>
  <c r="AP47" i="1"/>
  <c r="AP48" i="1"/>
  <c r="AP49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Q3" i="1"/>
  <c r="AQ7" i="1"/>
  <c r="AQ8" i="1"/>
  <c r="AQ9" i="1"/>
  <c r="AQ10" i="1"/>
  <c r="AQ13" i="1"/>
  <c r="AQ14" i="1"/>
  <c r="AQ15" i="1"/>
  <c r="AQ16" i="1"/>
  <c r="AQ17" i="1"/>
  <c r="AQ18" i="1"/>
  <c r="AQ22" i="1"/>
  <c r="AQ23" i="1"/>
  <c r="AQ24" i="1"/>
  <c r="AQ28" i="1"/>
  <c r="AQ29" i="1"/>
  <c r="AQ37" i="1"/>
  <c r="AQ41" i="1"/>
  <c r="AQ42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5" i="1"/>
  <c r="T65" i="1" s="1"/>
  <c r="S65" i="1" s="1"/>
  <c r="AQ66" i="1"/>
  <c r="T66" i="1" s="1"/>
  <c r="S66" i="1" s="1"/>
  <c r="AQ67" i="1"/>
  <c r="AQ68" i="1"/>
  <c r="AQ69" i="1"/>
  <c r="AQ74" i="1"/>
  <c r="AQ75" i="1"/>
  <c r="AQ76" i="1"/>
  <c r="AQ77" i="1"/>
  <c r="AQ78" i="1"/>
  <c r="AQ79" i="1"/>
  <c r="AQ80" i="1"/>
  <c r="T80" i="1" s="1"/>
  <c r="AQ81" i="1"/>
  <c r="T81" i="1" s="1"/>
  <c r="AQ82" i="1"/>
  <c r="T82" i="1" s="1"/>
  <c r="AQ83" i="1"/>
  <c r="AQ84" i="1"/>
  <c r="AQ85" i="1"/>
  <c r="AQ86" i="1"/>
  <c r="AQ87" i="1"/>
  <c r="AQ88" i="1"/>
  <c r="AQ89" i="1"/>
  <c r="AQ90" i="1"/>
  <c r="AQ91" i="1"/>
  <c r="AQ92" i="1"/>
  <c r="AQ93" i="1"/>
  <c r="T93" i="1" s="1"/>
  <c r="AQ94" i="1"/>
  <c r="T94" i="1" s="1"/>
  <c r="AQ95" i="1"/>
  <c r="T95" i="1" s="1"/>
  <c r="AQ96" i="1"/>
  <c r="AQ97" i="1"/>
  <c r="AQ98" i="1"/>
  <c r="AQ99" i="1"/>
  <c r="AQ106" i="1"/>
  <c r="T106" i="1" s="1"/>
  <c r="S106" i="1" s="1"/>
  <c r="AQ107" i="1"/>
  <c r="T107" i="1" s="1"/>
  <c r="S107" i="1" s="1"/>
  <c r="AQ108" i="1"/>
  <c r="T108" i="1" s="1"/>
  <c r="S108" i="1" s="1"/>
  <c r="AO8" i="1"/>
  <c r="R8" i="1" s="1"/>
  <c r="AO9" i="1"/>
  <c r="AO10" i="1"/>
  <c r="AO13" i="1"/>
  <c r="AO14" i="1"/>
  <c r="AO15" i="1"/>
  <c r="AO16" i="1"/>
  <c r="AO17" i="1"/>
  <c r="AO18" i="1"/>
  <c r="AO22" i="1"/>
  <c r="AO23" i="1"/>
  <c r="AO35" i="1"/>
  <c r="AO37" i="1"/>
  <c r="AO40" i="1"/>
  <c r="AO42" i="1"/>
  <c r="AO43" i="1"/>
  <c r="AO44" i="1"/>
  <c r="AO45" i="1"/>
  <c r="AO46" i="1"/>
  <c r="AO51" i="1"/>
  <c r="AO53" i="1"/>
  <c r="AO54" i="1"/>
  <c r="AO55" i="1"/>
  <c r="AO56" i="1"/>
  <c r="AO57" i="1"/>
  <c r="AO58" i="1"/>
  <c r="AO59" i="1"/>
  <c r="AO60" i="1"/>
  <c r="AO61" i="1"/>
  <c r="AO67" i="1"/>
  <c r="R67" i="1" s="1"/>
  <c r="S67" i="1" s="1"/>
  <c r="AO68" i="1"/>
  <c r="AO69" i="1"/>
  <c r="AO70" i="1"/>
  <c r="R70" i="1" s="1"/>
  <c r="S70" i="1" s="1"/>
  <c r="AO71" i="1"/>
  <c r="R71" i="1" s="1"/>
  <c r="S71" i="1" s="1"/>
  <c r="AO72" i="1"/>
  <c r="R72" i="1" s="1"/>
  <c r="S72" i="1" s="1"/>
  <c r="AO73" i="1"/>
  <c r="R73" i="1" s="1"/>
  <c r="S73" i="1" s="1"/>
  <c r="AO74" i="1"/>
  <c r="AO75" i="1"/>
  <c r="AO76" i="1"/>
  <c r="AO77" i="1"/>
  <c r="AO78" i="1"/>
  <c r="AO79" i="1"/>
  <c r="AO83" i="1"/>
  <c r="AO84" i="1"/>
  <c r="AO85" i="1"/>
  <c r="AO86" i="1"/>
  <c r="AO87" i="1"/>
  <c r="AO88" i="1"/>
  <c r="AO89" i="1"/>
  <c r="AO90" i="1"/>
  <c r="AO91" i="1"/>
  <c r="AO92" i="1"/>
  <c r="AO96" i="1"/>
  <c r="AO97" i="1"/>
  <c r="AO98" i="1"/>
  <c r="U98" i="1" s="1"/>
  <c r="AO99" i="1"/>
  <c r="AO100" i="1"/>
  <c r="AO101" i="1"/>
  <c r="R101" i="1" s="1"/>
  <c r="S101" i="1" s="1"/>
  <c r="AO102" i="1"/>
  <c r="R102" i="1" s="1"/>
  <c r="AO103" i="1"/>
  <c r="AO104" i="1"/>
  <c r="AO105" i="1"/>
  <c r="R105" i="1" s="1"/>
  <c r="Y129" i="1"/>
  <c r="AP129" i="1" s="1"/>
  <c r="AB127" i="1"/>
  <c r="AQ127" i="1" s="1"/>
  <c r="AB129" i="1"/>
  <c r="AQ129" i="1" s="1"/>
  <c r="T129" i="1" s="1"/>
  <c r="S129" i="1" s="1"/>
  <c r="AB125" i="1"/>
  <c r="AQ125" i="1" s="1"/>
  <c r="AB124" i="1"/>
  <c r="AQ124" i="1" s="1"/>
  <c r="AB126" i="1"/>
  <c r="AQ126" i="1" s="1"/>
  <c r="AB128" i="1"/>
  <c r="AQ128" i="1" s="1"/>
  <c r="AB130" i="1"/>
  <c r="AQ130" i="1" s="1"/>
  <c r="Y127" i="1"/>
  <c r="AP127" i="1" s="1"/>
  <c r="Y125" i="1"/>
  <c r="AP125" i="1" s="1"/>
  <c r="Y124" i="1"/>
  <c r="AP124" i="1" s="1"/>
  <c r="Y126" i="1"/>
  <c r="AP126" i="1" s="1"/>
  <c r="Y128" i="1"/>
  <c r="AP128" i="1" s="1"/>
  <c r="Y130" i="1"/>
  <c r="AP130" i="1" s="1"/>
  <c r="AB109" i="1"/>
  <c r="AQ109" i="1" s="1"/>
  <c r="AB114" i="1"/>
  <c r="AQ114" i="1" s="1"/>
  <c r="Y114" i="1"/>
  <c r="AP114" i="1" s="1"/>
  <c r="Y109" i="1"/>
  <c r="AP109" i="1" s="1"/>
  <c r="Y121" i="1"/>
  <c r="AP121" i="1" s="1"/>
  <c r="AB121" i="1"/>
  <c r="AQ121" i="1" s="1"/>
  <c r="T121" i="1" s="1"/>
  <c r="S121" i="1" s="1"/>
  <c r="Y119" i="1"/>
  <c r="AP119" i="1" s="1"/>
  <c r="Y112" i="1"/>
  <c r="AP112" i="1" s="1"/>
  <c r="AB119" i="1"/>
  <c r="AQ119" i="1" s="1"/>
  <c r="T119" i="1" s="1"/>
  <c r="S119" i="1" s="1"/>
  <c r="AB112" i="1"/>
  <c r="AQ112" i="1" s="1"/>
  <c r="T112" i="1" s="1"/>
  <c r="S112" i="1" s="1"/>
  <c r="Y117" i="1"/>
  <c r="AP117" i="1" s="1"/>
  <c r="Y110" i="1"/>
  <c r="AP110" i="1" s="1"/>
  <c r="Y116" i="1"/>
  <c r="AP116" i="1" s="1"/>
  <c r="AB110" i="1"/>
  <c r="AQ110" i="1" s="1"/>
  <c r="T110" i="1" s="1"/>
  <c r="S110" i="1" s="1"/>
  <c r="AB117" i="1"/>
  <c r="AQ117" i="1" s="1"/>
  <c r="T117" i="1" s="1"/>
  <c r="S117" i="1" s="1"/>
  <c r="AB116" i="1"/>
  <c r="AQ116" i="1" s="1"/>
  <c r="T116" i="1" s="1"/>
  <c r="S116" i="1" s="1"/>
  <c r="Y111" i="1"/>
  <c r="AP111" i="1" s="1"/>
  <c r="Y118" i="1"/>
  <c r="AP118" i="1" s="1"/>
  <c r="Y120" i="1"/>
  <c r="AP120" i="1" s="1"/>
  <c r="Y113" i="1"/>
  <c r="AP113" i="1" s="1"/>
  <c r="Y123" i="1"/>
  <c r="AP123" i="1" s="1"/>
  <c r="AB118" i="1"/>
  <c r="AQ118" i="1" s="1"/>
  <c r="T118" i="1" s="1"/>
  <c r="S118" i="1" s="1"/>
  <c r="AB111" i="1"/>
  <c r="AQ111" i="1" s="1"/>
  <c r="T111" i="1" s="1"/>
  <c r="S111" i="1" s="1"/>
  <c r="AB120" i="1"/>
  <c r="AQ120" i="1" s="1"/>
  <c r="T120" i="1" s="1"/>
  <c r="AB113" i="1"/>
  <c r="AQ113" i="1" s="1"/>
  <c r="T113" i="1" s="1"/>
  <c r="AB123" i="1"/>
  <c r="AQ123" i="1" s="1"/>
  <c r="T123" i="1" s="1"/>
  <c r="S123" i="1" s="1"/>
  <c r="AB115" i="1"/>
  <c r="AQ115" i="1" s="1"/>
  <c r="AB122" i="1"/>
  <c r="AQ122" i="1" s="1"/>
  <c r="Y115" i="1"/>
  <c r="AP115" i="1" s="1"/>
  <c r="Y122" i="1"/>
  <c r="AP122" i="1" s="1"/>
  <c r="AB47" i="1"/>
  <c r="AQ47" i="1" s="1"/>
  <c r="AA40" i="1"/>
  <c r="AC40" i="1"/>
  <c r="V390" i="1"/>
  <c r="W390" i="1" s="1"/>
  <c r="S11" i="1"/>
  <c r="S102" i="1"/>
  <c r="S105" i="1"/>
  <c r="S120" i="1"/>
  <c r="S113" i="1"/>
  <c r="AB207" i="1"/>
  <c r="AB208" i="1"/>
  <c r="AA228" i="1"/>
  <c r="AA231" i="1"/>
  <c r="AA229" i="1"/>
  <c r="AA230" i="1"/>
  <c r="V382" i="1"/>
  <c r="W382" i="1" s="1"/>
  <c r="V409" i="1"/>
  <c r="W409" i="1" s="1"/>
  <c r="V410" i="1"/>
  <c r="W410" i="1" s="1"/>
  <c r="V432" i="1"/>
  <c r="W432" i="1" s="1"/>
  <c r="V383" i="1"/>
  <c r="W383" i="1" s="1"/>
  <c r="V411" i="1"/>
  <c r="W411" i="1" s="1"/>
  <c r="V412" i="1"/>
  <c r="W412" i="1" s="1"/>
  <c r="V413" i="1"/>
  <c r="W413" i="1" s="1"/>
  <c r="V414" i="1"/>
  <c r="W414" i="1" s="1"/>
  <c r="V416" i="1"/>
  <c r="W416" i="1" s="1"/>
  <c r="V415" i="1"/>
  <c r="W415" i="1" s="1"/>
  <c r="V418" i="1"/>
  <c r="W418" i="1" s="1"/>
  <c r="V417" i="1"/>
  <c r="W417" i="1" s="1"/>
  <c r="V384" i="1"/>
  <c r="W384" i="1" s="1"/>
  <c r="V419" i="1"/>
  <c r="W419" i="1" s="1"/>
  <c r="V420" i="1"/>
  <c r="W420" i="1" s="1"/>
  <c r="V421" i="1"/>
  <c r="W421" i="1" s="1"/>
  <c r="V422" i="1"/>
  <c r="W422" i="1" s="1"/>
  <c r="V385" i="1"/>
  <c r="W385" i="1" s="1"/>
  <c r="AC228" i="1"/>
  <c r="AB228" i="1" s="1"/>
  <c r="AC231" i="1"/>
  <c r="AB231" i="1" s="1"/>
  <c r="AC229" i="1"/>
  <c r="AC230" i="1"/>
  <c r="AB230" i="1" s="1"/>
  <c r="S49" i="1"/>
  <c r="S48" i="1"/>
  <c r="V62" i="1"/>
  <c r="V52" i="1"/>
  <c r="V63" i="1"/>
  <c r="V64" i="1"/>
  <c r="AA63" i="1"/>
  <c r="AA64" i="1"/>
  <c r="AA4" i="1"/>
  <c r="AA46" i="1"/>
  <c r="AA45" i="1"/>
  <c r="AA44" i="1"/>
  <c r="AA38" i="1"/>
  <c r="AA43" i="1"/>
  <c r="AA39" i="1"/>
  <c r="AA36" i="1"/>
  <c r="AA12" i="1"/>
  <c r="X45" i="1"/>
  <c r="X10" i="1"/>
  <c r="AC63" i="1"/>
  <c r="AC64" i="1"/>
  <c r="AC4" i="1"/>
  <c r="AC46" i="1"/>
  <c r="AC45" i="1"/>
  <c r="AC44" i="1"/>
  <c r="AC38" i="1"/>
  <c r="AC43" i="1"/>
  <c r="AC39" i="1"/>
  <c r="AC36" i="1"/>
  <c r="AC12" i="1"/>
  <c r="Z10" i="1"/>
  <c r="S54" i="1"/>
  <c r="S55" i="1"/>
  <c r="S53" i="1"/>
  <c r="S57" i="1"/>
  <c r="S58" i="1"/>
  <c r="S63" i="1"/>
  <c r="S64" i="1"/>
  <c r="S59" i="1"/>
  <c r="S61" i="1"/>
  <c r="V401" i="1"/>
  <c r="W401" i="1" s="1"/>
  <c r="V389" i="1"/>
  <c r="W389" i="1" s="1"/>
  <c r="V388" i="1"/>
  <c r="W388" i="1" s="1"/>
  <c r="W404" i="1"/>
  <c r="AA140" i="1"/>
  <c r="AC235" i="1"/>
  <c r="AA235" i="1"/>
  <c r="AA232" i="1"/>
  <c r="AA226" i="1"/>
  <c r="AA225" i="1"/>
  <c r="AA227" i="1"/>
  <c r="AA224" i="1"/>
  <c r="AA237" i="1"/>
  <c r="AA233" i="1"/>
  <c r="AA234" i="1"/>
  <c r="AA139" i="1"/>
  <c r="AA210" i="1"/>
  <c r="AA222" i="1"/>
  <c r="AA223" i="1"/>
  <c r="AA219" i="1"/>
  <c r="AA137" i="1"/>
  <c r="AA220" i="1"/>
  <c r="AA212" i="1"/>
  <c r="AA136" i="1"/>
  <c r="AA215" i="1"/>
  <c r="AA135" i="1"/>
  <c r="AA134" i="1"/>
  <c r="AA211" i="1"/>
  <c r="AA218" i="1"/>
  <c r="AA133" i="1"/>
  <c r="AA214" i="1"/>
  <c r="AA216" i="1"/>
  <c r="AA213" i="1"/>
  <c r="AA132" i="1"/>
  <c r="AA217" i="1"/>
  <c r="AA131" i="1"/>
  <c r="AA206" i="1"/>
  <c r="AA198" i="1"/>
  <c r="AA197" i="1"/>
  <c r="AA205" i="1"/>
  <c r="AA204" i="1"/>
  <c r="AA196" i="1"/>
  <c r="AA203" i="1"/>
  <c r="AA195" i="1"/>
  <c r="AA201" i="1"/>
  <c r="AA191" i="1"/>
  <c r="AA202" i="1"/>
  <c r="AA192" i="1"/>
  <c r="AA200" i="1"/>
  <c r="AA194" i="1"/>
  <c r="AA199" i="1"/>
  <c r="AA193" i="1"/>
  <c r="AC140" i="1"/>
  <c r="AC232" i="1"/>
  <c r="AC226" i="1"/>
  <c r="AC225" i="1"/>
  <c r="AC227" i="1"/>
  <c r="AC224" i="1"/>
  <c r="AC237" i="1"/>
  <c r="AC233" i="1"/>
  <c r="AC234" i="1"/>
  <c r="AC139" i="1"/>
  <c r="AC210" i="1"/>
  <c r="AC222" i="1"/>
  <c r="AC223" i="1"/>
  <c r="AC219" i="1"/>
  <c r="AC137" i="1"/>
  <c r="AC220" i="1"/>
  <c r="AC212" i="1"/>
  <c r="AC136" i="1"/>
  <c r="AC215" i="1"/>
  <c r="AC135" i="1"/>
  <c r="AC134" i="1"/>
  <c r="AC211" i="1"/>
  <c r="AC218" i="1"/>
  <c r="AC133" i="1"/>
  <c r="AC214" i="1"/>
  <c r="AC216" i="1"/>
  <c r="AC213" i="1"/>
  <c r="AC132" i="1"/>
  <c r="AC217" i="1"/>
  <c r="AC131" i="1"/>
  <c r="AC206" i="1"/>
  <c r="AC198" i="1"/>
  <c r="AC197" i="1"/>
  <c r="AC205" i="1"/>
  <c r="AC204" i="1"/>
  <c r="AC196" i="1"/>
  <c r="AC203" i="1"/>
  <c r="AC195" i="1"/>
  <c r="AC201" i="1"/>
  <c r="AC191" i="1"/>
  <c r="AC202" i="1"/>
  <c r="AC192" i="1"/>
  <c r="AC200" i="1"/>
  <c r="AC194" i="1"/>
  <c r="AC199" i="1"/>
  <c r="AC193" i="1"/>
  <c r="X15" i="1"/>
  <c r="X40" i="1"/>
  <c r="X36" i="1"/>
  <c r="X39" i="1"/>
  <c r="X38" i="1"/>
  <c r="X3" i="1"/>
  <c r="X2" i="1"/>
  <c r="X29" i="1"/>
  <c r="X23" i="1"/>
  <c r="X46" i="1"/>
  <c r="X44" i="1"/>
  <c r="X17" i="1"/>
  <c r="X43" i="1"/>
  <c r="X13" i="1"/>
  <c r="X12" i="1"/>
  <c r="X14" i="1"/>
  <c r="X16" i="1"/>
  <c r="Z15" i="1"/>
  <c r="Z40" i="1"/>
  <c r="Z36" i="1"/>
  <c r="Z39" i="1"/>
  <c r="Z38" i="1"/>
  <c r="Z4" i="1"/>
  <c r="Z3" i="1"/>
  <c r="Z2" i="1"/>
  <c r="Z29" i="1"/>
  <c r="Z23" i="1"/>
  <c r="Z46" i="1"/>
  <c r="Z45" i="1"/>
  <c r="Z44" i="1"/>
  <c r="Z17" i="1"/>
  <c r="Z43" i="1"/>
  <c r="Z13" i="1"/>
  <c r="Z12" i="1"/>
  <c r="Z14" i="1"/>
  <c r="Z16" i="1"/>
  <c r="X319" i="1"/>
  <c r="X336" i="1"/>
  <c r="X320" i="1"/>
  <c r="X337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292" i="1"/>
  <c r="X293" i="1"/>
  <c r="X327" i="1"/>
  <c r="X328" i="1"/>
  <c r="X329" i="1"/>
  <c r="X330" i="1"/>
  <c r="X331" i="1"/>
  <c r="X332" i="1"/>
  <c r="X333" i="1"/>
  <c r="X334" i="1"/>
  <c r="X321" i="1"/>
  <c r="X322" i="1"/>
  <c r="X323" i="1"/>
  <c r="X238" i="1"/>
  <c r="V392" i="1"/>
  <c r="W392" i="1" s="1"/>
  <c r="V393" i="1"/>
  <c r="W393" i="1" s="1"/>
  <c r="V431" i="1"/>
  <c r="W431" i="1" s="1"/>
  <c r="V428" i="1"/>
  <c r="W428" i="1" s="1"/>
  <c r="V429" i="1"/>
  <c r="W429" i="1" s="1"/>
  <c r="V430" i="1"/>
  <c r="W430" i="1" s="1"/>
  <c r="V408" i="1"/>
  <c r="W408" i="1" s="1"/>
  <c r="V338" i="1"/>
  <c r="W338" i="1" s="1"/>
  <c r="Z321" i="1"/>
  <c r="Z319" i="1"/>
  <c r="Z336" i="1"/>
  <c r="Z320" i="1"/>
  <c r="Y320" i="1" s="1"/>
  <c r="Z337" i="1"/>
  <c r="Z294" i="1"/>
  <c r="Z295" i="1"/>
  <c r="Z296" i="1"/>
  <c r="Z297" i="1"/>
  <c r="Z298" i="1"/>
  <c r="Z299" i="1"/>
  <c r="Z300" i="1"/>
  <c r="Y300" i="1" s="1"/>
  <c r="Z301" i="1"/>
  <c r="Z302" i="1"/>
  <c r="Z303" i="1"/>
  <c r="Z304" i="1"/>
  <c r="Z305" i="1"/>
  <c r="Z306" i="1"/>
  <c r="Z307" i="1"/>
  <c r="Z292" i="1"/>
  <c r="Y292" i="1" s="1"/>
  <c r="Z293" i="1"/>
  <c r="Z327" i="1"/>
  <c r="Z328" i="1"/>
  <c r="Z329" i="1"/>
  <c r="Z330" i="1"/>
  <c r="Z331" i="1"/>
  <c r="Z332" i="1"/>
  <c r="Z333" i="1"/>
  <c r="Y333" i="1" s="1"/>
  <c r="Z334" i="1"/>
  <c r="Z322" i="1"/>
  <c r="Z323" i="1"/>
  <c r="Z238" i="1"/>
  <c r="Y238" i="1"/>
  <c r="Y323" i="1"/>
  <c r="Y322" i="1"/>
  <c r="Y321" i="1"/>
  <c r="Y334" i="1"/>
  <c r="Y332" i="1"/>
  <c r="Y331" i="1"/>
  <c r="Y330" i="1"/>
  <c r="Y329" i="1"/>
  <c r="Y328" i="1"/>
  <c r="Y327" i="1"/>
  <c r="Y293" i="1"/>
  <c r="Y307" i="1"/>
  <c r="Y306" i="1"/>
  <c r="Y305" i="1"/>
  <c r="Y304" i="1"/>
  <c r="Y303" i="1"/>
  <c r="Y302" i="1"/>
  <c r="Y301" i="1"/>
  <c r="Y299" i="1"/>
  <c r="Y297" i="1"/>
  <c r="Y296" i="1"/>
  <c r="Y295" i="1"/>
  <c r="Y294" i="1"/>
  <c r="Y337" i="1"/>
  <c r="Y336" i="1"/>
  <c r="Y319" i="1"/>
  <c r="Y140" i="1"/>
  <c r="Y30" i="1" l="1"/>
  <c r="Y31" i="1"/>
  <c r="Y32" i="1"/>
  <c r="Y33" i="1"/>
  <c r="Y34" i="1"/>
  <c r="R104" i="1"/>
  <c r="S104" i="1" s="1"/>
  <c r="R103" i="1"/>
  <c r="S103" i="1" s="1"/>
  <c r="R100" i="1"/>
  <c r="S100" i="1" s="1"/>
  <c r="Y35" i="1"/>
  <c r="AB35" i="1"/>
  <c r="AB33" i="1"/>
  <c r="AB32" i="1"/>
  <c r="AB31" i="1"/>
  <c r="AB30" i="1"/>
  <c r="AB21" i="1"/>
  <c r="AB20" i="1"/>
  <c r="Y25" i="1"/>
  <c r="AB25" i="1"/>
  <c r="Y26" i="1"/>
  <c r="AB26" i="1"/>
  <c r="Y27" i="1"/>
  <c r="AB27" i="1"/>
  <c r="Y28" i="1"/>
  <c r="Y24" i="1"/>
  <c r="T122" i="1"/>
  <c r="S122" i="1" s="1"/>
  <c r="T115" i="1"/>
  <c r="S115" i="1" s="1"/>
  <c r="T114" i="1"/>
  <c r="S114" i="1" s="1"/>
  <c r="T109" i="1"/>
  <c r="S109" i="1" s="1"/>
  <c r="T130" i="1"/>
  <c r="S130" i="1" s="1"/>
  <c r="T128" i="1"/>
  <c r="S128" i="1" s="1"/>
  <c r="T126" i="1"/>
  <c r="S126" i="1" s="1"/>
  <c r="T124" i="1"/>
  <c r="S124" i="1" s="1"/>
  <c r="T125" i="1"/>
  <c r="S125" i="1" s="1"/>
  <c r="T127" i="1"/>
  <c r="S127" i="1" s="1"/>
  <c r="U95" i="1"/>
  <c r="S95" i="1" s="1"/>
  <c r="U94" i="1"/>
  <c r="S94" i="1" s="1"/>
  <c r="U93" i="1"/>
  <c r="S93" i="1" s="1"/>
  <c r="U82" i="1"/>
  <c r="S82" i="1" s="1"/>
  <c r="U81" i="1"/>
  <c r="S81" i="1" s="1"/>
  <c r="U80" i="1"/>
  <c r="S80" i="1" s="1"/>
  <c r="T99" i="1"/>
  <c r="U99" i="1"/>
  <c r="R99" i="1"/>
  <c r="S99" i="1" s="1"/>
  <c r="T98" i="1"/>
  <c r="R98" i="1"/>
  <c r="S98" i="1" s="1"/>
  <c r="T97" i="1"/>
  <c r="U97" i="1"/>
  <c r="R97" i="1"/>
  <c r="S97" i="1" s="1"/>
  <c r="U96" i="1"/>
  <c r="T96" i="1"/>
  <c r="R96" i="1"/>
  <c r="S96" i="1" s="1"/>
  <c r="T92" i="1"/>
  <c r="R92" i="1"/>
  <c r="S92" i="1" s="1"/>
  <c r="T91" i="1"/>
  <c r="R91" i="1"/>
  <c r="S91" i="1" s="1"/>
  <c r="T90" i="1"/>
  <c r="R90" i="1"/>
  <c r="S90" i="1" s="1"/>
  <c r="T89" i="1"/>
  <c r="R89" i="1"/>
  <c r="S89" i="1" s="1"/>
  <c r="T88" i="1"/>
  <c r="R88" i="1"/>
  <c r="S88" i="1" s="1"/>
  <c r="T87" i="1"/>
  <c r="R87" i="1"/>
  <c r="S87" i="1" s="1"/>
  <c r="T86" i="1"/>
  <c r="R86" i="1"/>
  <c r="S86" i="1" s="1"/>
  <c r="T85" i="1"/>
  <c r="U85" i="1"/>
  <c r="R85" i="1"/>
  <c r="S85" i="1" s="1"/>
  <c r="U84" i="1"/>
  <c r="T84" i="1"/>
  <c r="R84" i="1"/>
  <c r="S84" i="1" s="1"/>
  <c r="T83" i="1"/>
  <c r="U83" i="1"/>
  <c r="R83" i="1"/>
  <c r="S83" i="1" s="1"/>
  <c r="T79" i="1"/>
  <c r="R79" i="1"/>
  <c r="S79" i="1" s="1"/>
  <c r="T78" i="1"/>
  <c r="R78" i="1"/>
  <c r="S78" i="1" s="1"/>
  <c r="T77" i="1"/>
  <c r="R77" i="1"/>
  <c r="S77" i="1" s="1"/>
  <c r="T76" i="1"/>
  <c r="R76" i="1"/>
  <c r="S76" i="1" s="1"/>
  <c r="T75" i="1"/>
  <c r="R75" i="1"/>
  <c r="S75" i="1" s="1"/>
  <c r="T74" i="1"/>
  <c r="R74" i="1"/>
  <c r="S74" i="1" s="1"/>
  <c r="T69" i="1"/>
  <c r="U69" i="1"/>
  <c r="R69" i="1"/>
  <c r="S69" i="1" s="1"/>
  <c r="T68" i="1"/>
  <c r="R68" i="1"/>
  <c r="S68" i="1" s="1"/>
  <c r="T42" i="1"/>
  <c r="U42" i="1"/>
  <c r="R42" i="1"/>
  <c r="S42" i="1" s="1"/>
  <c r="T37" i="1"/>
  <c r="U37" i="1"/>
  <c r="R37" i="1"/>
  <c r="S37" i="1" s="1"/>
  <c r="T8" i="1"/>
  <c r="U8" i="1"/>
  <c r="Y18" i="1"/>
  <c r="Y19" i="1"/>
  <c r="AB19" i="1"/>
  <c r="T41" i="1"/>
  <c r="U41" i="1"/>
  <c r="R41" i="1"/>
  <c r="S41" i="1" s="1"/>
  <c r="S8" i="1"/>
  <c r="Y7" i="1"/>
  <c r="W64" i="1"/>
  <c r="AO64" i="1"/>
  <c r="W63" i="1"/>
  <c r="AO63" i="1"/>
  <c r="W52" i="1"/>
  <c r="AO52" i="1"/>
  <c r="W62" i="1"/>
  <c r="AO62" i="1"/>
  <c r="AO34" i="1"/>
  <c r="AP34" i="1"/>
  <c r="AO31" i="1"/>
  <c r="AP31" i="1"/>
  <c r="AO20" i="1"/>
  <c r="AP20" i="1"/>
  <c r="AO30" i="1"/>
  <c r="AP30" i="1"/>
  <c r="AO32" i="1"/>
  <c r="AP32" i="1"/>
  <c r="AO33" i="1"/>
  <c r="AP33" i="1"/>
  <c r="AO21" i="1"/>
  <c r="AP21" i="1"/>
  <c r="W3" i="1"/>
  <c r="AO3" i="1"/>
  <c r="AB6" i="1"/>
  <c r="AQ6" i="1" s="1"/>
  <c r="Y16" i="1"/>
  <c r="AP16" i="1" s="1"/>
  <c r="AP18" i="1"/>
  <c r="Y14" i="1"/>
  <c r="AP14" i="1" s="1"/>
  <c r="Y12" i="1"/>
  <c r="AP12" i="1" s="1"/>
  <c r="Y13" i="1"/>
  <c r="AP13" i="1" s="1"/>
  <c r="Y43" i="1"/>
  <c r="AP43" i="1" s="1"/>
  <c r="Y17" i="1"/>
  <c r="AP17" i="1" s="1"/>
  <c r="Y44" i="1"/>
  <c r="AP44" i="1" s="1"/>
  <c r="Y46" i="1"/>
  <c r="AP46" i="1" s="1"/>
  <c r="Y23" i="1"/>
  <c r="AP23" i="1" s="1"/>
  <c r="AP24" i="1"/>
  <c r="Y29" i="1"/>
  <c r="AP29" i="1" s="1"/>
  <c r="AP28" i="1"/>
  <c r="AP7" i="1"/>
  <c r="Y2" i="1"/>
  <c r="AP2" i="1" s="1"/>
  <c r="Y3" i="1"/>
  <c r="AP3" i="1" s="1"/>
  <c r="AP19" i="1"/>
  <c r="Y4" i="1"/>
  <c r="AP4" i="1" s="1"/>
  <c r="Y38" i="1"/>
  <c r="AP38" i="1" s="1"/>
  <c r="Y39" i="1"/>
  <c r="AP39" i="1" s="1"/>
  <c r="AP27" i="1"/>
  <c r="AP26" i="1"/>
  <c r="AP25" i="1"/>
  <c r="Y36" i="1"/>
  <c r="AP36" i="1" s="1"/>
  <c r="Y40" i="1"/>
  <c r="AP40" i="1" s="1"/>
  <c r="Y15" i="1"/>
  <c r="AP15" i="1" s="1"/>
  <c r="Y10" i="1"/>
  <c r="AP10" i="1" s="1"/>
  <c r="Y45" i="1"/>
  <c r="AP45" i="1" s="1"/>
  <c r="AP35" i="1"/>
  <c r="Y22" i="1"/>
  <c r="AP22" i="1" s="1"/>
  <c r="AB12" i="1"/>
  <c r="AB36" i="1"/>
  <c r="AQ36" i="1" s="1"/>
  <c r="T36" i="1" s="1"/>
  <c r="AB39" i="1"/>
  <c r="AQ39" i="1" s="1"/>
  <c r="T39" i="1" s="1"/>
  <c r="AQ27" i="1"/>
  <c r="T27" i="1" s="1"/>
  <c r="AQ26" i="1"/>
  <c r="T26" i="1" s="1"/>
  <c r="AQ25" i="1"/>
  <c r="T25" i="1" s="1"/>
  <c r="AB43" i="1"/>
  <c r="AQ43" i="1" s="1"/>
  <c r="T43" i="1" s="1"/>
  <c r="AB38" i="1"/>
  <c r="AQ38" i="1" s="1"/>
  <c r="T38" i="1" s="1"/>
  <c r="AB44" i="1"/>
  <c r="AQ44" i="1" s="1"/>
  <c r="T44" i="1" s="1"/>
  <c r="AB45" i="1"/>
  <c r="AQ45" i="1" s="1"/>
  <c r="T45" i="1" s="1"/>
  <c r="AQ35" i="1"/>
  <c r="T35" i="1" s="1"/>
  <c r="AB46" i="1"/>
  <c r="AQ46" i="1" s="1"/>
  <c r="T46" i="1" s="1"/>
  <c r="AQ19" i="1"/>
  <c r="T19" i="1" s="1"/>
  <c r="AB4" i="1"/>
  <c r="AQ4" i="1" s="1"/>
  <c r="T4" i="1" s="1"/>
  <c r="AB64" i="1"/>
  <c r="AQ64" i="1" s="1"/>
  <c r="AB63" i="1"/>
  <c r="AQ63" i="1" s="1"/>
  <c r="AB34" i="1"/>
  <c r="AQ34" i="1" s="1"/>
  <c r="AQ31" i="1"/>
  <c r="AQ20" i="1"/>
  <c r="AQ30" i="1"/>
  <c r="AQ32" i="1"/>
  <c r="AQ33" i="1"/>
  <c r="AQ21" i="1"/>
  <c r="AB40" i="1"/>
  <c r="AQ40" i="1" s="1"/>
  <c r="T40" i="1" s="1"/>
  <c r="AB229" i="1"/>
  <c r="AB235" i="1"/>
  <c r="AB217" i="1"/>
  <c r="AB132" i="1"/>
  <c r="AB210" i="1"/>
  <c r="AB139" i="1"/>
  <c r="AB193" i="1"/>
  <c r="AB199" i="1"/>
  <c r="AB194" i="1"/>
  <c r="AB200" i="1"/>
  <c r="AB192" i="1"/>
  <c r="AB202" i="1"/>
  <c r="AB191" i="1"/>
  <c r="AB201" i="1"/>
  <c r="AB195" i="1"/>
  <c r="AB203" i="1"/>
  <c r="AB196" i="1"/>
  <c r="AB204" i="1"/>
  <c r="AB205" i="1"/>
  <c r="AB197" i="1"/>
  <c r="AB198" i="1"/>
  <c r="AB206" i="1"/>
  <c r="AB131" i="1"/>
  <c r="AB213" i="1"/>
  <c r="AB216" i="1"/>
  <c r="AB214" i="1"/>
  <c r="AB133" i="1"/>
  <c r="AB218" i="1"/>
  <c r="AB211" i="1"/>
  <c r="AB134" i="1"/>
  <c r="AB135" i="1"/>
  <c r="AB215" i="1"/>
  <c r="AB136" i="1"/>
  <c r="AB212" i="1"/>
  <c r="AB220" i="1"/>
  <c r="AB137" i="1"/>
  <c r="AB219" i="1"/>
  <c r="AB223" i="1"/>
  <c r="AB222" i="1"/>
  <c r="AB234" i="1"/>
  <c r="AB233" i="1"/>
  <c r="AB237" i="1"/>
  <c r="AB224" i="1"/>
  <c r="AB227" i="1"/>
  <c r="AB225" i="1"/>
  <c r="AB226" i="1"/>
  <c r="AB232" i="1"/>
  <c r="AB140" i="1"/>
  <c r="Y298" i="1"/>
  <c r="U34" i="1" l="1"/>
  <c r="T34" i="1"/>
  <c r="R34" i="1"/>
  <c r="S34" i="1" s="1"/>
  <c r="U33" i="1"/>
  <c r="T33" i="1"/>
  <c r="R33" i="1"/>
  <c r="S33" i="1" s="1"/>
  <c r="U32" i="1"/>
  <c r="T32" i="1"/>
  <c r="R32" i="1"/>
  <c r="S32" i="1" s="1"/>
  <c r="U31" i="1"/>
  <c r="T31" i="1"/>
  <c r="R31" i="1"/>
  <c r="S31" i="1" s="1"/>
  <c r="U30" i="1"/>
  <c r="T30" i="1"/>
  <c r="R30" i="1"/>
  <c r="S30" i="1" s="1"/>
  <c r="AQ12" i="1"/>
  <c r="T12" i="1" s="1"/>
  <c r="U21" i="1"/>
  <c r="T21" i="1"/>
  <c r="R21" i="1"/>
  <c r="S21" i="1" s="1"/>
  <c r="U20" i="1"/>
  <c r="T20" i="1"/>
  <c r="R20" i="1"/>
  <c r="S20" i="1" s="1"/>
  <c r="U40" i="1"/>
  <c r="R40" i="1"/>
  <c r="S40" i="1" s="1"/>
  <c r="U36" i="1"/>
  <c r="R36" i="1"/>
  <c r="S36" i="1" s="1"/>
  <c r="U39" i="1"/>
  <c r="R39" i="1"/>
  <c r="S39" i="1" s="1"/>
  <c r="U38" i="1"/>
  <c r="R38" i="1"/>
  <c r="S38" i="1" s="1"/>
  <c r="U29" i="1"/>
  <c r="T29" i="1"/>
  <c r="R29" i="1"/>
  <c r="S29" i="1" s="1"/>
  <c r="T23" i="1"/>
  <c r="U23" i="1"/>
  <c r="R23" i="1"/>
  <c r="S23" i="1" s="1"/>
  <c r="U22" i="1"/>
  <c r="T22" i="1"/>
  <c r="R22" i="1"/>
  <c r="S22" i="1" s="1"/>
  <c r="T24" i="1"/>
  <c r="U24" i="1"/>
  <c r="R24" i="1"/>
  <c r="S24" i="1" s="1"/>
  <c r="T28" i="1"/>
  <c r="U28" i="1"/>
  <c r="R28" i="1"/>
  <c r="S28" i="1" s="1"/>
  <c r="U27" i="1"/>
  <c r="R27" i="1"/>
  <c r="S27" i="1" s="1"/>
  <c r="U26" i="1"/>
  <c r="R26" i="1"/>
  <c r="S26" i="1" s="1"/>
  <c r="U25" i="1"/>
  <c r="R25" i="1"/>
  <c r="S25" i="1" s="1"/>
  <c r="U35" i="1"/>
  <c r="R35" i="1"/>
  <c r="S35" i="1" s="1"/>
  <c r="U45" i="1"/>
  <c r="R45" i="1"/>
  <c r="S45" i="1" s="1"/>
  <c r="R10" i="1"/>
  <c r="T10" i="1"/>
  <c r="U10" i="1"/>
  <c r="R15" i="1"/>
  <c r="T15" i="1"/>
  <c r="U15" i="1"/>
  <c r="U4" i="1"/>
  <c r="R4" i="1"/>
  <c r="U19" i="1"/>
  <c r="R19" i="1"/>
  <c r="S19" i="1" s="1"/>
  <c r="T2" i="1"/>
  <c r="U2" i="1"/>
  <c r="R2" i="1"/>
  <c r="T7" i="1"/>
  <c r="U7" i="1"/>
  <c r="R7" i="1"/>
  <c r="U46" i="1"/>
  <c r="R46" i="1"/>
  <c r="S46" i="1" s="1"/>
  <c r="U44" i="1"/>
  <c r="R44" i="1"/>
  <c r="S44" i="1" s="1"/>
  <c r="R17" i="1"/>
  <c r="T17" i="1"/>
  <c r="U17" i="1"/>
  <c r="U43" i="1"/>
  <c r="R43" i="1"/>
  <c r="S43" i="1" s="1"/>
  <c r="R13" i="1"/>
  <c r="T13" i="1"/>
  <c r="U13" i="1"/>
  <c r="R12" i="1"/>
  <c r="U12" i="1"/>
  <c r="R14" i="1"/>
  <c r="T14" i="1"/>
  <c r="U14" i="1"/>
  <c r="R18" i="1"/>
  <c r="T18" i="1"/>
  <c r="U18" i="1"/>
  <c r="R16" i="1"/>
  <c r="T16" i="1"/>
  <c r="U16" i="1"/>
  <c r="T6" i="1"/>
  <c r="R6" i="1"/>
  <c r="U6" i="1"/>
  <c r="R3" i="1"/>
  <c r="T3" i="1"/>
  <c r="U3" i="1"/>
  <c r="S10" i="1"/>
  <c r="S7" i="1"/>
  <c r="S13" i="1"/>
  <c r="S12" i="1"/>
  <c r="S3" i="1"/>
  <c r="S6" i="1"/>
  <c r="S4" i="1"/>
  <c r="S2" i="1"/>
  <c r="S16" i="1" l="1"/>
  <c r="S18" i="1"/>
  <c r="S14" i="1"/>
  <c r="S17" i="1"/>
  <c r="S1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<sst xmlns="http://schemas.openxmlformats.org/spreadsheetml/2006/main" count="9608" uniqueCount="3276">
  <si>
    <t>SampleID</t>
  </si>
  <si>
    <t>SampleName</t>
  </si>
  <si>
    <t>PI</t>
  </si>
  <si>
    <t>Source</t>
  </si>
  <si>
    <t>GeneralType1</t>
  </si>
  <si>
    <t>GeneralType2</t>
  </si>
  <si>
    <t>Type1</t>
  </si>
  <si>
    <t>SubType</t>
  </si>
  <si>
    <t>Modified</t>
  </si>
  <si>
    <t>MinSize</t>
  </si>
  <si>
    <t>MaxSize</t>
  </si>
  <si>
    <t>Particulate</t>
  </si>
  <si>
    <t>Texture</t>
  </si>
  <si>
    <t>Origin</t>
  </si>
  <si>
    <t>Location</t>
  </si>
  <si>
    <t>Chem#</t>
  </si>
  <si>
    <t>Text</t>
  </si>
  <si>
    <t>ol_number</t>
  </si>
  <si>
    <t>opx_number</t>
  </si>
  <si>
    <t>cpx_number</t>
  </si>
  <si>
    <t>plagioclase number</t>
  </si>
  <si>
    <t>Fa</t>
  </si>
  <si>
    <t>Fo</t>
  </si>
  <si>
    <t>Fs</t>
  </si>
  <si>
    <t>En</t>
  </si>
  <si>
    <t>Wo</t>
  </si>
  <si>
    <t>An</t>
  </si>
  <si>
    <t>Ab</t>
  </si>
  <si>
    <t>Or</t>
  </si>
  <si>
    <t>Weathering</t>
  </si>
  <si>
    <t>Notes</t>
  </si>
  <si>
    <t>DP-JNG-006</t>
  </si>
  <si>
    <t>Tuxtuac M-LL5-860C (Tuxtac LL5) chondrules &lt;125 um</t>
  </si>
  <si>
    <t>JNG</t>
  </si>
  <si>
    <t>Other-Met</t>
  </si>
  <si>
    <t>Rock</t>
    <phoneticPr fontId="0" type="noConversion"/>
  </si>
  <si>
    <t>Ordinary Chondrite</t>
  </si>
  <si>
    <t>LL5 Chondrule</t>
  </si>
  <si>
    <t>Yes</t>
  </si>
  <si>
    <t>Particulate Ground Sorted</t>
  </si>
  <si>
    <t>Zacatecas, Mexico</t>
  </si>
  <si>
    <t>Physical Research Lab</t>
  </si>
  <si>
    <t>Asteroid-meteorite comparison</t>
  </si>
  <si>
    <t>S</t>
  </si>
  <si>
    <t>https://trace.tennessee.edu/cgi/viewcontent.cgi?article=1440&amp;context=utk_graddiss</t>
  </si>
  <si>
    <t>http://articles.adsabs.harvard.edu/cgi-bin/nph-iarticle_query?1989Metic..24..219M&amp;defaultprint=YES&amp;filetype=.pdf</t>
  </si>
  <si>
    <t>https://onlinelibrary.wiley.com/doi/pdf/10.1111/j.1945-5100.2010.01021.x</t>
  </si>
  <si>
    <t>wt% to vol%</t>
  </si>
  <si>
    <t>DP-JNG-007</t>
  </si>
  <si>
    <t>Tuxtuac M-LL5-860 (Tuxtac LL5) bulk &lt;125 um</t>
  </si>
  <si>
    <t>LL5</t>
  </si>
  <si>
    <t>DP-JNG-015</t>
  </si>
  <si>
    <t>Saint Severin M-LL6-652 (St. Severin) bulk &lt;125 um</t>
  </si>
  <si>
    <t>LL6</t>
  </si>
  <si>
    <t>Poitou-Charentes, France</t>
  </si>
  <si>
    <t>https://citeseerx.ist.psu.edu/viewdoc/download?doi=10.1.1.474.4985&amp;rep=rep1&amp;type=pdf</t>
  </si>
  <si>
    <t>a bit different composition in second ref but comparable in third</t>
  </si>
  <si>
    <t>MT-DTB-057</t>
  </si>
  <si>
    <t xml:space="preserve">Portales Valley </t>
  </si>
  <si>
    <t>DTB</t>
  </si>
  <si>
    <t xml:space="preserve">H </t>
  </si>
  <si>
    <t>Univ. of Arizona</t>
  </si>
  <si>
    <t>https://journals.uair.arizona.edu/index.php/maps/article/download/15089/15060</t>
  </si>
  <si>
    <t>in vol%</t>
  </si>
  <si>
    <t>MT-HYM-078</t>
  </si>
  <si>
    <t>Alta'ameem</t>
  </si>
  <si>
    <t>HYM</t>
  </si>
  <si>
    <t>Iraq</t>
  </si>
  <si>
    <t>University of Tennessee</t>
  </si>
  <si>
    <t>From the Natural History Museum in London</t>
  </si>
  <si>
    <t>https://www.researchgate.net/publication/343905376_SCIENTIFIC_NOTE_AN_UPDATE_ON_THE_MINERALOGY_AND_CHEMISTRY_OF_THE_ALTA'AMEEM_METEORITE</t>
  </si>
  <si>
    <t>MT-HYM-080</t>
  </si>
  <si>
    <t>Tuxtuac</t>
  </si>
  <si>
    <t>OC-SXS-022-D</t>
  </si>
  <si>
    <t>Bensour (LL6) &lt;250 um</t>
  </si>
  <si>
    <t>SXS</t>
  </si>
  <si>
    <t>Mizusawa Observatory</t>
  </si>
  <si>
    <t>TB-TJM-063</t>
  </si>
  <si>
    <t>Air</t>
  </si>
  <si>
    <t>TJM</t>
  </si>
  <si>
    <t>L6</t>
  </si>
  <si>
    <t>Particulate Ground</t>
  </si>
  <si>
    <t>Agadez, Niger</t>
  </si>
  <si>
    <t xml:space="preserve">Smithsonian Inst </t>
  </si>
  <si>
    <t>Ordinary chondrite powder studied by Jarosevich, Meteoritics, 323-337, 1990.  Almost all metal removed.  USNM 7073</t>
  </si>
  <si>
    <t>http://adsabs.harvard.edu/pdf/1980Metic..15...69D</t>
  </si>
  <si>
    <t>a little anorthite</t>
  </si>
  <si>
    <t>in mol%</t>
  </si>
  <si>
    <t>TB-TJM-064</t>
  </si>
  <si>
    <t>Apt</t>
  </si>
  <si>
    <t>Vaucluse, France</t>
  </si>
  <si>
    <t>TB-TJM-066</t>
  </si>
  <si>
    <t>Avanhandava</t>
  </si>
  <si>
    <t>H4</t>
  </si>
  <si>
    <t>Sao Paulo, Brazil</t>
  </si>
  <si>
    <t>https://repositorio.usp.br/directbitstream/74abfc4e-d276-49f9-9b1a-b06ab0edb676/1529694.pdf</t>
  </si>
  <si>
    <t>TB-TJM-069</t>
  </si>
  <si>
    <t>Butsura</t>
  </si>
  <si>
    <t>H6</t>
  </si>
  <si>
    <t>Champaran district, Bihar, India</t>
  </si>
  <si>
    <t>https://www.jstor.org/stable/pdf/2990353.pdf?refreqid=excelsior%3A18b205a677b4abb7936bcf833bbba947</t>
  </si>
  <si>
    <t>TB-TJM-094</t>
  </si>
  <si>
    <t>Guarena</t>
  </si>
  <si>
    <t>Badajos, Spain</t>
  </si>
  <si>
    <t>http://adsabs.harvard.edu/pdf/1990Metic..25...77M</t>
  </si>
  <si>
    <t>TB-TJM-097</t>
  </si>
  <si>
    <t>Itapicuru-Mirim</t>
  </si>
  <si>
    <t>H5</t>
  </si>
  <si>
    <t>Maranhao, Brazil</t>
  </si>
  <si>
    <t>http://articles.adsabs.harvard.edu/cgi-bin/nph-iarticle_query?1977Metic..12..241G&amp;defaultprint=YES&amp;filetype=.pdf</t>
  </si>
  <si>
    <t>TB-TJM-101</t>
  </si>
  <si>
    <t>Aumale</t>
  </si>
  <si>
    <t>Sour el Ghozlane, Alger, Algeria</t>
  </si>
  <si>
    <t>http://articles.adsabs.harvard.edu/cgi-bin/nph-iarticle_query?1981Metic..16...93D&amp;defaultprint=YES&amp;filetype=.pdf</t>
  </si>
  <si>
    <t>TB-TJM-104</t>
  </si>
  <si>
    <t>Allegan</t>
  </si>
  <si>
    <t>Allegan County, Michigan, USA</t>
  </si>
  <si>
    <t>https://core.ac.uk/download/pdf/12532709.pdf</t>
  </si>
  <si>
    <t>TB-TJM-109</t>
  </si>
  <si>
    <t>Malakal</t>
  </si>
  <si>
    <t>L5</t>
  </si>
  <si>
    <t>Upper Nile Province, Sudan</t>
  </si>
  <si>
    <t>https://www.researchgate.net/publication/229812084_Formation_conditions_of_igneous_regions_in_ordinary_chondrites_Chico_Rose_City_and_other_heavily_shocked_H_and_L_chondrites</t>
  </si>
  <si>
    <t>TB-TJM-125</t>
  </si>
  <si>
    <t>TB-TJM-145</t>
  </si>
  <si>
    <t>Saint Severin</t>
  </si>
  <si>
    <t>Hartford County, Connecticut, USA</t>
  </si>
  <si>
    <t>MB-CMP-001</t>
  </si>
  <si>
    <t>Tsarev powder</t>
  </si>
  <si>
    <t>CMP</t>
  </si>
  <si>
    <t xml:space="preserve">Volgograd, USSR </t>
  </si>
  <si>
    <t xml:space="preserve">Relab (DTB) </t>
  </si>
  <si>
    <t>Sample has slab,powder and magnetic separate spectra Chip in Relab D1-C3.</t>
  </si>
  <si>
    <t>nan</t>
  </si>
  <si>
    <t>?, opx+cpx</t>
  </si>
  <si>
    <t>http://articles.adsabs.harvard.edu/cgi-bin/nph-iarticle_query?1988LPI....19..134B&amp;defaultprint=YES&amp;page_ind=1&amp;filetype=.pdf</t>
  </si>
  <si>
    <t>https://www.lpi.usra.edu/meetings/lpsc1994/pdf/1453.pdf</t>
  </si>
  <si>
    <t>MB-CMP-001-P2</t>
  </si>
  <si>
    <t>Tsarev</t>
  </si>
  <si>
    <t>S, opx+cpx</t>
  </si>
  <si>
    <t>MT-HYM-077</t>
  </si>
  <si>
    <t>Aldsworth</t>
  </si>
  <si>
    <t>Gloucestershire, England</t>
  </si>
  <si>
    <t>MT-HYM-083</t>
  </si>
  <si>
    <t>Benares (a)</t>
  </si>
  <si>
    <t>LL4</t>
  </si>
  <si>
    <t>Uttar Pradesh, India</t>
  </si>
  <si>
    <t>MT-HYM-085</t>
  </si>
  <si>
    <t>Olivenza</t>
  </si>
  <si>
    <t>Spain</t>
  </si>
  <si>
    <t>From Smithsonian</t>
  </si>
  <si>
    <t>http://articles.adsabs.harvard.edu/pdf/2002M%26PS...37...75G</t>
  </si>
  <si>
    <t>OC-TXH-001-A</t>
  </si>
  <si>
    <t>Cherokee Springs (LL6) chip</t>
  </si>
  <si>
    <t>TXH</t>
  </si>
  <si>
    <t>Chip</t>
  </si>
  <si>
    <t>Spartenburg County, South Caroline, USA</t>
  </si>
  <si>
    <t>Smithsonian National Museum of Natural History</t>
  </si>
  <si>
    <t>USNM 1319</t>
  </si>
  <si>
    <t>OC-TXH-001-B</t>
  </si>
  <si>
    <t>Cherokee Springs (LL6) 125-500 um</t>
  </si>
  <si>
    <t>OC-TXH-001-C</t>
  </si>
  <si>
    <t>Cherokee Springs (LL6) &lt;125 um</t>
  </si>
  <si>
    <t>OC-TXH-009-B</t>
  </si>
  <si>
    <t>Olivenza (LL5) 125-500 um</t>
  </si>
  <si>
    <t>Badajoz, Spain</t>
  </si>
  <si>
    <t>Field Museum</t>
  </si>
  <si>
    <t>ME 2095</t>
  </si>
  <si>
    <t>OC-TXH-009-C</t>
  </si>
  <si>
    <t>Olivenza (LL5) &lt;125 um</t>
  </si>
  <si>
    <t>RS-CMP-047-P1</t>
  </si>
  <si>
    <t>University of Arizona</t>
  </si>
  <si>
    <t>Also in Relab C1-H4.Sample #15384,1a/T Dark Lithology Slab plus powders</t>
  </si>
  <si>
    <t>RS-CMP-047-P10</t>
  </si>
  <si>
    <t>Tsarev 45-63 um</t>
  </si>
  <si>
    <t>RS-CMP-047-P4</t>
  </si>
  <si>
    <t>Tsarev &lt;63 um</t>
  </si>
  <si>
    <t>RS-CMP-047-P8</t>
  </si>
  <si>
    <t>Tsarev &lt;25 um</t>
  </si>
  <si>
    <t>RS-CMP-047-P9</t>
  </si>
  <si>
    <t>Tsarev 25-45 um</t>
  </si>
  <si>
    <t>RS-CMP-062-P1</t>
  </si>
  <si>
    <t>Kunashak powder #1</t>
  </si>
  <si>
    <t>USSR</t>
  </si>
  <si>
    <t xml:space="preserve">No I723   </t>
  </si>
  <si>
    <t>TB-TJM-067</t>
  </si>
  <si>
    <t>Bandong</t>
  </si>
  <si>
    <t>Java, Indonesia</t>
  </si>
  <si>
    <t>TB-TJM-075</t>
  </si>
  <si>
    <t>Greenwell Springs</t>
  </si>
  <si>
    <t>TB-TJM-077</t>
  </si>
  <si>
    <t>Karatu</t>
  </si>
  <si>
    <t>Arusha, Tanzania</t>
  </si>
  <si>
    <t>TB-TJM-090</t>
  </si>
  <si>
    <t>Cherokee Springs</t>
  </si>
  <si>
    <t>Spartenburg Co., SC</t>
  </si>
  <si>
    <t>TB-TJM-102</t>
  </si>
  <si>
    <t>Bald Mountain</t>
  </si>
  <si>
    <t>L4</t>
  </si>
  <si>
    <t>Yancy County, North Carolina, USA</t>
  </si>
  <si>
    <t>TB-TJM-103</t>
  </si>
  <si>
    <t>Girgenti</t>
  </si>
  <si>
    <t>Sicily, Italy</t>
  </si>
  <si>
    <t>http://articles.adsabs.harvard.edu/cgi-bin/nph-iarticle_query?1972Metic...7..109L&amp;defaultprint=YES&amp;filetype=.pdf</t>
  </si>
  <si>
    <t>TB-TJM-132</t>
  </si>
  <si>
    <t>Chiang Khan</t>
  </si>
  <si>
    <t>Loei, Thailand</t>
  </si>
  <si>
    <t>S, high Ab</t>
  </si>
  <si>
    <t>https://link.springer.com/content/pdf/10.1007%2FBF01164487.pdf</t>
  </si>
  <si>
    <t>TB-TJM-135</t>
  </si>
  <si>
    <t>Ipiranga</t>
  </si>
  <si>
    <t>Lageado Ipiranga, Foz do Iguacu, Parana, Brazil</t>
  </si>
  <si>
    <t>TB-TJM-137</t>
  </si>
  <si>
    <t>Karkh</t>
  </si>
  <si>
    <t>Jhalawan, Baluchistan, Pakistan</t>
  </si>
  <si>
    <t>TB-TJM-139</t>
  </si>
  <si>
    <t>Kunashak</t>
  </si>
  <si>
    <t>Chelyabinsk region, Federated SSR, USSR</t>
  </si>
  <si>
    <t>TB-TJM-140</t>
  </si>
  <si>
    <t>Kyushu</t>
  </si>
  <si>
    <t>Kyushu, Japan</t>
  </si>
  <si>
    <t>LM-LAM-009-A</t>
  </si>
  <si>
    <t xml:space="preserve">ALH 77005,112 </t>
  </si>
  <si>
    <t>LAM</t>
  </si>
  <si>
    <t>Mars-Met</t>
  </si>
  <si>
    <t>Igneous</t>
    <phoneticPr fontId="0" type="noConversion"/>
  </si>
  <si>
    <t>Shergottite</t>
    <phoneticPr fontId="0" type="noConversion"/>
  </si>
  <si>
    <t xml:space="preserve">Natural </t>
  </si>
  <si>
    <t xml:space="preserve">Allan Hills, Antarctica </t>
  </si>
  <si>
    <t>JSC, Houston, TX</t>
  </si>
  <si>
    <t>(A) Exposed face</t>
  </si>
  <si>
    <t>?</t>
  </si>
  <si>
    <t>https://www.lpi.usra.edu/meteor/metbull.php?sea=77005&amp;sfor=names&amp;ants=&amp;nwas=&amp;falls=&amp;valids=&amp;stype=contains&amp;lrec=50&amp;map=ge&amp;browse=&amp;country=All&amp;srt=name&amp;categ=All&amp;mblist=All&amp;rect=&amp;phot=&amp;strewn=&amp;snew=0&amp;pnt=Normal%20table&amp;code=1321</t>
  </si>
  <si>
    <t>https://www.jstage.jst.go.jp/article/minerj/9/8/9_8_460/_pdf</t>
  </si>
  <si>
    <t>http://articles.adsabs.harvard.edu/cgi-bin/nph-iarticle_query?1994AMR.....7....9I&amp;defaultprint=YES&amp;filetype=.pdf</t>
  </si>
  <si>
    <t>in normative %</t>
  </si>
  <si>
    <t>LM-LAM-009-B</t>
  </si>
  <si>
    <t xml:space="preserve">(B) Large internal face opposite of (A). </t>
  </si>
  <si>
    <t>LM-LAM-009-D</t>
  </si>
  <si>
    <t xml:space="preserve">(D) Black part on (B). </t>
  </si>
  <si>
    <t>LM-LAM-023</t>
  </si>
  <si>
    <t xml:space="preserve">Lafayette </t>
  </si>
  <si>
    <t>Nakhlite</t>
    <phoneticPr fontId="0" type="noConversion"/>
  </si>
  <si>
    <t xml:space="preserve">Tippecanoe Co., Indiana </t>
  </si>
  <si>
    <t xml:space="preserve">CSI </t>
  </si>
  <si>
    <t>https://www.sciencedirect.com/science/article/pii/S0016703715000332</t>
  </si>
  <si>
    <t>MB-CMP-026</t>
  </si>
  <si>
    <t>MAC 88177 chips</t>
  </si>
  <si>
    <t>Achondrite</t>
  </si>
  <si>
    <t xml:space="preserve">Lodranite </t>
  </si>
  <si>
    <t>Slab</t>
  </si>
  <si>
    <t>MacAlpine Hills, Antarctica</t>
  </si>
  <si>
    <t>https://onlinelibrary.wiley.com/doi/epdf/10.1111/maps.13203</t>
  </si>
  <si>
    <t>http://articles.adsabs.harvard.edu/cgi-bin/nph-iarticle_query?1998AMR....11...49Y&amp;defaultprint=YES&amp;filetype=.pdf</t>
  </si>
  <si>
    <t>MB-TXH-037</t>
  </si>
  <si>
    <t xml:space="preserve">Y-74357,2 </t>
  </si>
  <si>
    <t>Yamato Mtn. Range, Anarctica</t>
  </si>
  <si>
    <t xml:space="preserve">NIPR Tokyo, Japan </t>
  </si>
  <si>
    <t>MP-TXH-071-A</t>
  </si>
  <si>
    <t xml:space="preserve">ALH 77256,143 </t>
  </si>
  <si>
    <t>Basaltic HED Diogenite</t>
  </si>
  <si>
    <t xml:space="preserve">NASA JSC </t>
  </si>
  <si>
    <t xml:space="preserve">Rusted.   </t>
  </si>
  <si>
    <t>https://onlinelibrary.wiley.com/doi/pdf/10.1111/j.1945-5100.2010.01061.x</t>
  </si>
  <si>
    <t>https://nipr.repo.nii.ac.jp/?action=repository_action_common_download&amp;item_id=1044&amp;item_no=1&amp;attribute_id=18&amp;file_no=1</t>
  </si>
  <si>
    <t>MT-JPE-302</t>
  </si>
  <si>
    <t>MAC 88177,53 chip</t>
  </si>
  <si>
    <t>JPE</t>
  </si>
  <si>
    <t>Rock</t>
  </si>
  <si>
    <t>Primitive Achondrite Lodranite</t>
  </si>
  <si>
    <t>MT-JPE-302-A</t>
  </si>
  <si>
    <t>MAC 88177,53 powder &lt;125 um (metals removed)</t>
  </si>
  <si>
    <t>RM-REM-123</t>
  </si>
  <si>
    <t>ALH 77256,34 chip</t>
  </si>
  <si>
    <t>REM</t>
  </si>
  <si>
    <t>Basaltic HED Olivine-Diogenite</t>
  </si>
  <si>
    <t>Allan Hills, Antarctica</t>
  </si>
  <si>
    <t>NASA JSC - Univ. Notre Dame</t>
  </si>
  <si>
    <t>HED mixing model study</t>
  </si>
  <si>
    <t>RM-REM-123-A</t>
  </si>
  <si>
    <t>ALH 77256,34 &lt;45 um</t>
  </si>
  <si>
    <t>NASA JSC - Brown University</t>
  </si>
  <si>
    <t>RM-REM-123-P</t>
  </si>
  <si>
    <t>ALH 77256,34 bulk powder</t>
  </si>
  <si>
    <t>Particulate Ground Unsorted</t>
  </si>
  <si>
    <t>RM-REM-126</t>
  </si>
  <si>
    <t>MIL 03443,19 chip</t>
  </si>
  <si>
    <t>Miller Range, Antarctica</t>
  </si>
  <si>
    <t>RM-REM-126-A</t>
  </si>
  <si>
    <t>MIL 03443,19 &lt;45 um</t>
  </si>
  <si>
    <t>RM-REM-126-P</t>
  </si>
  <si>
    <t>MIL 03443,19 bulk powder</t>
  </si>
  <si>
    <t>MB-TXH-038</t>
  </si>
  <si>
    <t xml:space="preserve">Y-791491,20 </t>
  </si>
  <si>
    <t>MT-TXH-049</t>
  </si>
  <si>
    <t>Brachina chip</t>
  </si>
  <si>
    <t>Brachinite</t>
  </si>
  <si>
    <t xml:space="preserve">Near Brachina, S. Australia </t>
  </si>
  <si>
    <t>S. Australian Museum</t>
  </si>
  <si>
    <t>Rusted and crambled   Chip</t>
  </si>
  <si>
    <t>?, trace OPX</t>
  </si>
  <si>
    <t>http://adsabs.harvard.edu/pdf/1989LPSC...19..475W</t>
  </si>
  <si>
    <t>MT-TXH-049-A</t>
  </si>
  <si>
    <t>Brachina &lt;45 um</t>
  </si>
  <si>
    <t>Yes</t>
    <phoneticPr fontId="0" type="noConversion"/>
  </si>
  <si>
    <t xml:space="preserve">Chip Particulate </t>
  </si>
  <si>
    <t xml:space="preserve">Rusted and crambled </t>
  </si>
  <si>
    <t>S, trace OPX</t>
  </si>
  <si>
    <t>AG-TJM-012</t>
  </si>
  <si>
    <t>85% LCP + 15% HCP</t>
  </si>
  <si>
    <t>Earth</t>
  </si>
  <si>
    <t>Mineral</t>
  </si>
  <si>
    <t xml:space="preserve">Mixture </t>
  </si>
  <si>
    <t>Hypersthene Augite</t>
  </si>
  <si>
    <t>Smithsonian Inst.</t>
  </si>
  <si>
    <t>Olivine-Orthopyroxene-Clinopyroxene-Plagioclase mixture study</t>
  </si>
  <si>
    <t>AG-TJM-013</t>
  </si>
  <si>
    <t>50% LCP + 50% HCP</t>
  </si>
  <si>
    <t>AG-TJM-014</t>
  </si>
  <si>
    <t>70% OL + 30% LCP</t>
  </si>
  <si>
    <t>Olivine  Hypersthene</t>
  </si>
  <si>
    <t>AG-TJM-015</t>
  </si>
  <si>
    <t>40% OL + 51% LCP + 9% HCP</t>
  </si>
  <si>
    <t>Olivine  Hypersthene Augite</t>
  </si>
  <si>
    <t>AG-TJM-016</t>
  </si>
  <si>
    <t>80% OL + 10% PLG + 8.5% LCP + 1.5% HCP</t>
  </si>
  <si>
    <t>Olivine Plagioclase  Hypersthene Augite</t>
  </si>
  <si>
    <t>AG-TJM-017</t>
  </si>
  <si>
    <t>10% OL + 90% LCP</t>
  </si>
  <si>
    <t>AG-TJM-018</t>
  </si>
  <si>
    <t>30% OL + 70% LCP</t>
  </si>
  <si>
    <t>AG-TJM-019</t>
  </si>
  <si>
    <t>50% OL + 50% LCP</t>
  </si>
  <si>
    <t>AG-TJM-020</t>
  </si>
  <si>
    <t>90% OL + 10% LCP</t>
  </si>
  <si>
    <t>AG-TJM-021</t>
  </si>
  <si>
    <t>20% OL + 68% LCP + 12% HCP</t>
  </si>
  <si>
    <t>AG-TJM-022</t>
  </si>
  <si>
    <t>30% OL + 59.5% LCP + 10.5% HCP</t>
  </si>
  <si>
    <t>AG-TJM-023</t>
  </si>
  <si>
    <t>50% OL + 42.5% LCP + 7.5% HCP</t>
  </si>
  <si>
    <t>AG-TJM-024</t>
  </si>
  <si>
    <t>60% OL + 34% LCP + 6% HCP</t>
  </si>
  <si>
    <t>AG-TJM-025</t>
  </si>
  <si>
    <t>70% OL + 25.5% LCP + 4.5% HCP</t>
  </si>
  <si>
    <t>AG-TJM-026</t>
  </si>
  <si>
    <t>80% OL + 17% LCP + 3% HCP</t>
  </si>
  <si>
    <t>AG-TJM-027</t>
  </si>
  <si>
    <t>10% PLG + 45% LCP + 45% HCP</t>
  </si>
  <si>
    <t>Plagioclase  Hypersthene Augite</t>
  </si>
  <si>
    <t>AG-TJM-028</t>
  </si>
  <si>
    <t>20% PLG + 40% LCP + 40% HCP</t>
  </si>
  <si>
    <t>AG-TJM-029</t>
  </si>
  <si>
    <t>30% PLG + 35% LCP + 35% HCP</t>
  </si>
  <si>
    <t>AG-TJM-032</t>
  </si>
  <si>
    <t>90% OL + 5% PLG + 4.25% LCP + 0.75% HCP</t>
  </si>
  <si>
    <t>AG-TJM-033</t>
  </si>
  <si>
    <t>70% OL + 15% PLG + 12.75% LCP + 2.25% HCP</t>
  </si>
  <si>
    <t>AG-TJM-034</t>
  </si>
  <si>
    <t>60% OL + 20% PLG + 17% LCP + 3% HCP</t>
  </si>
  <si>
    <t>AG-TJM-035</t>
  </si>
  <si>
    <t>20% OL + 40% LCP + 40% HCP</t>
  </si>
  <si>
    <t>AG-TJM-036</t>
  </si>
  <si>
    <t>30% OL + 35% LCP + 35% HCP</t>
  </si>
  <si>
    <t>AG-TJM-037</t>
  </si>
  <si>
    <t>40% OL + 30% LCP + 30% HCP</t>
  </si>
  <si>
    <t>AG-TJM-038</t>
  </si>
  <si>
    <t>50% OL + 25% LCP + 25% HCP</t>
  </si>
  <si>
    <t>AG-TJM-039</t>
  </si>
  <si>
    <t>60% OL + 20% LCP + 20% HCP</t>
  </si>
  <si>
    <t>AG-TJM-040</t>
  </si>
  <si>
    <t>70% OL + 15% LCP + 15% HCP</t>
  </si>
  <si>
    <t>AG-TJM-041</t>
  </si>
  <si>
    <t>80% OL + 10% LCP + 10% HCP</t>
  </si>
  <si>
    <t>AG-TJM-042</t>
  </si>
  <si>
    <t>10% PLG + 76.5% LCP + 13.5% HCP</t>
  </si>
  <si>
    <t>AG-TJM-043</t>
  </si>
  <si>
    <t>20% PLG + 68% LCP + 12% HCP</t>
  </si>
  <si>
    <t>AG-TJM-044</t>
  </si>
  <si>
    <t>30% PLG + 59.5% LCP + 10.5% HCP</t>
  </si>
  <si>
    <t>AG-TJM-047</t>
  </si>
  <si>
    <t>90% OL + 5% PLG + 2.5% LCP + 2.5% HCP</t>
  </si>
  <si>
    <t>AG-TJM-048</t>
  </si>
  <si>
    <t>80% OL + 10% PLG + 5% LCP + 5% HCP</t>
  </si>
  <si>
    <t>AG-TJM-049</t>
  </si>
  <si>
    <t>70% OL + 15% PLG + 7.5% LCP + 7.5% HCP</t>
  </si>
  <si>
    <t>AG-TJM-050</t>
  </si>
  <si>
    <t>60% OL + 20% PLG + 10% LCP + 10% HCP</t>
  </si>
  <si>
    <t>JB-JLB-A15</t>
  </si>
  <si>
    <t>50 wt% Forsterite (JB945D) + 50 wt% Enstatite (JBA14A)</t>
  </si>
  <si>
    <t>JLB</t>
  </si>
  <si>
    <t>Mixture</t>
  </si>
  <si>
    <t>Olivine Forsterite Pyroxene Orthopyroxene Enstatite</t>
  </si>
  <si>
    <t>Particulate Ground Dry-Sieved</t>
  </si>
  <si>
    <t>San Carlos, Arizona and Bergen, Norway</t>
  </si>
  <si>
    <t>Bishop Lab, SETI Institute</t>
  </si>
  <si>
    <t>Spectroscopy of synthetic ureilite mixtures (MDAP, MFRP, Active Missions, Prop Prep)</t>
  </si>
  <si>
    <t>JB-JLB-A16</t>
  </si>
  <si>
    <t>25 wt% Forsterite (JB945D) + 75 wt% Enstatite (JBA14A)</t>
  </si>
  <si>
    <t>JB-JLB-A17</t>
  </si>
  <si>
    <t>75 wt% Forsterite (JB945D) + 25 wt% Enstatite (JBA14A)</t>
  </si>
  <si>
    <t>JB-JLB-A18</t>
  </si>
  <si>
    <t>47.5 wt% Forsterite (JB945D) + 47.5 wt% Enstatite (JBA14A) + 5 wt% graphite (JBA05)</t>
  </si>
  <si>
    <t>JB-JLB-A19</t>
  </si>
  <si>
    <t>48 wt% Forsterite (JB945D) + 48 wt% Enstatite (JBA14A) + 3-4 wt% graphite (JBA05)</t>
  </si>
  <si>
    <t>MX-JPE-019-A</t>
  </si>
  <si>
    <t>50% San Carlos olivine + 50% Tanzania enstatite mixture &lt;125 um</t>
  </si>
  <si>
    <t>Olivine Pyroxene Orthopyroxene Enstatite</t>
  </si>
  <si>
    <t>San Carlos, AZ &amp; Tanzania, Africa</t>
  </si>
  <si>
    <t>As a control for terrestrial weathering removal treatment</t>
  </si>
  <si>
    <t>MX-RGM-066</t>
  </si>
  <si>
    <t>25% HCP (PX-18) + 75% LCP (PX-17) &lt;25 um</t>
  </si>
  <si>
    <t>RGM</t>
  </si>
  <si>
    <t>Synthetic</t>
  </si>
  <si>
    <t>Silicate (Ino)</t>
  </si>
  <si>
    <t>Pyroxene Mixture</t>
  </si>
  <si>
    <t>Particulate Ground Sieved</t>
  </si>
  <si>
    <t>Synthesized by Donald Lindsley at SUNY Stonybrook</t>
  </si>
  <si>
    <t>Texas Christian University</t>
  </si>
  <si>
    <t>PX-17 and PX-18</t>
  </si>
  <si>
    <t>MX-RGM-067</t>
  </si>
  <si>
    <t>50% HCP (PX-18) + 50% LCP (PX-17) &lt;25 um</t>
  </si>
  <si>
    <t>MX-RGM-068</t>
  </si>
  <si>
    <t>75% HCP (PX-18) + 25% LCP (PX-17) &lt;25 um</t>
  </si>
  <si>
    <t>XP-CMP-001</t>
  </si>
  <si>
    <t>Mixture 50% PE-32, 50% PP-23  Origin PE-30,PP-21</t>
  </si>
  <si>
    <t>Binary Pyroxene Clino Diopside Enstatite</t>
  </si>
  <si>
    <t xml:space="preserve">Relab </t>
  </si>
  <si>
    <t xml:space="preserve">Relab C1-E1 </t>
  </si>
  <si>
    <t>PE-32 = PE-30</t>
  </si>
  <si>
    <t>XP-CMP-002</t>
  </si>
  <si>
    <t xml:space="preserve">60% Opx 40% Cpx   Origin PE-030, PP-021 </t>
  </si>
  <si>
    <t>Binary Pyroxene Clinopyroxene Diopside Enstatite</t>
  </si>
  <si>
    <t>PE-30(Fs=12.62940, En=86.59289, Wo=0.77771); PP-21(Fs=10.46943, En=44.92010, Wo=44.61047)</t>
  </si>
  <si>
    <t>XP-CMP-003</t>
  </si>
  <si>
    <t>40% Opx 60% Cpx   Origin PE-30,PP-21</t>
  </si>
  <si>
    <t>XP-CMP-004</t>
  </si>
  <si>
    <t>75% Opx 25% Cpx   Origin PE-30,PP-21</t>
  </si>
  <si>
    <t>XP-CMP-005</t>
  </si>
  <si>
    <t>25% Opx 75% Cpx   Origin PE-30,PP-21</t>
  </si>
  <si>
    <t>XP-CMP-006</t>
  </si>
  <si>
    <t>85% Opx 15% Cpx   Origin PE-30,PP-21</t>
  </si>
  <si>
    <t>XP-CMP-007</t>
  </si>
  <si>
    <t xml:space="preserve">15% Opx 85% Cpx   </t>
  </si>
  <si>
    <t>Likely the mixture of PE-30 and PP-21</t>
  </si>
  <si>
    <t>XP-CMP-010</t>
  </si>
  <si>
    <t>50% Opx 50% Cpx   Origin PE-30,PP-21</t>
  </si>
  <si>
    <t>XP-CMP-011</t>
  </si>
  <si>
    <t>60% Opx 40% Cpx   Origin PE-30,PP-21</t>
  </si>
  <si>
    <t>XP-CMP-012</t>
  </si>
  <si>
    <t xml:space="preserve">Relab C1-E2 </t>
  </si>
  <si>
    <t>XP-CMP-013</t>
  </si>
  <si>
    <t>XP-CMP-014</t>
  </si>
  <si>
    <t>XP-CMP-015</t>
  </si>
  <si>
    <t>XP-CMP-016</t>
  </si>
  <si>
    <t>15% Opx 85% Cpx   Origin PE-30,PP-21</t>
  </si>
  <si>
    <t>XP-CMP-017</t>
  </si>
  <si>
    <t xml:space="preserve">25 Opx 75 Cpx &lt;45 </t>
  </si>
  <si>
    <t>Binary Pyroxene Ortho Clino Diopside Enstatite</t>
  </si>
  <si>
    <t xml:space="preserve">Relab unknown </t>
  </si>
  <si>
    <t>Mixture of 25% Enstatite (Websterite) 75% Hawaii Diopside   Origin PE-30,PP-21</t>
  </si>
  <si>
    <t>XP-CMP-020</t>
  </si>
  <si>
    <t xml:space="preserve">Opx/Cpx 50/50 </t>
  </si>
  <si>
    <t xml:space="preserve">Origin PE-30,PP-21  </t>
  </si>
  <si>
    <t>XP-CMP-021</t>
  </si>
  <si>
    <t xml:space="preserve">Opx/Cpx 60/40 </t>
  </si>
  <si>
    <t>XP-CMP-022</t>
  </si>
  <si>
    <t xml:space="preserve">Opx/Cpx 40/60 </t>
  </si>
  <si>
    <t xml:space="preserve">Origin PE-30,PP-21  Opx 40% Cpx 60% </t>
  </si>
  <si>
    <t>XP-CMP-023</t>
  </si>
  <si>
    <t xml:space="preserve">Opx/Cpx 75/25 </t>
  </si>
  <si>
    <t>websterite / hawaii cpx mixtures  Origin PE-30,PP-21</t>
  </si>
  <si>
    <t>XP-CMP-024</t>
  </si>
  <si>
    <t xml:space="preserve">Opx/Cpx 25/75 </t>
  </si>
  <si>
    <t>XP-CMP-025</t>
  </si>
  <si>
    <t xml:space="preserve">Opx/Cpx 85/15 </t>
  </si>
  <si>
    <t>XP-CMP-026</t>
  </si>
  <si>
    <t xml:space="preserve">Opx/Cpx 15/85 </t>
  </si>
  <si>
    <t>AG-TJM-010</t>
  </si>
  <si>
    <t>Augite</t>
  </si>
  <si>
    <t>Pyroxene Clinopyroxene Augite</t>
  </si>
  <si>
    <t>Kakanui, New Zealand</t>
  </si>
  <si>
    <t>CP-JJG-001-A</t>
  </si>
  <si>
    <t>C-Px &lt;25 um</t>
  </si>
  <si>
    <t>JJG</t>
  </si>
  <si>
    <t>Czech</t>
  </si>
  <si>
    <t>University of Hawaii</t>
  </si>
  <si>
    <t>CP-JJG-001-B</t>
  </si>
  <si>
    <t>C-Px 25-45 um</t>
  </si>
  <si>
    <t>CP-JJG-001-C</t>
  </si>
  <si>
    <t>C-Px 45-53 um</t>
  </si>
  <si>
    <t>CP-JJG-001-D</t>
  </si>
  <si>
    <t>C-Px 53-63 um</t>
  </si>
  <si>
    <t>CP-JJG-001-E</t>
  </si>
  <si>
    <t>C-Px 63-75 um</t>
  </si>
  <si>
    <t>CP-JJG-001-F</t>
  </si>
  <si>
    <t>C-Px 75-150 um</t>
  </si>
  <si>
    <t>DD-MDD-003</t>
  </si>
  <si>
    <t>Nakhla augite</t>
  </si>
  <si>
    <t>MDD</t>
  </si>
  <si>
    <t>Abu Hommos, Alexandria, Egypt</t>
  </si>
  <si>
    <t>NMNH</t>
  </si>
  <si>
    <t>Separated by hand picking, then ground.</t>
  </si>
  <si>
    <t>http://adsabs.harvard.edu/pdf/1975Metic..10..303B</t>
  </si>
  <si>
    <t>Abstract</t>
  </si>
  <si>
    <t>DD-MDD-005</t>
  </si>
  <si>
    <t>Los Angeles pyroxene</t>
  </si>
  <si>
    <t>Pyroxene</t>
  </si>
  <si>
    <t>Los Angeles, CA</t>
  </si>
  <si>
    <t>DD-MDD-008</t>
  </si>
  <si>
    <t>Zagami pyroxene</t>
  </si>
  <si>
    <t>Katsina Province, Nigeria</t>
  </si>
  <si>
    <t>DD-MDD-057</t>
  </si>
  <si>
    <t>EETA 79001,596 lith-A pyroxene &lt;45 um</t>
  </si>
  <si>
    <t>Elephant Moraine, Antarctica</t>
  </si>
  <si>
    <t>JSC</t>
  </si>
  <si>
    <t>https://onlinelibrary.wiley.com/doi/pdf/10.1111/j.1945-5100.1998.tb01624.x</t>
  </si>
  <si>
    <t>Table 3</t>
  </si>
  <si>
    <t>DD-MDD-058</t>
  </si>
  <si>
    <t>EETA 79001,60 lith-B pyroxene &lt;45 um</t>
  </si>
  <si>
    <t>DL-CMP-009</t>
  </si>
  <si>
    <t>Wo 10 En 45 Fs 45 (EFW5-13: 99.5% cpx, 0.5% glass)</t>
  </si>
  <si>
    <t>Pyroxene Clinopyroxene</t>
  </si>
  <si>
    <t xml:space="preserve">Synthetic </t>
  </si>
  <si>
    <t>Grain size unknown.  PGG.  From Turnock.</t>
  </si>
  <si>
    <t>synthetic</t>
  </si>
  <si>
    <t>DL-CMP-009-A</t>
  </si>
  <si>
    <t>Wo 10 En 45 Fs 45 (EFW5-13) &lt;45 um</t>
  </si>
  <si>
    <t>PGG.  From Turnock.</t>
  </si>
  <si>
    <t>DL-CMP-010</t>
  </si>
  <si>
    <t>Wo 10 En 63 Fs 27 (EFW13-4: 100% cpx, trCrist)</t>
  </si>
  <si>
    <t>DL-CMP-010-A</t>
  </si>
  <si>
    <t>Wo 10 En 63 Fs 27 (EFW13-4, 100% cpx) &lt; 45 um</t>
  </si>
  <si>
    <t>DL-CMP-011</t>
  </si>
  <si>
    <t>Wo 10 En 36 Fs 54 (E35-6: 100% cpx, triCrist)</t>
  </si>
  <si>
    <t>DL-CMP-011-A</t>
  </si>
  <si>
    <t>Wo 10 En 36 Fs 54 (E35-6, 100% cpx) &lt;45 um</t>
  </si>
  <si>
    <t>DL-CMP-013</t>
  </si>
  <si>
    <t>Wo 8 En 46 Fs 46 (E40-1: 99.5% cpx, 0.5% glass, Crist)</t>
  </si>
  <si>
    <t>DL-CMP-013-A</t>
  </si>
  <si>
    <t>Wo 8 En 46 Fs 46 (E40-1: 99.5% cpx, 0.5% glass, Crist) &lt;45 um</t>
  </si>
  <si>
    <t>PGG from Turnock</t>
  </si>
  <si>
    <t>DL-CMP-017-A</t>
  </si>
  <si>
    <t>Wo 20 En 64 Fs 16 (EFW8-3, 99.5% cpx) &lt;45 um</t>
  </si>
  <si>
    <t>DL-CMP-018-A</t>
  </si>
  <si>
    <t>Wo 10 En 72 Fs 18 (EFW9-18, 100% cpx) &lt;45 um</t>
  </si>
  <si>
    <t>DL-CMP-019-A</t>
  </si>
  <si>
    <t>Wo 20 En 56 Fs 24 (EFW12-3, 99.5% cpx) &lt;45 um</t>
  </si>
  <si>
    <t>DL-CMP-039-A</t>
  </si>
  <si>
    <t>Wo 50 En 25 Fs 25 (D5-26, 99% aug) &lt;45 um</t>
  </si>
  <si>
    <t>DL-CMP-046-A</t>
  </si>
  <si>
    <t>Wo 15 En 34 Fs 51 (E43-100, 70% cpx) &lt;45 um</t>
  </si>
  <si>
    <t>Pyroxene Orthopyroxene Clinopyroxene</t>
  </si>
  <si>
    <t>DL-CMP-047-A</t>
  </si>
  <si>
    <t>Wo 25 En 30 Fs 45 (E44-101, 95-98% cpx) &lt;45 um</t>
  </si>
  <si>
    <t>DL-CMP-048-A</t>
  </si>
  <si>
    <t>Wo 10 En 13.5 Fs 76.5 (B) (Wo 10 X=85 B)&lt;45 um</t>
  </si>
  <si>
    <t>Pyroxene Orthopyroxene</t>
  </si>
  <si>
    <t>PGG from Don Lindsley</t>
  </si>
  <si>
    <t>DL-CMP-049-A</t>
  </si>
  <si>
    <t>Wo 10 En 13.5 Fs 76.5 (Wo 10 X=85) &lt;45 um</t>
  </si>
  <si>
    <t>DL-CMP-050-A</t>
  </si>
  <si>
    <t>Wo 15 En 21 Fs 64 (B) &lt;45 um</t>
  </si>
  <si>
    <t>DL-CMP-051-A</t>
  </si>
  <si>
    <t>Wo 20 En 40 Fs 40 (EFW4-9, 100% pyx) &lt;45 um</t>
  </si>
  <si>
    <t>DL-CMP-053-A</t>
  </si>
  <si>
    <t>Wo 10 En 22.5 Fs 67.5 (B) &lt;45 um</t>
  </si>
  <si>
    <t>DL-CMP-054-A</t>
  </si>
  <si>
    <t>Wo 15 En 6.8 Fs 78 (A) (Wo 15 X=92) &lt;45 um</t>
  </si>
  <si>
    <t>DL-CMP-055-A</t>
  </si>
  <si>
    <t>Wo 20 En 20 Fs 60 (A) &lt;45 um</t>
  </si>
  <si>
    <t>DL-CMP-056-A</t>
  </si>
  <si>
    <t>Wo 20 En 20 Fs 60 (B) &lt;45 um</t>
  </si>
  <si>
    <t>DL-CMP-057-A</t>
  </si>
  <si>
    <t>Wo 20 En 32 Fs 48 (EFW34-2, 100% pyx) &lt;45 um</t>
  </si>
  <si>
    <t>DL-CMP-058-A</t>
  </si>
  <si>
    <t>Wo 25 En 30 Fs 45 (D) &lt;45 um</t>
  </si>
  <si>
    <t>DL-CMP-066-A</t>
  </si>
  <si>
    <t>Wo 30 En 17.5 Fs 52.5 (A) &lt;45 um</t>
  </si>
  <si>
    <t>DL-CMP-067-A</t>
  </si>
  <si>
    <t>Wo 30 En 49 Fs 21 (EFW11-4, 95% cpx) &lt;45 um</t>
  </si>
  <si>
    <t>DL-CMP-068-A</t>
  </si>
  <si>
    <t>Wo 30 En 28 Fs 42 (E33-16, 100% cpx) &lt;45 um</t>
  </si>
  <si>
    <t>DL-CMP-069-A</t>
  </si>
  <si>
    <t>Wo 35 En 20 Fs 46 (E46-7, 99.7% cpx) &lt;45 um</t>
  </si>
  <si>
    <t>DL-CMP-070-A</t>
  </si>
  <si>
    <t>Wo 40 En 15 Fs 45 (B) &lt;45 um</t>
  </si>
  <si>
    <t>DL-CMP-071-A</t>
  </si>
  <si>
    <t>Wo 40 En 24 Fs 36 (EFW1-2, 100% cpx) &lt;45 um</t>
  </si>
  <si>
    <t>DL-CMP-073-A</t>
  </si>
  <si>
    <t>Wo 30 En 35 Fs 35 (EFW3-9, 99% cpx) &lt;45 um</t>
  </si>
  <si>
    <t>DL-CMP-074-A</t>
  </si>
  <si>
    <t>Wo 30 En 21 Fs 49 (E27-1, 97% cpx) &lt;45 um</t>
  </si>
  <si>
    <t>DL-CMP-075-A</t>
  </si>
  <si>
    <t>Wo 40 En 48 Fs 12 (E6-7, 100% pyx) &lt;45 um</t>
  </si>
  <si>
    <t>DL-CMP-076-A</t>
  </si>
  <si>
    <t>Wo 40 En 10 Fs 50 (EFW17-2, 95% pyx) &lt;45 um</t>
  </si>
  <si>
    <t>DL-CMP-077-A</t>
  </si>
  <si>
    <t>Wo 40 En 55 Fs 5 (EFW19-3, 100% pyx) &lt;45 um</t>
  </si>
  <si>
    <t>DL-CMP-079-A</t>
  </si>
  <si>
    <t>Wo 40 En 30 Fs 30 (EFW2-7, 100% pyx) &lt;45 um</t>
  </si>
  <si>
    <t>DL-CMP-080-A</t>
  </si>
  <si>
    <t>Wo 40 En 20 Fs 40 (EFW15-10, 100% pyx) &lt;45 um</t>
  </si>
  <si>
    <t>DL-CMP-081-A</t>
  </si>
  <si>
    <t>Wo 35 En 26 Fs 39 (E42-106, 100% cpx) &lt;45 um</t>
  </si>
  <si>
    <t>DL-CMP-082-A</t>
  </si>
  <si>
    <t>Wo 50 Fs 50 (Ca Hd O) &lt;45 um</t>
  </si>
  <si>
    <t xml:space="preserve">Pyroxene Clinopyroxene Hedenbergite </t>
  </si>
  <si>
    <t>PGG from Don Lindsley.  See Klima, R. L. et al. (2008) Meteoritics &amp; Planetary Science 43, 1591-1604.</t>
  </si>
  <si>
    <t>DL-CMP-084-A</t>
  </si>
  <si>
    <t>Wo 35 Fs 65 (C) &lt;45 um</t>
  </si>
  <si>
    <t>DL-CMP-085-A</t>
  </si>
  <si>
    <t>Wo 30 Fs 70 (C) &lt;45 um</t>
  </si>
  <si>
    <t>DL-CMP-086-A</t>
  </si>
  <si>
    <t>Wo 25 Fs 75 (G) &lt;45 um</t>
  </si>
  <si>
    <t>DL-CMP-087-A</t>
  </si>
  <si>
    <t>Wo 20 Fs 80 (I) &lt;45 um</t>
  </si>
  <si>
    <t>DL-CMP-088-A</t>
  </si>
  <si>
    <t>Wo 10 Fs 90 (E,D) &lt;45 um</t>
  </si>
  <si>
    <t>DL-CMP-089-A</t>
  </si>
  <si>
    <t>Wo 7 Fs 93 (C) &lt;45 um</t>
  </si>
  <si>
    <t>JB-JLB-A38</t>
  </si>
  <si>
    <t>Pigeonite from G2 basaltic rock 250-500 um</t>
  </si>
  <si>
    <t>Silicate (Ino)</t>
    <phoneticPr fontId="0" type="noConversion"/>
  </si>
  <si>
    <t>Pyroxene Clinopyroxene Pigeonite</t>
  </si>
  <si>
    <t>Particulate Ground Wet-Sieved</t>
  </si>
  <si>
    <t>Wilhelmsbad, Vogelsberg, Germany</t>
  </si>
  <si>
    <t>Prepared by Jan Harloff, picked by Jerry Marchand</t>
  </si>
  <si>
    <t>https://www.lpi.usra.edu/meetings/lpsc2002/pdf/1168.pdf</t>
  </si>
  <si>
    <t>no info</t>
  </si>
  <si>
    <t>JB-JLB-A38-B</t>
  </si>
  <si>
    <t>Pigeonite from G2 basaltic rock 90-125 um</t>
  </si>
  <si>
    <t>JB-JLB-A39</t>
  </si>
  <si>
    <t>Pigeonite from G3 basaltic rock 250-500 um</t>
  </si>
  <si>
    <t>Brockenheim, Vogelsberg, Germany</t>
  </si>
  <si>
    <t>LR-CMP-168</t>
  </si>
  <si>
    <t>15555,965 reddish-brown pyroxene B</t>
  </si>
  <si>
    <t>Moon-Ret</t>
  </si>
  <si>
    <t>Pyroxene Clinopyroxene Augite Mg-Poor</t>
  </si>
  <si>
    <t>Apollo 15 site, Moon</t>
  </si>
  <si>
    <t xml:space="preserve">JSC PGI Brown </t>
  </si>
  <si>
    <t>Mineral separate from Apollo 15 basalt (LRMCC)</t>
  </si>
  <si>
    <t>LR-CMP-170</t>
  </si>
  <si>
    <t>15555,965 light-brown pyroxene B</t>
  </si>
  <si>
    <t>Pyroxene Clinopyroxene Augite Mg-Rich Subcalcic</t>
  </si>
  <si>
    <t>LR-CMP-172</t>
  </si>
  <si>
    <t>15058,276 brown pyroxene</t>
  </si>
  <si>
    <t xml:space="preserve">Pyroxene Clinopyroxene Augite </t>
  </si>
  <si>
    <t>LR-CMP-173</t>
  </si>
  <si>
    <t>15058,276 green pyroxene</t>
  </si>
  <si>
    <t>Pyroxene Orthopyroxene/Pigeonite</t>
  </si>
  <si>
    <t>LR-CMP-175</t>
  </si>
  <si>
    <t>70017,535 deep-brown pyroxene B</t>
  </si>
  <si>
    <t>Apollo 17 site, Moon</t>
  </si>
  <si>
    <t>Mineral separate from Apollo 17 basalt (LRMCC)</t>
  </si>
  <si>
    <t>LR-CMP-176</t>
  </si>
  <si>
    <t>70017,535 light-brown pyroxene B</t>
  </si>
  <si>
    <t>LR-CMP-179</t>
  </si>
  <si>
    <t>70035,188 deep-brown pyroxene B</t>
  </si>
  <si>
    <t>LR-CMP-180</t>
  </si>
  <si>
    <t>70035,188 light-brown pyroxene B</t>
  </si>
  <si>
    <t>LR-CMP-208</t>
  </si>
  <si>
    <t>15058,276 brown pyroxene D &lt;45 um</t>
  </si>
  <si>
    <t>LR-CMP-209</t>
  </si>
  <si>
    <t>15058,276 green pyroxene D &lt;45 um</t>
  </si>
  <si>
    <t>LR-CMP-211</t>
  </si>
  <si>
    <t>15555,965 reddish-brown pyroxene D &lt;45 um</t>
  </si>
  <si>
    <t>LR-CMP-213</t>
  </si>
  <si>
    <t>15555,965 light-brown pyroxene D &lt;45 um</t>
  </si>
  <si>
    <t>LR-CMP-215</t>
  </si>
  <si>
    <t>70017,535 deep-brown pyroxene D &lt;45 um</t>
  </si>
  <si>
    <t>LR-CMP-216</t>
  </si>
  <si>
    <t>70017,535 light-brown pyroxene D &lt;45 um</t>
  </si>
  <si>
    <t>LR-CMP-219</t>
  </si>
  <si>
    <t>70035,188 dark-brown pyroxene D &lt;45 um</t>
  </si>
  <si>
    <t>LR-CMP-220</t>
  </si>
  <si>
    <t>70035,188 light-brown pyroxene D &lt;45 um</t>
  </si>
  <si>
    <t>MT-CMP-064</t>
  </si>
  <si>
    <t>Y-980318 Ca-Px</t>
  </si>
  <si>
    <t>Pyroxene Ca-rich</t>
  </si>
  <si>
    <t xml:space="preserve">Yamato Mtns, Antarctica </t>
  </si>
  <si>
    <t>21 mg, Fs 18-19, Wo 45-46</t>
  </si>
  <si>
    <t>in text</t>
  </si>
  <si>
    <t>PD-CMP-008</t>
  </si>
  <si>
    <t>Diopside</t>
  </si>
  <si>
    <t xml:space="preserve">Bulk Particulate </t>
  </si>
  <si>
    <t xml:space="preserve">India (Wards) </t>
  </si>
  <si>
    <t>Probably the same as PD-CMP-011</t>
  </si>
  <si>
    <t>PD-JFM-009</t>
  </si>
  <si>
    <t xml:space="preserve">Hydrabad diopside </t>
  </si>
  <si>
    <t>JFM</t>
  </si>
  <si>
    <t xml:space="preserve">Pyroxene Clinopyroxene Diopside </t>
  </si>
  <si>
    <t xml:space="preserve">Hydrabad, India </t>
  </si>
  <si>
    <t xml:space="preserve">Ward's collection.  </t>
  </si>
  <si>
    <t>https://academic.oup.com/petrology/article-abstract/61/9/egaa087/5897419?redirectedFrom=fulltext</t>
  </si>
  <si>
    <t xml:space="preserve">are mostly diopside (Wo34·9–49·4En44·7–56·8Fs2·4–9·6) </t>
  </si>
  <si>
    <t>PP-CMP-020</t>
  </si>
  <si>
    <t>Hawaii CPX</t>
  </si>
  <si>
    <t>Hawaii</t>
  </si>
  <si>
    <t>Depleted</t>
  </si>
  <si>
    <t xml:space="preserve">High calcium pyroxene from 1801 volcanic bomb   Diopside: Wo 46% En 46% Fs 9% </t>
  </si>
  <si>
    <t>PP-CMP-021</t>
  </si>
  <si>
    <t>CPX 45</t>
  </si>
  <si>
    <t xml:space="preserve">Silicate (Ino) </t>
  </si>
  <si>
    <t xml:space="preserve">Mauna Kea, Hawaii </t>
  </si>
  <si>
    <t xml:space="preserve">Set of separates from hawaii volcanic bomb Cpx  Diopside: Wo 46% En 46% Fs 9% </t>
  </si>
  <si>
    <t>PP-CMP-022</t>
  </si>
  <si>
    <t>Cpx 75</t>
  </si>
  <si>
    <t xml:space="preserve">Diopside: Wo 46% En 46% Fs 9%   </t>
  </si>
  <si>
    <t>PP-CMP-023</t>
  </si>
  <si>
    <t xml:space="preserve">Cpx 125 </t>
  </si>
  <si>
    <t>PP-CMP-024</t>
  </si>
  <si>
    <t>Cpx 25</t>
  </si>
  <si>
    <t xml:space="preserve">Sample eventually resieved back into PP-21  Diopside: Wo 46% En 46% Fs 9% </t>
  </si>
  <si>
    <t>PP-CMP-025</t>
  </si>
  <si>
    <t>Cpx 63</t>
  </si>
  <si>
    <t>PP-CMP-026</t>
  </si>
  <si>
    <t>Cpx 125B</t>
  </si>
  <si>
    <t>PP-CMP-027-A</t>
  </si>
  <si>
    <t>Cpx &lt;25 um</t>
  </si>
  <si>
    <t xml:space="preserve">Hi Ca pyroxene from 1801 volcanic bomb for "soil" mixture experiment  Diopside: Wo 46%En 46%Fs 9% </t>
  </si>
  <si>
    <t>PP-CMP-027-B</t>
  </si>
  <si>
    <t>Cpx 25-75 um</t>
  </si>
  <si>
    <t xml:space="preserve">High calcium pyroxene from 1801 volcanic bomb   Diopside: Wo 46%En 46%Fs 9% </t>
  </si>
  <si>
    <t>PP-CMP-027-C</t>
  </si>
  <si>
    <t xml:space="preserve">Cpx 75-250 um </t>
  </si>
  <si>
    <t>PP-CMP-027-D</t>
  </si>
  <si>
    <t>Cpx 75-125 um</t>
  </si>
  <si>
    <t>PP-CMP-027-E</t>
  </si>
  <si>
    <t>Cpx fine soil</t>
  </si>
  <si>
    <t>Same as PP-CMP-027</t>
  </si>
  <si>
    <t>PP-CMP-027-F</t>
  </si>
  <si>
    <t>Cpx medium soil</t>
  </si>
  <si>
    <t>PP-CMP-027-G</t>
  </si>
  <si>
    <t>Cpx coarse soil</t>
  </si>
  <si>
    <t>PP-EAC-001</t>
  </si>
  <si>
    <t>PYX005</t>
  </si>
  <si>
    <t>EAC</t>
  </si>
  <si>
    <t xml:space="preserve">Pyroxene Clinopyroxene Endiopside </t>
  </si>
  <si>
    <t xml:space="preserve">Alberta, Canada </t>
  </si>
  <si>
    <t xml:space="preserve">Locality unknown, probably Ontario  </t>
  </si>
  <si>
    <t>PP-EAC-009</t>
  </si>
  <si>
    <t>PYX017</t>
  </si>
  <si>
    <t xml:space="preserve">Tillamook Co., OR </t>
  </si>
  <si>
    <t xml:space="preserve">Purchased from Minerals Unlimited   </t>
  </si>
  <si>
    <t>PP-EAC-042</t>
  </si>
  <si>
    <t>PYX112</t>
  </si>
  <si>
    <t>Pyroxene Pigeonite (Magnesian)</t>
  </si>
  <si>
    <t xml:space="preserve">unknown; probably Ontario </t>
  </si>
  <si>
    <t xml:space="preserve">a single crystalline sample with no weathering  </t>
  </si>
  <si>
    <t>PP-EAC-046</t>
  </si>
  <si>
    <t>PYX015</t>
  </si>
  <si>
    <t xml:space="preserve">Pyroxene Endiopside </t>
  </si>
  <si>
    <t>San Carlos Co., AZ</t>
  </si>
  <si>
    <t xml:space="preserve">From fine-grained volc xenolith. Also contains basalts frags,   spinel(?) &amp; olivine(OLV013). Nearly pure - grains easy to separate. </t>
  </si>
  <si>
    <t>PP-EAC-048</t>
  </si>
  <si>
    <t>PYX103</t>
  </si>
  <si>
    <t xml:space="preserve">unknown </t>
  </si>
  <si>
    <t xml:space="preserve">intimately mixed with a white phase (plagioclase?)  </t>
  </si>
  <si>
    <t>PP-EAC-049</t>
  </si>
  <si>
    <t>PYX114</t>
  </si>
  <si>
    <t xml:space="preserve">Skaergaard Intrusion, Greenland </t>
  </si>
  <si>
    <t>Univ. of Hawaii collection #10-21-6   Heterogeneous with PLG116, OLV022.</t>
  </si>
  <si>
    <t>PP-EAC-050</t>
  </si>
  <si>
    <t>PYX115</t>
  </si>
  <si>
    <t xml:space="preserve">fine-grained, intimately intergrown sample  </t>
  </si>
  <si>
    <t>PP-EAC-054</t>
  </si>
  <si>
    <t>PYX107</t>
  </si>
  <si>
    <t xml:space="preserve">mixture of PYX107 with plagioclase (PLG114)   </t>
  </si>
  <si>
    <t>PP-EAC-095</t>
  </si>
  <si>
    <t>PYX167</t>
  </si>
  <si>
    <t xml:space="preserve">Pyroxene Augite </t>
  </si>
  <si>
    <t xml:space="preserve">Unknown </t>
  </si>
  <si>
    <t xml:space="preserve">Univ. of Winnipeg </t>
  </si>
  <si>
    <t xml:space="preserve">Pyroxene sample from gabbro   </t>
  </si>
  <si>
    <t>PX-DWS-012</t>
  </si>
  <si>
    <t>Pigeonite (NMNH) 105869 (maybe impure)</t>
  </si>
  <si>
    <t>DWS</t>
  </si>
  <si>
    <t>Hakone Volcano, Honshu, Japan</t>
  </si>
  <si>
    <t>University of Arkansas</t>
  </si>
  <si>
    <t>Source asteroids for unequilibrated ordinary chondrites (UOC) (PGG, Cosmochemistry, Student)</t>
  </si>
  <si>
    <t>PX-DWS-012-B</t>
  </si>
  <si>
    <t>Pigeonite (NMNH 105869) (maybe impure) washed with HCl and dried at 120C</t>
  </si>
  <si>
    <t>PX-EAC-009</t>
  </si>
  <si>
    <t>PYX185</t>
  </si>
  <si>
    <t>Lac Onatchiway, Chicoutimi Co., Quebec, Canada</t>
  </si>
  <si>
    <t>Univ. of Winnipeg</t>
  </si>
  <si>
    <t>https://citeseerx.ist.psu.edu/viewdoc/download?doi=10.1.1.581.1908&amp;rep=rep1&amp;type=pdf</t>
  </si>
  <si>
    <t>Sample from table 1, microprobe analysis from Table 2</t>
  </si>
  <si>
    <t>PX-RGM-018</t>
  </si>
  <si>
    <t>Synthetic eucrite HCP (En 28.4 Fs 33.0 Wo 37.6) &lt;25 um</t>
  </si>
  <si>
    <t>Pyroxene Clinopyroxene High-Ca</t>
  </si>
  <si>
    <t>in name</t>
  </si>
  <si>
    <t>SB-RGB-001</t>
  </si>
  <si>
    <t xml:space="preserve">Pigeonite 1 </t>
  </si>
  <si>
    <t>RGB</t>
  </si>
  <si>
    <t xml:space="preserve">Pigeonite </t>
  </si>
  <si>
    <t xml:space="preserve">MIT </t>
  </si>
  <si>
    <t xml:space="preserve">Pigeonite standard  </t>
  </si>
  <si>
    <t>AG-TJM-009</t>
  </si>
  <si>
    <t>Hypersthene</t>
  </si>
  <si>
    <t>Pyroxene Orthopyroxene Hypersthene</t>
  </si>
  <si>
    <t>Johnstown Meteorite</t>
  </si>
  <si>
    <t>DD-MDD-004</t>
  </si>
  <si>
    <t>ALH 84001 orthopyroxene</t>
  </si>
  <si>
    <t>https://www.lpi.usra.edu/meteor/metbull.php?code=604</t>
  </si>
  <si>
    <t>The meteorite consists of orthopyroxene (En70 Fs27 Wo3)</t>
  </si>
  <si>
    <t>DL-CMP-002</t>
  </si>
  <si>
    <t>En 80 Fs 20 (E)</t>
  </si>
  <si>
    <t>Grain size unknown.  PGG.  From Don Lindsley.  See Klima, R. L. et al. (2007) Meteoritics &amp; Planetary Science 42, 235-253.</t>
  </si>
  <si>
    <t>DL-CMP-002-A</t>
  </si>
  <si>
    <t>En 80 Fs 20 (E) &lt;45 um</t>
  </si>
  <si>
    <t>PGG from Don Lindsley.  See Klima, R. L. et al. (2007) Meteoritics &amp; Planetary Science 42, 235-253.</t>
  </si>
  <si>
    <t>DL-CMP-003</t>
  </si>
  <si>
    <t>En 75 Fs 25 (F)</t>
  </si>
  <si>
    <t>DL-CMP-003-A</t>
  </si>
  <si>
    <t>En 75 Fs 25 (F) &lt;45 um</t>
  </si>
  <si>
    <t>DL-CMP-004</t>
  </si>
  <si>
    <t>En 50 Fs 50</t>
  </si>
  <si>
    <t>Grain size unknown.  PGG.  From Don Lindsley.</t>
  </si>
  <si>
    <t>DL-CMP-004-A</t>
  </si>
  <si>
    <t>En 50 Fs 50 &lt;45 um</t>
  </si>
  <si>
    <t>DL-CMP-005</t>
  </si>
  <si>
    <t>En 40 Fs 60 (97+% Cpx)</t>
  </si>
  <si>
    <t>DL-CMP-005-A</t>
  </si>
  <si>
    <t>En 40 Fs 60 (97+% Cpx) &lt;45 um</t>
  </si>
  <si>
    <t>DL-CMP-006</t>
  </si>
  <si>
    <t>En 25 Fs 75</t>
  </si>
  <si>
    <t>DL-CMP-006-A</t>
  </si>
  <si>
    <t>En 25 Fs 75 &lt;45 um</t>
  </si>
  <si>
    <t>DL-CMP-008</t>
  </si>
  <si>
    <t>Wo 5 En 38 Fs 57 (E36-103: 100% pig)</t>
  </si>
  <si>
    <t>DL-CMP-008-A</t>
  </si>
  <si>
    <t>Wo 5 En 38 Fs 57 (E36-103, 100% opx) &lt; 45 um</t>
  </si>
  <si>
    <t>DL-CMP-012</t>
  </si>
  <si>
    <t>Wo 5 En 47.5 Fs 47.5 (E14-11)</t>
  </si>
  <si>
    <t>DL-CMP-012-A</t>
  </si>
  <si>
    <t>Wo 5 En 47.5 Fs 47.5 (E14-11) &lt;45 um</t>
  </si>
  <si>
    <t>DL-CMP-014</t>
  </si>
  <si>
    <t>Wo 2.5 En 39 Fs 58.5 (E45-100)</t>
  </si>
  <si>
    <t>DL-CMP-014-A</t>
  </si>
  <si>
    <t>Wo 2.5 En 39 Fs 58.5 (E45-100, 95% hyp, 2-5% cpx) &lt;45 um</t>
  </si>
  <si>
    <t>DL-CMP-015</t>
  </si>
  <si>
    <t>Wo 5 En 66.5 Fs 28.5 (EFW29-5)</t>
  </si>
  <si>
    <t>DL-CMP-015-A</t>
  </si>
  <si>
    <t>Wo 5 En 66.5 Fs 28.5 (EFW29-5) &lt;45 um</t>
  </si>
  <si>
    <t>DL-CMP-016</t>
  </si>
  <si>
    <t>Wo 5 En 76 Fs 19 (EFW21-101: 98% Px (Opx+Cpx), 2% glass+Crist)</t>
  </si>
  <si>
    <t>Pyroxene Clinopyroxene Orthopyroxene</t>
  </si>
  <si>
    <t>DL-CMP-016-A</t>
  </si>
  <si>
    <t>Wo 5 En 76 Fs 19 (EFW21-101) &lt;45 um</t>
  </si>
  <si>
    <t>DL-CMP-020-A</t>
  </si>
  <si>
    <t>En 17 Fs 83 (A) &lt;45 um</t>
  </si>
  <si>
    <t>DL-CMP-021-A</t>
  </si>
  <si>
    <t>En 8 Fs 92 (A) &lt;45 um</t>
  </si>
  <si>
    <t>DL-CMP-022-A</t>
  </si>
  <si>
    <t>En 75 Fs 25 (A) &lt;45 um</t>
  </si>
  <si>
    <t>DL-CMP-023-A</t>
  </si>
  <si>
    <t>En 30 Fs 70 (A) &lt;45 um</t>
  </si>
  <si>
    <t>DL-CMP-024-A</t>
  </si>
  <si>
    <t>En 17 Fs 83 (C) &lt;45 um</t>
  </si>
  <si>
    <t>DL-CMP-025-A</t>
  </si>
  <si>
    <t>En 35 Fs 65 (A) &lt;45 um</t>
  </si>
  <si>
    <t>DL-CMP-026-A</t>
  </si>
  <si>
    <t>En 70 Fs 30 (B) &lt;45 um</t>
  </si>
  <si>
    <t>DL-CMP-027-A</t>
  </si>
  <si>
    <t>En 80 Fs 20 (C) &lt;45 um</t>
  </si>
  <si>
    <t>DL-CMP-028-A</t>
  </si>
  <si>
    <t>En 25 Fs 75 (C) &lt;45 um</t>
  </si>
  <si>
    <t>DL-CMP-029-A</t>
  </si>
  <si>
    <t>En 15 Fs 85 (B) (Minor olivine) &lt;45 um</t>
  </si>
  <si>
    <t>DL-CMP-031-A</t>
  </si>
  <si>
    <t>Fs 50 (F5-100)</t>
  </si>
  <si>
    <t>DL-CMP-034-A</t>
  </si>
  <si>
    <t>En 50 Fs 50 (Wo0 x=50 B) &lt;45 um</t>
  </si>
  <si>
    <t>DL-CMP-045-A</t>
  </si>
  <si>
    <t>Wo 4 En 48 Fs 48 (E41-105) &lt;45 um</t>
  </si>
  <si>
    <t>DL-CMP-061-A</t>
  </si>
  <si>
    <t>Fs 100 PP1 &lt;45 um</t>
  </si>
  <si>
    <t>Pyroxene Orthopyroxene Ferrosilite</t>
  </si>
  <si>
    <t>DL-CMP-062-A</t>
  </si>
  <si>
    <t>Fs 100 PP2 &lt;45 um</t>
  </si>
  <si>
    <t>DL-CMP-063-A</t>
  </si>
  <si>
    <t>Fs 100 PP3 &lt;45 um</t>
  </si>
  <si>
    <t>DL-CMP-065-A</t>
  </si>
  <si>
    <t>En 90 Fs 10 (G) &lt;45 um</t>
  </si>
  <si>
    <t>DL-CMP-090-A</t>
  </si>
  <si>
    <t>Wo 5 Fs 95 (D) &lt;45 um</t>
  </si>
  <si>
    <t>DL-CMP-091-A</t>
  </si>
  <si>
    <t>Wo 2 Fs 98 (A) &lt;45 um</t>
  </si>
  <si>
    <t>JA-CMP-001</t>
  </si>
  <si>
    <t>JA #2368 HYP</t>
  </si>
  <si>
    <t>West Greenland</t>
  </si>
  <si>
    <t>J Adams Collection</t>
  </si>
  <si>
    <t>https://www.sciencedirect.com/science/article/pii/S2214242815000297</t>
  </si>
  <si>
    <t>The pyroxene in the Fiskefjord peridotites are nearly pureenstatite, with a median component of En88.0,Fs11.5, and Wo0.55</t>
  </si>
  <si>
    <t>JA-CMP-007</t>
  </si>
  <si>
    <t xml:space="preserve">JA #79558 HYP </t>
  </si>
  <si>
    <t>Wilmington, DE</t>
  </si>
  <si>
    <t>https://pubs.geoscienceworld.org/gsa/gsabulletin/article-pdf/70/11/1425/3431838/i0016-7606-70-11-1425.pdf</t>
  </si>
  <si>
    <t>Table 1</t>
  </si>
  <si>
    <t>KR-KMR-009-A</t>
  </si>
  <si>
    <t>Tanzania enstatite 20-32 um</t>
  </si>
  <si>
    <t>KMR</t>
  </si>
  <si>
    <t>Enstatite Orthopyroxene Pyroxene</t>
  </si>
  <si>
    <t>Tanzania</t>
  </si>
  <si>
    <t>Brown Planetary Geology</t>
  </si>
  <si>
    <t>Lunar mixing</t>
  </si>
  <si>
    <t>https://www.sciencedirect.com/science/article/abs/pii/0079194675900373</t>
  </si>
  <si>
    <t>lowCa,AI,Cr,Ti,Mn enstatite(Wo1En93Fs7)</t>
  </si>
  <si>
    <t>KR-KMR-009-B</t>
  </si>
  <si>
    <t>Tanzania enstatite 32-45 um</t>
  </si>
  <si>
    <t>KR-KMR-009-C</t>
  </si>
  <si>
    <t>Tanzania enstatite 45-63 um</t>
  </si>
  <si>
    <t>KR-KMR-009-D</t>
  </si>
  <si>
    <t>Tanzania enstatite 63-75 um</t>
  </si>
  <si>
    <t>KR-KMR-009-E</t>
  </si>
  <si>
    <t>Tanzania enstatite 75-125 um</t>
  </si>
  <si>
    <t>MT-CMP-063</t>
  </si>
  <si>
    <t>Y-980318 Fe-Px</t>
  </si>
  <si>
    <t>Pyroxene Fe-rich</t>
  </si>
  <si>
    <t>24 mg, Fs 48-49 Wo 2</t>
  </si>
  <si>
    <t>MT-CMP-067</t>
  </si>
  <si>
    <t>Y-980433 pyroxene</t>
  </si>
  <si>
    <t>51 mg</t>
  </si>
  <si>
    <t>https://www.lpi.usra.edu/meteor/?code=32788</t>
  </si>
  <si>
    <t>Compositions of low-Ca pyroxene cluster around Wo2Fs47-51</t>
  </si>
  <si>
    <t>PE-CMP-006</t>
  </si>
  <si>
    <t xml:space="preserve">Enstatite </t>
  </si>
  <si>
    <t>See Text</t>
  </si>
  <si>
    <t xml:space="preserve">Webster, NC </t>
  </si>
  <si>
    <t xml:space="preserve">Destroyed </t>
  </si>
  <si>
    <t xml:space="preserve">25% &lt;30 uM25% 30-4525% 45-10825% 150-250  </t>
  </si>
  <si>
    <t>same as PE-CMP-032</t>
  </si>
  <si>
    <t>PE-CMP-022</t>
  </si>
  <si>
    <t xml:space="preserve">Webster, N.C. </t>
  </si>
  <si>
    <t xml:space="preserve">Jim's Enstatite   </t>
  </si>
  <si>
    <t>PE-CMP-023</t>
  </si>
  <si>
    <t xml:space="preserve">Sample used for mini-dish comparisons as well as for polarization tests   </t>
  </si>
  <si>
    <t>PE-CMP-024</t>
  </si>
  <si>
    <t>PE-CMP-030</t>
  </si>
  <si>
    <t>Web 45</t>
  </si>
  <si>
    <t>Series of separates to be used as raw materials for J. Sunshines  Senior thesis Enstatite: Wo 1% En 87% Fs 12%</t>
  </si>
  <si>
    <t>PE-CMP-031</t>
  </si>
  <si>
    <t>Web 75</t>
  </si>
  <si>
    <t xml:space="preserve">Enstatite: Wo 1% En 87% Fs 12%  </t>
  </si>
  <si>
    <t>PE-CMP-032</t>
  </si>
  <si>
    <t xml:space="preserve">Web 125 </t>
  </si>
  <si>
    <t>PE-CMP-034-A</t>
  </si>
  <si>
    <t>Websterite &lt;25 um</t>
  </si>
  <si>
    <t xml:space="preserve">Remaining Websterite resieved May 92 by SFP </t>
  </si>
  <si>
    <t>PE-CMP-034-B</t>
  </si>
  <si>
    <t>Websterite 25-45 um</t>
  </si>
  <si>
    <t>PE-CMP-034-C</t>
  </si>
  <si>
    <t>Websterite 45-75 um</t>
  </si>
  <si>
    <t>PE-CMP-034-D</t>
  </si>
  <si>
    <t>Websterite 75-125 um</t>
  </si>
  <si>
    <t>PE-CMP-034-E</t>
  </si>
  <si>
    <t>Websterite 125-250 um</t>
  </si>
  <si>
    <t>PE-CMP-034-F</t>
  </si>
  <si>
    <t>Websterite 250-500 um</t>
  </si>
  <si>
    <t>PE-CMP-034-H1</t>
  </si>
  <si>
    <t>Opx 25</t>
  </si>
  <si>
    <t xml:space="preserve">Pyroxene Orthopyroxene Enstatite; Webesterite </t>
  </si>
  <si>
    <t xml:space="preserve">Relab C1-C1 </t>
  </si>
  <si>
    <t xml:space="preserve">Enstatite: Wo 1%En 87%Fs 12%  Used in "soil" mixture experiment </t>
  </si>
  <si>
    <t>PE-CMP-034-H2</t>
  </si>
  <si>
    <t>PE-CMP-034-I</t>
  </si>
  <si>
    <t>Opx 75</t>
  </si>
  <si>
    <t>Pyroxene Orthopyroxene Enstatite; Websterite</t>
  </si>
  <si>
    <t>Wesbster, NC</t>
  </si>
  <si>
    <t>PE-CMP-034-J</t>
  </si>
  <si>
    <t xml:space="preserve">Opx 250 </t>
  </si>
  <si>
    <t xml:space="preserve">Enstatite: Wo 1%En 87%Fs 12%  </t>
  </si>
  <si>
    <t>PE-CMP-034-K</t>
  </si>
  <si>
    <t>Fine opx soil</t>
  </si>
  <si>
    <t>PE-CMP-034-L</t>
  </si>
  <si>
    <t>Medium opx soil</t>
  </si>
  <si>
    <t>PE-CMP-034-M</t>
  </si>
  <si>
    <t>Coarse opx soil</t>
  </si>
  <si>
    <t>PE-CMP-040-A</t>
  </si>
  <si>
    <t xml:space="preserve">Ani-jima Bronzite </t>
  </si>
  <si>
    <t xml:space="preserve">Orthopyroxene </t>
  </si>
  <si>
    <t>Ani-jima, Bonin Islands, Japan</t>
  </si>
  <si>
    <t>Tomas found this one</t>
  </si>
  <si>
    <t>PE-CMP-040-B</t>
  </si>
  <si>
    <t>PE-CMP-040-C</t>
  </si>
  <si>
    <t>PE-CMP-040-D</t>
  </si>
  <si>
    <t>PE-CMP-040-E</t>
  </si>
  <si>
    <t>PE-CMP-040-F</t>
  </si>
  <si>
    <t>PE-CMP-041-A1</t>
  </si>
  <si>
    <t>Chichi-jima bronzite &lt;25 um</t>
  </si>
  <si>
    <t xml:space="preserve">Chichi-jima, Bonin Islands, Japan </t>
  </si>
  <si>
    <t>https://link.springer.com/article/10.1007/BF00373580</t>
  </si>
  <si>
    <t>PE-CMP-041-A2</t>
  </si>
  <si>
    <t>PE-CMP-041-B</t>
  </si>
  <si>
    <t>Chichi-jima bronzite 25-45 um</t>
  </si>
  <si>
    <t>PE-CMP-041-C</t>
  </si>
  <si>
    <t>Chichi-jima bronzite 45-75 um</t>
  </si>
  <si>
    <t>PE-TXH-041-CP</t>
  </si>
  <si>
    <t>Chichi-jima bronzite 45-75 um pellet</t>
  </si>
  <si>
    <t>Pressed Pellet</t>
  </si>
  <si>
    <t>PP-EAC-040</t>
  </si>
  <si>
    <t>PYX003</t>
  </si>
  <si>
    <t xml:space="preserve">Pyroxene Bronzite </t>
  </si>
  <si>
    <t xml:space="preserve">Mantyharia, Finland </t>
  </si>
  <si>
    <t>single massive crystalline samp. w/very minor exterior weathering   sample from fresh interior</t>
  </si>
  <si>
    <t>PP-EAC-044</t>
  </si>
  <si>
    <t>PYX117</t>
  </si>
  <si>
    <t xml:space="preserve">unspecified locality in India </t>
  </si>
  <si>
    <t xml:space="preserve">from a single unweathered crystal   </t>
  </si>
  <si>
    <t>PP-EAC-047-B</t>
  </si>
  <si>
    <t>PYX110 45-90 um</t>
  </si>
  <si>
    <t xml:space="preserve">Pyroxene Orthopyroxene Bronzite </t>
  </si>
  <si>
    <t>Locality unknown.Univ. of Alberta Geology 330 lab collection #8/4/4.</t>
  </si>
  <si>
    <t>PP-EAC-052</t>
  </si>
  <si>
    <t>PYX119</t>
  </si>
  <si>
    <t xml:space="preserve">Loch Seaforth, Outer Hebrides, Scotland </t>
  </si>
  <si>
    <t>With OLV103   Purchased from Excalibur Mineral Co.</t>
  </si>
  <si>
    <t>PP-EAC-087</t>
  </si>
  <si>
    <t>PYX042</t>
  </si>
  <si>
    <t>Pyroxene Orthopyroxene Enstatite</t>
  </si>
  <si>
    <t>Bamble, Norway</t>
  </si>
  <si>
    <t xml:space="preserve">Purchased from Ward's   </t>
  </si>
  <si>
    <t>PP-RGB-080</t>
  </si>
  <si>
    <t>Standard OPX</t>
  </si>
  <si>
    <t xml:space="preserve">Barachois, Quebec </t>
  </si>
  <si>
    <t xml:space="preserve">Standard (unheated) orthopyroxene   Contains 18.72 wt% FeO; Fs 14% En 86% </t>
  </si>
  <si>
    <t>PX-JPE-020-A</t>
  </si>
  <si>
    <t>Tanzania enstatite &lt;125 um</t>
  </si>
  <si>
    <t>Tanzania, Africa</t>
  </si>
  <si>
    <t>University of Tennesee</t>
  </si>
  <si>
    <t>PX-RGM-017</t>
  </si>
  <si>
    <t>Synthetic eucrite LCP (En 35.3 Fs 61.4 Wo 3.3) &lt;25 um</t>
  </si>
  <si>
    <t>Pyroxene Low-Ca</t>
  </si>
  <si>
    <t>SB-RGB-051-A</t>
  </si>
  <si>
    <t xml:space="preserve">Bushveldt complex </t>
  </si>
  <si>
    <t>TZHP, Site Occupancy Study, Fe2 (M1) = 0.139, Fe2 (M2) = 0.794</t>
  </si>
  <si>
    <t>SB-RGB-051-B</t>
  </si>
  <si>
    <t>Orthopyroxene #195</t>
  </si>
  <si>
    <t>TZHP, Site Occupancy Study, Fe2 (M1) = 0.201, Fe2 (M2) = 0.760</t>
  </si>
  <si>
    <t>SB-RGB-051-C</t>
  </si>
  <si>
    <t>Orthopyroxene #198</t>
  </si>
  <si>
    <t>TZHP, Site Occupancy Study, Fe2 (M1) = 0.265, Fe2 (M2) = 0.696</t>
  </si>
  <si>
    <t>SB-RGB-051-D</t>
  </si>
  <si>
    <t>Orthopyroxene #199</t>
  </si>
  <si>
    <t xml:space="preserve">Bushveldt Complex </t>
  </si>
  <si>
    <t xml:space="preserve">Disordered Opx, Site Occupancy Study, Fe2 (M1) = 0.273, Fe2 (M2) = 0.694 </t>
  </si>
  <si>
    <t>SB-RGB-051-E</t>
  </si>
  <si>
    <t>Orthopyroxene #200</t>
  </si>
  <si>
    <t xml:space="preserve">Disordered Opx, Site Occupancy Study, Fe2 (M1) = 0.247, Fe2 (M2) = 0.713 </t>
  </si>
  <si>
    <t>SB-RGB-052-A</t>
  </si>
  <si>
    <t>Orthopyroxene #311</t>
  </si>
  <si>
    <t xml:space="preserve">Granulite, W. Australia </t>
  </si>
  <si>
    <t>Site Occup., 500 C, Fe2 (M1) = 0.202, Fe2 (M2) 0.531</t>
  </si>
  <si>
    <t>SB-RGB-052-B</t>
  </si>
  <si>
    <t>Orthopyroxene #323</t>
  </si>
  <si>
    <t>Unheated, Fe2 (M1) = 0.121, Fe2 (M2) = 0.624</t>
  </si>
  <si>
    <t>SB-RGB-053-B</t>
  </si>
  <si>
    <t>Orthopyroxene #326</t>
  </si>
  <si>
    <t>Unheated, Fe2 (M1) = 0.067, Fe2 (M2) = 0.665</t>
  </si>
  <si>
    <t>SB-RGB-054</t>
  </si>
  <si>
    <t xml:space="preserve">Mineral </t>
  </si>
  <si>
    <t>Orthopyroxene Fs85</t>
  </si>
  <si>
    <t>Synthetic Fs85, #E318, Fe 0.85, Fe2+/M1=0.771, Fe2+/M2=0.92   Site Occupancy study. Also run in dimple dish with some dish visible</t>
  </si>
  <si>
    <t>SC-EAC-009</t>
  </si>
  <si>
    <t xml:space="preserve">India </t>
  </si>
  <si>
    <t xml:space="preserve">Low calcium pyroxenewet sieved  Vial B11c </t>
  </si>
  <si>
    <t>SC-EAC-036</t>
  </si>
  <si>
    <t>PYX032</t>
  </si>
  <si>
    <t>Ekersund, Norway</t>
  </si>
  <si>
    <t>Vial L6   wet sieved</t>
  </si>
  <si>
    <t>AG-TJM-008</t>
  </si>
  <si>
    <t>Olivine (Fo90)</t>
  </si>
  <si>
    <t>Silicate (Neso)</t>
  </si>
  <si>
    <t>Olivine</t>
  </si>
  <si>
    <t>San Carlos, Gila Co., AZ</t>
  </si>
  <si>
    <t>CM-CMP-002</t>
  </si>
  <si>
    <t xml:space="preserve">Olivine </t>
  </si>
  <si>
    <t xml:space="preserve">Olivine Forsterite </t>
  </si>
  <si>
    <t>San Carlos, Ariz</t>
  </si>
  <si>
    <t xml:space="preserve">Olivine for Clementine camera calibration   </t>
  </si>
  <si>
    <t>same as PO-EAC-050</t>
  </si>
  <si>
    <t>DD-MDD-037</t>
  </si>
  <si>
    <t>Fo 90</t>
  </si>
  <si>
    <t>See Dyar, M. D. et al. (2009) American Mineralogist, 94, 883-898.</t>
  </si>
  <si>
    <t>DD-MDD-038</t>
  </si>
  <si>
    <t>Fo 80</t>
  </si>
  <si>
    <t>DD-MDD-039</t>
  </si>
  <si>
    <t>Fo 70</t>
  </si>
  <si>
    <t>DD-MDD-040</t>
  </si>
  <si>
    <t>Fo 60</t>
  </si>
  <si>
    <t>DD-MDD-041</t>
  </si>
  <si>
    <t>Fo 50</t>
  </si>
  <si>
    <t>DD-MDD-042</t>
  </si>
  <si>
    <t>Fo 40</t>
  </si>
  <si>
    <t>DD-MDD-043</t>
  </si>
  <si>
    <t>Fo 30</t>
  </si>
  <si>
    <t>DD-MDD-044</t>
  </si>
  <si>
    <t>Fo 20</t>
  </si>
  <si>
    <t>DD-MDD-045</t>
  </si>
  <si>
    <t>Fo 10</t>
  </si>
  <si>
    <t>DD-MDD-052</t>
  </si>
  <si>
    <t>San Carlos olivine</t>
  </si>
  <si>
    <t>Unaltered</t>
  </si>
  <si>
    <t>DD-MDD-087</t>
  </si>
  <si>
    <t>Fa 20 Fo 80 &lt;45 um</t>
  </si>
  <si>
    <t>From Don Lindsley.  See Dyar, M. D. et al. (2009) American Mineralogist, 94, 883-898.</t>
  </si>
  <si>
    <t>DD-MDD-088</t>
  </si>
  <si>
    <t>Fa 25 Fo 75 (B) &lt;45 um</t>
  </si>
  <si>
    <t>DD-MDD-088-P</t>
  </si>
  <si>
    <t>Fa 25 Fo 75 (B) &lt;45 um pellet</t>
  </si>
  <si>
    <t>Particulate Ground Sorted Pellet</t>
  </si>
  <si>
    <t>From Don Lindsley.  Pressed by Tim Glotch.  See Dyar, M. D. et al. (2009) American Mineralogist, 94, 883-898.</t>
  </si>
  <si>
    <t>DD-MDD-089</t>
  </si>
  <si>
    <t>Fa 30 Fo 70 (A) &lt;45 um</t>
  </si>
  <si>
    <t>DD-MDD-089-P</t>
  </si>
  <si>
    <t>Fa 30 Fo 70 (A) &lt;45 um pellet</t>
  </si>
  <si>
    <t>DD-MDD-090</t>
  </si>
  <si>
    <t>Fa 35 Fo 65 (A) &lt;45 um</t>
  </si>
  <si>
    <t>DD-MDD-090-P</t>
  </si>
  <si>
    <t>Fa 35 Fo 65 (A) &lt;45 um pellet</t>
  </si>
  <si>
    <t>DD-MDD-091</t>
  </si>
  <si>
    <t>Fa 40 Fo 60 (B) &lt;45 um</t>
  </si>
  <si>
    <t>DD-MDD-092</t>
  </si>
  <si>
    <t>Fa 45 Fo 55 (A) &lt;45 um</t>
  </si>
  <si>
    <t>DD-MDD-092-P</t>
  </si>
  <si>
    <t>Fa 45 Fo 55 (A) &lt;45 um pellet</t>
  </si>
  <si>
    <t>DD-MDD-093</t>
  </si>
  <si>
    <t>Fa 50 Fo 50 (A) &lt;45 um</t>
  </si>
  <si>
    <t>DD-MDD-093-P</t>
  </si>
  <si>
    <t>Fa 50 Fo 50 (A) &lt;45 um pellet</t>
  </si>
  <si>
    <t>DD-MDD-094</t>
  </si>
  <si>
    <t>Fa 60 Fo 40 &lt;45 um</t>
  </si>
  <si>
    <t>DD-MDD-094-P</t>
  </si>
  <si>
    <t>Fa 60 Fo 40 &lt;45 um pellet</t>
  </si>
  <si>
    <t>DD-MDD-095</t>
  </si>
  <si>
    <t>Fa 70 Fo 30 &lt;45 um</t>
  </si>
  <si>
    <t>DD-MDD-095-P</t>
  </si>
  <si>
    <t>Fa 70 Fo 30 &lt;45 um pellet</t>
  </si>
  <si>
    <t>DD-MDD-096</t>
  </si>
  <si>
    <t>Fa 80 Fo 20 &lt;45 um</t>
  </si>
  <si>
    <t>DD-MDD-096-P</t>
  </si>
  <si>
    <t>Fa 80 Fo 20 &lt;45 um pellet</t>
  </si>
  <si>
    <t>DD-MDD-097</t>
  </si>
  <si>
    <t>Fa 90 Fo 10 &lt;45 um</t>
  </si>
  <si>
    <t>DD-MDD-097-P</t>
  </si>
  <si>
    <t>Fa 90 Fo 10 &lt;45 um pellet</t>
  </si>
  <si>
    <t>DD-MDD-098</t>
  </si>
  <si>
    <t>Fa 100 Fo 0 &lt;45 um</t>
  </si>
  <si>
    <t>Olivine Fayalite</t>
  </si>
  <si>
    <t>DD-MDD-098-P</t>
  </si>
  <si>
    <t>Fa 100 Fo 0 &lt;45 um pellet</t>
  </si>
  <si>
    <t>DD-MDD-115</t>
  </si>
  <si>
    <t>Fa 10.5 Fo 89.5 &lt;45 um (new)</t>
  </si>
  <si>
    <t>From Don Lindsley.</t>
  </si>
  <si>
    <t>DD-MDD-115-P</t>
  </si>
  <si>
    <t>Fa 10.5 Fo 89.5 &lt;45 um (new) pellet</t>
  </si>
  <si>
    <t>DD-MDD-116</t>
  </si>
  <si>
    <t>Fa 30 Fo 70 (A) &lt;45 um (new)</t>
  </si>
  <si>
    <t>DD-MDD-116-P</t>
  </si>
  <si>
    <t>Fa 30 Fo 70 (A) &lt;45 um (new) pellet</t>
  </si>
  <si>
    <t>MS-CMP-004-C</t>
  </si>
  <si>
    <t>Olivine (Fa 10-12) 100-200 um</t>
  </si>
  <si>
    <t xml:space="preserve">Silicate (Neso) </t>
  </si>
  <si>
    <t>Terrestrial Olivine (Fa 10-12)</t>
  </si>
  <si>
    <t>MS-CMP-004-F</t>
  </si>
  <si>
    <t>Olivine (Fa 10-12) 40-100 um</t>
  </si>
  <si>
    <t>MS-CMP-004-X</t>
  </si>
  <si>
    <t>Olivine (Fa 10-12) &lt;40 um</t>
  </si>
  <si>
    <t>MS-CMP-005-C</t>
  </si>
  <si>
    <t>Olivine (Fa 13.5) 100-200 um</t>
  </si>
  <si>
    <t>Karelia ASSR, USSR</t>
  </si>
  <si>
    <t>Marjalahti Pallasite Olivine (Fa 13.5)</t>
  </si>
  <si>
    <t>MS-CMP-005-F</t>
  </si>
  <si>
    <t>Olivine (Fa 13.5) 40-100 um</t>
  </si>
  <si>
    <t>MS-CMP-005-X</t>
  </si>
  <si>
    <t>Olivine (Fa 13.5) &lt;40 um</t>
  </si>
  <si>
    <t>OL-JMS-001</t>
  </si>
  <si>
    <t>OLV002</t>
  </si>
  <si>
    <t>JMS</t>
  </si>
  <si>
    <t>Chrysolite- Cindercone W. of Hale Pohaku, S. flank of Mauna Kea   Self collected volcanic bomb</t>
  </si>
  <si>
    <t>OL-JMS-002</t>
  </si>
  <si>
    <t>OLV005</t>
  </si>
  <si>
    <t xml:space="preserve">Egypt </t>
  </si>
  <si>
    <t xml:space="preserve">Forsterite- St. John's Island, Red Sea, Egypt (Minerals Unlimited)  </t>
  </si>
  <si>
    <t>OL-JMS-004</t>
  </si>
  <si>
    <t>OLV013</t>
  </si>
  <si>
    <t xml:space="preserve">Arizona </t>
  </si>
  <si>
    <t>Forsterite- Navajo Indian Reservation, San Carlos County, AZ  Minerals Unlimited [from volcanic bomb, with PYX015]</t>
  </si>
  <si>
    <t>OL-JMS-008</t>
  </si>
  <si>
    <t>OLV025</t>
  </si>
  <si>
    <t xml:space="preserve">Stillwater Intrusion, Montana </t>
  </si>
  <si>
    <t xml:space="preserve">Chrysolite- U. of Hawaii collection #10-3-6   </t>
  </si>
  <si>
    <t>PF-RGB-033</t>
  </si>
  <si>
    <t>Synthetic Fayalite</t>
  </si>
  <si>
    <t xml:space="preserve">Synthetic fayalite that has had magnetite magnetically separated from it  </t>
  </si>
  <si>
    <t>PH-RGB-001</t>
  </si>
  <si>
    <t xml:space="preserve">Hortonolite </t>
  </si>
  <si>
    <t>Olivine Hortonlite</t>
  </si>
  <si>
    <t>Transvaal, RSA</t>
  </si>
  <si>
    <t>MIT (EAPS Dept.)</t>
  </si>
  <si>
    <t xml:space="preserve">Hortonlite is (Fay 50, For 50)  </t>
  </si>
  <si>
    <t>PH-RGB-015</t>
  </si>
  <si>
    <t xml:space="preserve">Hortonolite &lt;45 </t>
  </si>
  <si>
    <t xml:space="preserve">Olivine Hortonolite Hyalosiderite </t>
  </si>
  <si>
    <t>Lydenburg, Transvaal, South Africa</t>
  </si>
  <si>
    <t xml:space="preserve">Relab C1-I3 </t>
  </si>
  <si>
    <t>https://journals.co.za/doi/pdf/10.10520/AJA10120750_1555</t>
  </si>
  <si>
    <t>PH-RGB-016</t>
  </si>
  <si>
    <t xml:space="preserve">Hortonolite 45-75 </t>
  </si>
  <si>
    <t>Relab C3-J</t>
  </si>
  <si>
    <t>PO-CMP-025</t>
  </si>
  <si>
    <t>Oliv 45-75</t>
  </si>
  <si>
    <t xml:space="preserve">Hawaii olivine ground up for mixing experiments   </t>
  </si>
  <si>
    <t>Sunshine 1990, MGM paper</t>
  </si>
  <si>
    <t>PO-CMP-027</t>
  </si>
  <si>
    <t>Hawaii Olivine</t>
  </si>
  <si>
    <t xml:space="preserve">Relab C1-G1 </t>
  </si>
  <si>
    <t xml:space="preserve">Olivine from Hawaii beaches with no Opx contamination   </t>
  </si>
  <si>
    <t>https://www.researchgate.net/publication/348799548_Unmixing_Mineral_Abundance_and_Mg_With_Radiative_Transfer_Theory_Modeling_and_Applications</t>
  </si>
  <si>
    <t>PO-CMP-030</t>
  </si>
  <si>
    <t>1801 Olivine</t>
  </si>
  <si>
    <t xml:space="preserve">Olivine grains handpicked from 1801 volcanic bomb   FOR 82.4% </t>
  </si>
  <si>
    <t>PO-CMP-031</t>
  </si>
  <si>
    <t>Res slope</t>
  </si>
  <si>
    <t>PO-CMP-032-A</t>
  </si>
  <si>
    <t>GSB olivine &lt;25 um</t>
  </si>
  <si>
    <t>Green olivine beach sand purified by hand for "soil" mixture experiment   A had spinel inclusions,D was noisy,E was &lt;25 sample we finally used</t>
  </si>
  <si>
    <t>https://agupubs.onlinelibrary.wiley.com/doi/full/10.1029/2019JE006011</t>
  </si>
  <si>
    <t>PO-CMP-032-B</t>
  </si>
  <si>
    <t>GSB olivine 25-75 um</t>
  </si>
  <si>
    <t>PO-CMP-032-C</t>
  </si>
  <si>
    <t>GSB olivine 75-250 um</t>
  </si>
  <si>
    <t>PO-CMP-032-E</t>
  </si>
  <si>
    <t>GSB olivine &lt;25 um (purer)</t>
  </si>
  <si>
    <t>Ground from purer portion.</t>
  </si>
  <si>
    <t>PO-CMP-032-H</t>
  </si>
  <si>
    <t>GSB olivine fine soil</t>
  </si>
  <si>
    <t>PO-CMP-032-I</t>
  </si>
  <si>
    <t>GSB olivine medium soil</t>
  </si>
  <si>
    <t>PO-CMP-032-J</t>
  </si>
  <si>
    <t>GSB olivine coarse soil</t>
  </si>
  <si>
    <t>PO-CMP-070</t>
  </si>
  <si>
    <t>St. Peter's Fayalite</t>
  </si>
  <si>
    <t>St. Peter's Dome, Colorado</t>
  </si>
  <si>
    <t xml:space="preserve">#104568   </t>
  </si>
  <si>
    <t>https://www.nature.com/articles/303325a0.pdf</t>
  </si>
  <si>
    <t>PO-CMP-071</t>
  </si>
  <si>
    <t>chem. analysis 640</t>
  </si>
  <si>
    <t>PO-CMP-072</t>
  </si>
  <si>
    <t xml:space="preserve">Franklin Fayalite </t>
  </si>
  <si>
    <t>Franklin, Sussex Co., NJ</t>
  </si>
  <si>
    <t xml:space="preserve">#113637   </t>
  </si>
  <si>
    <t>Red slope</t>
  </si>
  <si>
    <t>PO-CMP-073</t>
  </si>
  <si>
    <t>PO-CMP-074</t>
  </si>
  <si>
    <t xml:space="preserve">Rustanburg Fayalite </t>
  </si>
  <si>
    <t xml:space="preserve">Rustanburg, Transvaal, SA </t>
  </si>
  <si>
    <t xml:space="preserve">#118652   </t>
  </si>
  <si>
    <t>PO-CMP-076</t>
  </si>
  <si>
    <t xml:space="preserve">Apache Forsterite </t>
  </si>
  <si>
    <t>Olivine Forsterite</t>
  </si>
  <si>
    <t>Apache County, Arizona</t>
  </si>
  <si>
    <t xml:space="preserve">Fo = c. 92%   #103267 </t>
  </si>
  <si>
    <t>PO-CMP-077</t>
  </si>
  <si>
    <t>PO-EAC-004</t>
  </si>
  <si>
    <t>OLV107</t>
  </si>
  <si>
    <t>Rayfield River, British Columbia, Canada</t>
  </si>
  <si>
    <t xml:space="preserve">Extracted from basalt xenolith  </t>
  </si>
  <si>
    <t>PO-EAC-050</t>
  </si>
  <si>
    <t>OLV003</t>
  </si>
  <si>
    <t>San Carlos, AZ</t>
  </si>
  <si>
    <t xml:space="preserve">(see also entry for OLV003 size 45-90 microns [SC-EAC-002])   FOR 90.4% -- FAY 9.6% </t>
  </si>
  <si>
    <t>PO-EAC-051</t>
  </si>
  <si>
    <t xml:space="preserve">(see also entry for OLV003 size 0-45 microns [PO-EAC-050])  FOR 90.4% -- FAY 9.6% </t>
  </si>
  <si>
    <t>PO-EAC-052</t>
  </si>
  <si>
    <t>OLV007</t>
  </si>
  <si>
    <t>Cecchino, near Rome, Italy</t>
  </si>
  <si>
    <t>An intimate fine-grained mess with mica diopside (?) etc.   FOR 96.9% -- FAY 3.1% Clean separate</t>
  </si>
  <si>
    <t>PO-EAC-053</t>
  </si>
  <si>
    <t xml:space="preserve">Intimate fine-grained mass with mica-diopside (?).  FOR 96.9% FAY 3.1% Clean Separate. Spectra for 45-75 also exists. </t>
  </si>
  <si>
    <t>PO-EAC-056</t>
  </si>
  <si>
    <t>OLV010</t>
  </si>
  <si>
    <t>Olivine Chrysolite</t>
  </si>
  <si>
    <t xml:space="preserve">Green sand beach near S Point, HI </t>
  </si>
  <si>
    <t>grains show rust, inclusions  FOR 88.5% -- FAY 11.5%</t>
  </si>
  <si>
    <t>PO-EAC-057</t>
  </si>
  <si>
    <t>PO-EAC-058</t>
  </si>
  <si>
    <t>OLV011</t>
  </si>
  <si>
    <t xml:space="preserve">Rockport, Mass. </t>
  </si>
  <si>
    <t>FOR 0.1% -- FAY 99.9%   Smithsonian Inst. #35117</t>
  </si>
  <si>
    <t>PO-EAC-059</t>
  </si>
  <si>
    <t>Rockport, Mass</t>
  </si>
  <si>
    <t xml:space="preserve">FOR 0.1% -- FAY 99.9%   Smithsonian Inst.#35117. Spectra also exists for 45-75. </t>
  </si>
  <si>
    <t>PO-EAC-060</t>
  </si>
  <si>
    <t>OLV012</t>
  </si>
  <si>
    <t xml:space="preserve">Twin Sister's Range, WA </t>
  </si>
  <si>
    <t>Easy to separate -- only minor chromite contamination   FOR 91.8% -- FAY 8.2% Ward's #136053</t>
  </si>
  <si>
    <t>PO-EAC-061</t>
  </si>
  <si>
    <t xml:space="preserve">Easy to separate -- only minor chromite contamination   FOR 91.8% FAY 8.2% Ward's#13605345-75 spectra also exists </t>
  </si>
  <si>
    <t>PO-EAC-062</t>
  </si>
  <si>
    <t>OLV020</t>
  </si>
  <si>
    <t xml:space="preserve">Olivine Hyalosiderite </t>
  </si>
  <si>
    <t>with PYX115 (PP-50)Still contains some pyroxene   FOR 59.5% -- FAY 40.5%</t>
  </si>
  <si>
    <t>PO-EAC-063</t>
  </si>
  <si>
    <t>with PYX115 (PP-50) Still contains some pyroxene  FOR 59.5% FAY 40.5% Spectra for 45-75 also exists. U Alberta sample?</t>
  </si>
  <si>
    <t>PO-EAC-064</t>
  </si>
  <si>
    <t>OLV021</t>
  </si>
  <si>
    <t xml:space="preserve">sample contaminated with chromite as discreet grains &amp; vein fillings  separation may not be 100% efficient.FOR 85.9% -- FAY 14.1% </t>
  </si>
  <si>
    <t>PO-EAC-065</t>
  </si>
  <si>
    <t>Sample contaminated with chromite as discreet grains &amp; vein fillings  Separation may not be 100% efficient.FOR 85.9 -- FAY 14.1%</t>
  </si>
  <si>
    <t>PO-JFM-084-C</t>
  </si>
  <si>
    <t>Olivine &gt;45 um</t>
  </si>
  <si>
    <t xml:space="preserve">Jackson Cty, NC </t>
  </si>
  <si>
    <t>https://www.sciencedirect.com/science/article/pii/S0019103596955839   AND   Taki's mail</t>
  </si>
  <si>
    <t>PO-JFM-084-E</t>
  </si>
  <si>
    <t>Olivine 45-75 um</t>
  </si>
  <si>
    <t>PO-JFM-084-N</t>
  </si>
  <si>
    <t>Olivine 5-10 um</t>
  </si>
  <si>
    <t>PO-JFM-084-O</t>
  </si>
  <si>
    <t>Olivine &lt;5 um</t>
  </si>
  <si>
    <t>PO-RGB-040</t>
  </si>
  <si>
    <t xml:space="preserve">Peridot (unreacted) </t>
  </si>
  <si>
    <t xml:space="preserve">San Carlos, Arizona </t>
  </si>
  <si>
    <t xml:space="preserve">Unreacted Olv(Fo88)stand (powdered single crystal)  Standard for locating crystal field bands @~ .9,1.05,1.25 </t>
  </si>
  <si>
    <t>PO-RGB-044</t>
  </si>
  <si>
    <t xml:space="preserve">OLIV 4526 </t>
  </si>
  <si>
    <t>Skaergaard Intrusion, East Greenland</t>
  </si>
  <si>
    <t xml:space="preserve">Fa 21%  </t>
  </si>
  <si>
    <t>PO-RGB-045</t>
  </si>
  <si>
    <t xml:space="preserve">Oliv 5111 </t>
  </si>
  <si>
    <t>Skaergaard intrusion, East Greenland</t>
  </si>
  <si>
    <t xml:space="preserve">Fa 40%  </t>
  </si>
  <si>
    <t>PO-RGB-047</t>
  </si>
  <si>
    <t xml:space="preserve">Oliv 5107 </t>
  </si>
  <si>
    <t xml:space="preserve">Skaergaard intrusion, East Greenland </t>
  </si>
  <si>
    <t>PO-RGB-049</t>
  </si>
  <si>
    <t>Oliv 54087</t>
  </si>
  <si>
    <t xml:space="preserve">Olivine Hortonolite </t>
  </si>
  <si>
    <t xml:space="preserve">Fa 49.09%   </t>
  </si>
  <si>
    <t>SC-EAC-002</t>
  </si>
  <si>
    <t>San Carlos, AZ USA</t>
  </si>
  <si>
    <t xml:space="preserve">Vial B6a Sample wet sieved  </t>
  </si>
  <si>
    <t>ZB-CMP-011-A</t>
  </si>
  <si>
    <t>Hawaii olivine</t>
  </si>
  <si>
    <t xml:space="preserve">Hawaii (beach sand) </t>
  </si>
  <si>
    <t>https://academic.oup.com/petrology/article-pdf/52/2/279/16671653/egq080.pdf</t>
  </si>
  <si>
    <t>ZB-CMP-011-B</t>
  </si>
  <si>
    <t>ZB-CMP-011-C</t>
  </si>
  <si>
    <t>High slope</t>
  </si>
  <si>
    <t>ZB-CMP-011-D</t>
  </si>
  <si>
    <t>pomix1002</t>
  </si>
  <si>
    <t>PYX042+OLV003 (ol90+opx10)</t>
  </si>
  <si>
    <t>Silicate</t>
  </si>
  <si>
    <t>Olivine-Orthopyroxene mixture</t>
  </si>
  <si>
    <t>wt% -&gt; vol%</t>
  </si>
  <si>
    <t>pomix1003</t>
  </si>
  <si>
    <t>PYX042+OLV003 (ol80+opx20)</t>
  </si>
  <si>
    <t>pomix1004</t>
  </si>
  <si>
    <t>PYX042+OLV003 (ol70+opx30)</t>
  </si>
  <si>
    <t>pomix1005</t>
  </si>
  <si>
    <t>PYX042+OLV003 (ol60+opx40)</t>
  </si>
  <si>
    <t>pomix1006</t>
  </si>
  <si>
    <t>PYX042+OLV003 (ol50+opx50)</t>
  </si>
  <si>
    <t>pomix1007</t>
  </si>
  <si>
    <t>PYX042+OLV003 (ol40+opx60)</t>
  </si>
  <si>
    <t>pomix1008</t>
  </si>
  <si>
    <t>PYX042+OLV003 (ol30+opx70)</t>
  </si>
  <si>
    <t>pomix1009</t>
  </si>
  <si>
    <t>PYX042+OLV003 (ol20+opx80)</t>
  </si>
  <si>
    <t>pomix1010</t>
  </si>
  <si>
    <t>PYX042+OLV003 (ol10+opx90)</t>
  </si>
  <si>
    <t>pomix2002</t>
  </si>
  <si>
    <t>pomix2003</t>
  </si>
  <si>
    <t>pomix2004</t>
  </si>
  <si>
    <t>pomix2005</t>
  </si>
  <si>
    <t>pomix2006</t>
  </si>
  <si>
    <t>pomix2007</t>
  </si>
  <si>
    <t>pomix2008</t>
  </si>
  <si>
    <t>pomix2009</t>
  </si>
  <si>
    <t>pomix2010</t>
  </si>
  <si>
    <t>pomix3002</t>
  </si>
  <si>
    <t>pomix3003</t>
  </si>
  <si>
    <t>pomix3004</t>
  </si>
  <si>
    <t>pomix3005</t>
  </si>
  <si>
    <t>pomix3006</t>
  </si>
  <si>
    <t>pomix3007</t>
  </si>
  <si>
    <t>pomix3008</t>
  </si>
  <si>
    <t>pomix3009</t>
  </si>
  <si>
    <t>pomix3010</t>
  </si>
  <si>
    <t>pomix4010</t>
  </si>
  <si>
    <t>pomix4009</t>
  </si>
  <si>
    <t>pomix4008</t>
  </si>
  <si>
    <t>pomix4007</t>
  </si>
  <si>
    <t>pomix4006</t>
  </si>
  <si>
    <t>pomix4005</t>
  </si>
  <si>
    <t>pomix4004</t>
  </si>
  <si>
    <t>pomix4003</t>
  </si>
  <si>
    <t>pomix4002</t>
  </si>
  <si>
    <t>pomix4012</t>
  </si>
  <si>
    <t>PYX042+OLV003 (ol5+opx95)</t>
  </si>
  <si>
    <t>pomix4013</t>
  </si>
  <si>
    <t>PYX042+OLV003 (ol15+opx85)</t>
  </si>
  <si>
    <t>pomix5002</t>
  </si>
  <si>
    <t>pomix5006</t>
  </si>
  <si>
    <t>pomix5010</t>
  </si>
  <si>
    <t>pomix5014</t>
  </si>
  <si>
    <t>PYX042+OLV003 (ol75+opx25)</t>
  </si>
  <si>
    <t>pomix5015</t>
  </si>
  <si>
    <t>PYX042+OLV003 (ol25+opx75)</t>
  </si>
  <si>
    <t>MIX210</t>
  </si>
  <si>
    <t>PYX032+OLV003 (ol50+opx50)</t>
  </si>
  <si>
    <t>MIX212</t>
  </si>
  <si>
    <t>PYX032+OLV020 (ol50+opx50)</t>
  </si>
  <si>
    <t>OOCMIX01</t>
  </si>
  <si>
    <t>pmix1102</t>
  </si>
  <si>
    <t>PYX023+PYX005 (opx10+cpx90)</t>
  </si>
  <si>
    <t>Orthopyroxene-Clinopyroxene mixture</t>
  </si>
  <si>
    <t>pmix1103</t>
  </si>
  <si>
    <t>PYX023+PYX005 (opx20+cpx80)</t>
  </si>
  <si>
    <t>pmix1104</t>
  </si>
  <si>
    <t>PYX023+PYX005 (opx30+cpx90)</t>
  </si>
  <si>
    <t>pmix1105</t>
  </si>
  <si>
    <t>PYX023+PYX005 (opx40+cpx90)</t>
  </si>
  <si>
    <t>pmix1106</t>
  </si>
  <si>
    <t>PYX023+PYX005 (opx50+cpx50)</t>
  </si>
  <si>
    <t>pmix1107</t>
  </si>
  <si>
    <t>PYX023+PYX005 (opx60+cpx40)</t>
  </si>
  <si>
    <t>pmix1108</t>
  </si>
  <si>
    <t>PYX023+PYX005 (opx30+cpx30)</t>
  </si>
  <si>
    <t>pmix1109</t>
  </si>
  <si>
    <t>PYX023+PYX005 (opx80+cpx20)</t>
  </si>
  <si>
    <t>pmix1110</t>
  </si>
  <si>
    <t>PYX023+PYX005 (opx90+cpx10)</t>
  </si>
  <si>
    <t>pmix1111</t>
  </si>
  <si>
    <t>PYX023</t>
  </si>
  <si>
    <t xml:space="preserve">Mirabel Springs, Lake Co., CA </t>
  </si>
  <si>
    <t>pmix2002</t>
  </si>
  <si>
    <t>PYX032+PYX017 (opx20+cpx80)</t>
  </si>
  <si>
    <t>pmix2003</t>
  </si>
  <si>
    <t>PYX032+PYX017 (opx40+cpx60)</t>
  </si>
  <si>
    <t>pmix2004</t>
  </si>
  <si>
    <t>PYX032+PYX017 (opx20+cpx40)</t>
  </si>
  <si>
    <t>pmix2005</t>
  </si>
  <si>
    <t>PYX032+PYX017 (opx80+cpx20)</t>
  </si>
  <si>
    <t>pmix2102</t>
  </si>
  <si>
    <t>pmix2103</t>
  </si>
  <si>
    <t>PYX023+PYX005 (opx40+cpx60)</t>
  </si>
  <si>
    <t>pmix2104</t>
  </si>
  <si>
    <t>pmix2105</t>
  </si>
  <si>
    <t>PYX040</t>
  </si>
  <si>
    <t>NW of Haleakala Obs., Maui, Hawaii</t>
  </si>
  <si>
    <t xml:space="preserve">Univ. of Hawaii collection  </t>
  </si>
  <si>
    <t>MIX230</t>
  </si>
  <si>
    <t>PYX032+PYX040 (opx75+cpx25)</t>
  </si>
  <si>
    <t>MIX231</t>
  </si>
  <si>
    <t>PYX032+PYX040 (opx50+cpx50)</t>
  </si>
  <si>
    <t>MIX232</t>
  </si>
  <si>
    <t>PYX032+PYX040 (opx25+cpx75)</t>
  </si>
  <si>
    <t>TK1</t>
  </si>
  <si>
    <t>OL100</t>
  </si>
  <si>
    <t>TK2</t>
  </si>
  <si>
    <t>OL90+OPX10</t>
  </si>
  <si>
    <t>TK3</t>
  </si>
  <si>
    <t>OL75+OPX25</t>
  </si>
  <si>
    <t>TK4</t>
  </si>
  <si>
    <t>OL50+OPX50</t>
  </si>
  <si>
    <t>TK5</t>
  </si>
  <si>
    <t>OL25+OPX75</t>
  </si>
  <si>
    <t>TK6</t>
  </si>
  <si>
    <t>OL10+OPX90</t>
  </si>
  <si>
    <t>TK7</t>
  </si>
  <si>
    <t>OPX100</t>
  </si>
  <si>
    <t>wavelength (nm)</t>
  </si>
  <si>
    <t>Rec #</t>
  </si>
  <si>
    <t>Sample ID</t>
  </si>
  <si>
    <t>%SiO2</t>
  </si>
  <si>
    <t>%TiO2</t>
  </si>
  <si>
    <t>%Al2O3</t>
  </si>
  <si>
    <t>%Cr2O3</t>
  </si>
  <si>
    <t>%Fe2O3</t>
  </si>
  <si>
    <t>%FeO</t>
  </si>
  <si>
    <t>%MnO</t>
  </si>
  <si>
    <t>%MgO</t>
  </si>
  <si>
    <t>%CaO</t>
  </si>
  <si>
    <t>%Na2O</t>
  </si>
  <si>
    <t>%K2O</t>
  </si>
  <si>
    <t>%P2O5</t>
  </si>
  <si>
    <t>%LOI</t>
  </si>
  <si>
    <t>Cu(ppm)</t>
  </si>
  <si>
    <t>Ni(ppm)</t>
  </si>
  <si>
    <t>Co(ppm)</t>
  </si>
  <si>
    <t>Zn(ppm)</t>
  </si>
  <si>
    <t>V(ppm)</t>
  </si>
  <si>
    <t>TS-JWS-002</t>
  </si>
  <si>
    <t>BULK</t>
  </si>
  <si>
    <t>JWS Bu-1a</t>
  </si>
  <si>
    <t>TS-JWS-003</t>
  </si>
  <si>
    <t>JWS MM-2</t>
  </si>
  <si>
    <t>TS-JWS-001</t>
  </si>
  <si>
    <t>JWS Br-4</t>
  </si>
  <si>
    <t>OLV</t>
  </si>
  <si>
    <t>Ed Cloutis' OLV003</t>
  </si>
  <si>
    <t>Ed Cloutis' OLV007</t>
  </si>
  <si>
    <t>Ed Cloutis' OLV010</t>
  </si>
  <si>
    <t>Ed Cloutis' OLV011</t>
  </si>
  <si>
    <t>Ed Cloutis' OLV012</t>
  </si>
  <si>
    <t>Ed Cloutis' OLV020</t>
  </si>
  <si>
    <t>Ed Cloutis' OLV021</t>
  </si>
  <si>
    <t>PYX</t>
  </si>
  <si>
    <t>Ed Cloutis' PYX003</t>
  </si>
  <si>
    <t>Ed Cloutis' PYX112</t>
  </si>
  <si>
    <t>PO-EAC-044</t>
  </si>
  <si>
    <t>Ed Cloutis' PYX117</t>
  </si>
  <si>
    <t>Ed Cloutis' PYX015</t>
  </si>
  <si>
    <t>Ed Cloutis' PYX103</t>
  </si>
  <si>
    <t>Ed Cloutis' PYX115</t>
  </si>
  <si>
    <t>SC-EAC-006</t>
  </si>
  <si>
    <t>MET</t>
  </si>
  <si>
    <t>Ed Cloutis' MET101 Odessa</t>
  </si>
  <si>
    <t>Ed Cloutis' PYX107</t>
  </si>
  <si>
    <t>PP-EAC-068</t>
  </si>
  <si>
    <t>Ed Cloutis' PYX009</t>
  </si>
  <si>
    <t>PP-EAC-069</t>
  </si>
  <si>
    <t>Ed Cloutis' PYX018</t>
  </si>
  <si>
    <t>PP-EAC-070</t>
  </si>
  <si>
    <t>Ed Cloutis' PYX020</t>
  </si>
  <si>
    <t>PP-EAC-056</t>
  </si>
  <si>
    <t>Ed Cloutis' PYX104</t>
  </si>
  <si>
    <t>PP-EAC-058</t>
  </si>
  <si>
    <t>Ed Cloutis' PYX058</t>
  </si>
  <si>
    <t>PP-EAC-060</t>
  </si>
  <si>
    <t>Ed Cloutis' PYX136</t>
  </si>
  <si>
    <t>PP-EAC-062</t>
  </si>
  <si>
    <t>Ed Cloutis' PYX025</t>
  </si>
  <si>
    <t>PP-EAC-064</t>
  </si>
  <si>
    <t>Ed Cloutis' PYX150</t>
  </si>
  <si>
    <t>PP-EAC-066</t>
  </si>
  <si>
    <t>Ed Cloutis' PYX111</t>
  </si>
  <si>
    <t>PO-EAC-054</t>
  </si>
  <si>
    <t>Ed Cloutis' OLV008</t>
  </si>
  <si>
    <t>SC-EAC-001</t>
  </si>
  <si>
    <t>ENS</t>
  </si>
  <si>
    <t>EJ Olsen,et al, Meteor.1977,12,p109</t>
  </si>
  <si>
    <t>Happy Canyon E7 Enstatite Chondrite En99.2 Fs0.4 Wo0.4</t>
  </si>
  <si>
    <t>Ed Cloutis' PYX032</t>
  </si>
  <si>
    <t>SC-EAC-025</t>
  </si>
  <si>
    <t>MAG</t>
  </si>
  <si>
    <t>Ed Cloutis' MAG101</t>
  </si>
  <si>
    <t>SC-EAC-037</t>
  </si>
  <si>
    <t>PLG</t>
  </si>
  <si>
    <t>Ed Cloutis' PLG108</t>
  </si>
  <si>
    <t>SC-EAC-034</t>
  </si>
  <si>
    <t>ILM</t>
  </si>
  <si>
    <t>Ed Cloutis' ILM101</t>
  </si>
  <si>
    <t>SC-EAC-035</t>
  </si>
  <si>
    <t>Ed Cloutis' PYX036</t>
  </si>
  <si>
    <t>JMS' Clinopyroxene Diopside Wo 46% En 46% Fs 9%</t>
  </si>
  <si>
    <t>Webster Enstatite Wo 1% En 87% Fs 12%</t>
  </si>
  <si>
    <t>JMS' Olivine Fo 82.4%</t>
  </si>
  <si>
    <t>PE-CMO-011</t>
  </si>
  <si>
    <t>Singer (1981)</t>
  </si>
  <si>
    <t>Bamble, Norway Enstatite</t>
  </si>
  <si>
    <t>PL-CMP-005</t>
  </si>
  <si>
    <t>Nain, Labrador Labradorite</t>
  </si>
  <si>
    <t>PE-CMP-010</t>
  </si>
  <si>
    <t>Bamble, Norway Enstatite - analysis w/Brown U. microprobe</t>
  </si>
  <si>
    <t>PA-CMP-001</t>
  </si>
  <si>
    <t>Split Rock, Minn. Anorthite</t>
  </si>
  <si>
    <t>PO-CMP-010</t>
  </si>
  <si>
    <t>Twin Sisters' Forsterite (samp. contains c.10% pyroxene)</t>
  </si>
  <si>
    <t>LS-JBA-001</t>
  </si>
  <si>
    <t>Lofgren &amp; Lofgren, NASA, 1981</t>
  </si>
  <si>
    <t>Apollo 11 Basalt 10020</t>
  </si>
  <si>
    <t>LS-JBA-003</t>
  </si>
  <si>
    <t>RM Fruland, Regolith Breccia Workbook, NASA 1983</t>
  </si>
  <si>
    <t>Apollo 11 Regolith Breccia NASA #10046</t>
  </si>
  <si>
    <t>LS-JBA-004</t>
  </si>
  <si>
    <t>Fruland, Reg. Breccia Workbook, NASA 1983</t>
  </si>
  <si>
    <t>Apollo 11 Regolith Breccia NASA #10048</t>
  </si>
  <si>
    <t>LS-JBA-005</t>
  </si>
  <si>
    <t>Lofgren &amp; Lofgren, NASA 1981</t>
  </si>
  <si>
    <t>Apollo 11 Intersertal Basalt NASA #10072</t>
  </si>
  <si>
    <t>LS-JBA-006 (THRU -01</t>
  </si>
  <si>
    <t>Morris, et al, Handbook of Lunar Soils, NASA 1983</t>
  </si>
  <si>
    <t>Apollo 11 Soil Breccia NASA #10084</t>
  </si>
  <si>
    <t>LS-JBA-030</t>
  </si>
  <si>
    <t>Apollo 12 Basalt NASA #12009</t>
  </si>
  <si>
    <t>LS-JBA-031</t>
  </si>
  <si>
    <t>Lofgren &amp; Lofgren, Catalog...., NASA 1981</t>
  </si>
  <si>
    <t>Apollo 12 Basalt NASA #12022</t>
  </si>
  <si>
    <t>LS-JBA-035</t>
  </si>
  <si>
    <t>Lofgren &amp; Lofgren, Catalog of...., NASA 1981</t>
  </si>
  <si>
    <t>Apollo 12 Mare Basalt NASA #12038</t>
  </si>
  <si>
    <t>LS-JBA-036 (-043)</t>
  </si>
  <si>
    <t>Morris et al, Handbook of Lunar Soils, NASA 1983</t>
  </si>
  <si>
    <t>Apollo 12 Soil NASA #12042</t>
  </si>
  <si>
    <t>LS-JBA-044 (-050)</t>
  </si>
  <si>
    <t>Lofgren &amp; Lofgren, Catalog of Lunar Mare ..., 1981</t>
  </si>
  <si>
    <t>Apollo 12 Mare Basalt NASA #12053</t>
  </si>
  <si>
    <t>LS-JBA-051 (-058)</t>
  </si>
  <si>
    <t>P McGee et al, Intro Apollo Collec I, NASA 1977</t>
  </si>
  <si>
    <t>Apollo 12 Basalt NASA #12063</t>
  </si>
  <si>
    <t>LS-JBA-059 (-065)</t>
  </si>
  <si>
    <t>RV Morris et al, Handbook of Lunar Soils, 1983</t>
  </si>
  <si>
    <t>Apollo 12 Soil NASA #12070</t>
  </si>
  <si>
    <t>LS-JBA-070</t>
  </si>
  <si>
    <t>Apollo 14 Soil NASA#14003</t>
  </si>
  <si>
    <t>LS-JBA-073</t>
  </si>
  <si>
    <t>McGee et al, Intro Apollo Collec II, 1979</t>
  </si>
  <si>
    <t>Apollo 14 Breccia NASA #14063</t>
  </si>
  <si>
    <t>LS-JBA-074</t>
  </si>
  <si>
    <t>P McGee et al, Intro Apollo Colec II, NASA 1979</t>
  </si>
  <si>
    <t>Apollo 14 Breccia NASA #14082</t>
  </si>
  <si>
    <t>LS-JBA-076</t>
  </si>
  <si>
    <t>Apollo 14 Soil NASA #14141</t>
  </si>
  <si>
    <t>LS-JBA-081</t>
  </si>
  <si>
    <t>Apollo 14 Soil NASA #14148</t>
  </si>
  <si>
    <t>LS-JBA-084</t>
  </si>
  <si>
    <t>Apollo 14 Soil NASA #14149</t>
  </si>
  <si>
    <t>LS-JBA-086</t>
  </si>
  <si>
    <t>Apollo 14 Soil NASA #14156</t>
  </si>
  <si>
    <t>LS-JBA-088</t>
  </si>
  <si>
    <t>Apollo 14 Soil NASA #14163</t>
  </si>
  <si>
    <t>LS-JBA-090</t>
  </si>
  <si>
    <t>Apollo 14 Soil NASA #14240</t>
  </si>
  <si>
    <t>LS-JBA-091</t>
  </si>
  <si>
    <t>RV Morris et al, Handbook fo Lunar Soils, 1983</t>
  </si>
  <si>
    <t>Apollo 14 Soil NASA #14259</t>
  </si>
  <si>
    <t>LS-JBA-092</t>
  </si>
  <si>
    <t>Apollo 14 Soil NASA #14260</t>
  </si>
  <si>
    <t>LS-JBA-093</t>
  </si>
  <si>
    <t>P McGee et al, Intro Apollo Collec II, NASA 1979</t>
  </si>
  <si>
    <t>Apollo 14 Breccia NASA#14301</t>
  </si>
  <si>
    <t>LS-JBA-095</t>
  </si>
  <si>
    <t>Apollo 14 Breccia NASA #14310</t>
  </si>
  <si>
    <t>LS-JBA-096</t>
  </si>
  <si>
    <t>Apollo 14 Breccia NASA#14311</t>
  </si>
  <si>
    <t>LS-JBA-094</t>
  </si>
  <si>
    <t>JW Shervais &amp; LA Taylor, Breccia Guidebook No.5, NASA 1983</t>
  </si>
  <si>
    <t>Apollo 14 Breccia #14305</t>
  </si>
  <si>
    <t>LS-JBA-097</t>
  </si>
  <si>
    <t>P McGee et al, Intro Apollo Collec, NASA 1979</t>
  </si>
  <si>
    <t>Apollo 14 Breccia NASA#14321 (Matrix only)</t>
  </si>
  <si>
    <t>LS-JBA-104</t>
  </si>
  <si>
    <t>Apollo 15 Basalt NASA#15016</t>
  </si>
  <si>
    <t>LS-JBA-105</t>
  </si>
  <si>
    <t>RV Morris, et al, Handbook of Lunar Soils, 1983</t>
  </si>
  <si>
    <t>Apollo 15 Soil NASA#15021</t>
  </si>
  <si>
    <t>LS-JBA-106</t>
  </si>
  <si>
    <t>Apollo 15 Mare Basalt NASA#15058</t>
  </si>
  <si>
    <t>LS-JBA-107</t>
  </si>
  <si>
    <t>Apollo 15 Mare Basalt NASA#15065</t>
  </si>
  <si>
    <t>LS-JBA-108</t>
  </si>
  <si>
    <t>Apollo 15 Soil NASA#15081</t>
  </si>
  <si>
    <t>LS-JBA-109</t>
  </si>
  <si>
    <t>Apollo 15 Regolith Breccia NASA#15086</t>
  </si>
  <si>
    <t>LS-JBA-110</t>
  </si>
  <si>
    <t>Apollo 15 Soil NASA#15091</t>
  </si>
  <si>
    <t>LS-JBA-111</t>
  </si>
  <si>
    <t>Apollo 15 Soil NASA#15101</t>
  </si>
  <si>
    <t>LS-JBA-112</t>
  </si>
  <si>
    <t>Apollo 15 Regolith Breccia NASA#15205</t>
  </si>
  <si>
    <t>LS-JBA-113</t>
  </si>
  <si>
    <t>RV Morris, Handbook of Lunar Soils, 1983</t>
  </si>
  <si>
    <t>Apollo 15 Soil NASA#15211</t>
  </si>
  <si>
    <t>LS-JBA-114</t>
  </si>
  <si>
    <t>Apollo 15 Soil NASA#15221</t>
  </si>
  <si>
    <t>LS-JBA-116</t>
  </si>
  <si>
    <t>Apollo 15 Soil NASA#15231</t>
  </si>
  <si>
    <t>LS-JBA-117</t>
  </si>
  <si>
    <t>Apollo 15 Soil NASA#15251</t>
  </si>
  <si>
    <t>LS-JBA-118</t>
  </si>
  <si>
    <t>G Ryder, Catalog of Apollo 15 Rocks, NASA 1985</t>
  </si>
  <si>
    <t>Rind Glass on Apollo 15 Reg. Breccia 15255,77</t>
  </si>
  <si>
    <t>LS-JBA-119</t>
  </si>
  <si>
    <t>Apollo 15 Soil</t>
  </si>
  <si>
    <t>LS-JBA-120</t>
  </si>
  <si>
    <t>Apollo 15 Soil NASA#15301</t>
  </si>
  <si>
    <t>LS-JBA-121</t>
  </si>
  <si>
    <t>Apollo 15 Soil NASA#15401</t>
  </si>
  <si>
    <t>LS-JBA-125</t>
  </si>
  <si>
    <t>Apollo 15 Soil NASA 15471</t>
  </si>
  <si>
    <t>LS-JBA-126</t>
  </si>
  <si>
    <t>Lofgren &amp; Lofgren, Catalog of Lunar Mare..., 1981</t>
  </si>
  <si>
    <t>Apollo 15 Mare Basalt NASA 15499</t>
  </si>
  <si>
    <t>LS-JBA-127</t>
  </si>
  <si>
    <t>Apollo 15 Mare Soil NASA 15501</t>
  </si>
  <si>
    <t>LS-JBA-128</t>
  </si>
  <si>
    <t>Apollo 15 Mare Soil NASA 15531</t>
  </si>
  <si>
    <t>LS-JBA-129</t>
  </si>
  <si>
    <t>Apollo 15 Mare Basalt NASA 15555</t>
  </si>
  <si>
    <t>LS-JBA-130</t>
  </si>
  <si>
    <t>Apollo 15 Mare Soil NASA 15601</t>
  </si>
  <si>
    <t>LS-JBA-141 (-145)</t>
  </si>
  <si>
    <t>Luna 24 Soils average composition</t>
  </si>
  <si>
    <t>LS-JBA-150</t>
  </si>
  <si>
    <t>Apollo 16 Regolith Breccia 60016</t>
  </si>
  <si>
    <t>LS-JBA-161</t>
  </si>
  <si>
    <t>Apollo 16 Soil 60601</t>
  </si>
  <si>
    <t>LS-JBA-152</t>
  </si>
  <si>
    <t>Apollo 16 Soil 61141</t>
  </si>
  <si>
    <t>LS-JBA-153</t>
  </si>
  <si>
    <t>Apollo 16 Soil 61161</t>
  </si>
  <si>
    <t>LS-JBA-154</t>
  </si>
  <si>
    <t>Apollo 16 Soil 61221</t>
  </si>
  <si>
    <t>LS-JBA-155</t>
  </si>
  <si>
    <t>Apollo 16 Soil 61241</t>
  </si>
  <si>
    <t>LS-JBA-156</t>
  </si>
  <si>
    <t>Apollo 16 Soil 61281</t>
  </si>
  <si>
    <t>LS-JBA-157</t>
  </si>
  <si>
    <t>Apollo 16 Soil 61501</t>
  </si>
  <si>
    <t>LS-JBA-158</t>
  </si>
  <si>
    <t>Apollo 16 Soil 62231</t>
  </si>
  <si>
    <t>LS-JBA-159</t>
  </si>
  <si>
    <t>Apollo 16 Soil 63321</t>
  </si>
  <si>
    <t>LS-JBA-160</t>
  </si>
  <si>
    <t>Apollo 16 Soil 63341</t>
  </si>
  <si>
    <t>Apollo 16 Soil 63501</t>
  </si>
  <si>
    <t>LS-JBA-162</t>
  </si>
  <si>
    <t>Apollo 16 Soil 64421</t>
  </si>
  <si>
    <t>LS-JBA-163</t>
  </si>
  <si>
    <t>Apollo 16 Soil 64501</t>
  </si>
  <si>
    <t>LS-JBA-164</t>
  </si>
  <si>
    <t>Apollo 16 Soil 64801</t>
  </si>
  <si>
    <t>LS-JBA-166</t>
  </si>
  <si>
    <t>Apollo 16 Soil #65501</t>
  </si>
  <si>
    <t>LS-JBA-167</t>
  </si>
  <si>
    <t>Apollo 16 Soil #65701</t>
  </si>
  <si>
    <t>LS-JBA-168</t>
  </si>
  <si>
    <t>Apollo 16 Soil #66041</t>
  </si>
  <si>
    <t>LS-JBA-169</t>
  </si>
  <si>
    <t>Apollo 16 Soil #66081</t>
  </si>
  <si>
    <t>LS-JBA-170</t>
  </si>
  <si>
    <t>G Ryder &amp; MD Norman, Catalog of Apollo 16 Rocks, 1980</t>
  </si>
  <si>
    <t>Apollo 16 Breccia #67016</t>
  </si>
  <si>
    <t>LS-JBA-171</t>
  </si>
  <si>
    <t>G Ryder &amp; MD Norman, Cataolog of Apollo 16 Rocks, 1980</t>
  </si>
  <si>
    <t>Apollo 16 Breccia #67455</t>
  </si>
  <si>
    <t>LS-JBA-172</t>
  </si>
  <si>
    <t>Apollo 16 Soil #67461</t>
  </si>
  <si>
    <t>LS-JBA-173</t>
  </si>
  <si>
    <t>Apollo 16 Soil #67481</t>
  </si>
  <si>
    <t>LS-JBA-174</t>
  </si>
  <si>
    <t>Apollo 16 Soil #67601</t>
  </si>
  <si>
    <t>LS-JBA-175</t>
  </si>
  <si>
    <t>Apollo 16 Soil #67701</t>
  </si>
  <si>
    <t>LS-JBA-176</t>
  </si>
  <si>
    <t>Apollo 16 Soil #67711</t>
  </si>
  <si>
    <t>LS-JBA-177</t>
  </si>
  <si>
    <t>Apollo 16 Soil #67941</t>
  </si>
  <si>
    <t>LS-JBA-122</t>
  </si>
  <si>
    <t>Apollo 16 Soil #68501</t>
  </si>
  <si>
    <t>LS-JBA-179</t>
  </si>
  <si>
    <t>G Ryder &amp; MD Norman, Catalog of Apollo 16 Rocks, NASA 1980</t>
  </si>
  <si>
    <t>Apollo 16 Breccia #68815</t>
  </si>
  <si>
    <t>LS-JBA-180</t>
  </si>
  <si>
    <t>RV Morris et al, Hnadbook of Lunar Soils, 1983</t>
  </si>
  <si>
    <t>Apollo 16 Soil #68841</t>
  </si>
  <si>
    <t>LS-JBA-181</t>
  </si>
  <si>
    <t>Apollo 16 Soil #69921</t>
  </si>
  <si>
    <t>LS-JBA-182</t>
  </si>
  <si>
    <t>Apollo 16 Soil #69941</t>
  </si>
  <si>
    <t>LS-JBA-183</t>
  </si>
  <si>
    <t>Apollo 16 Soil #69961</t>
  </si>
  <si>
    <t>LS-JBA-200</t>
  </si>
  <si>
    <t>EW Wolfe, et al, Geol Invest T-L Valley, USGS 1981</t>
  </si>
  <si>
    <t>Apollo 17 Basalt #70017</t>
  </si>
  <si>
    <t>LS-JBA-202</t>
  </si>
  <si>
    <t>Apollo 17 Soil #70181</t>
  </si>
  <si>
    <t>LS-JBA-203</t>
  </si>
  <si>
    <t>Apollo 17 Soil #71041</t>
  </si>
  <si>
    <t>LS-JBA-204</t>
  </si>
  <si>
    <t>Lofgren &amp; Lofgren, Catalog of Lunar Mare..., NASA 1981</t>
  </si>
  <si>
    <t>Apollo 17 Mare Basalt #71055</t>
  </si>
  <si>
    <t>LS-JBA-205</t>
  </si>
  <si>
    <t>Apollo 17 Soil #71061</t>
  </si>
  <si>
    <t>LS-JBA-213</t>
  </si>
  <si>
    <t>RV Morris,et al, Handbook of Lunar Soils</t>
  </si>
  <si>
    <t>Apollo 17 Soil #72321</t>
  </si>
  <si>
    <t>LS-JBA-241</t>
  </si>
  <si>
    <t>Apollo 17 Soil #79221</t>
  </si>
  <si>
    <t>LS-JBA-208</t>
  </si>
  <si>
    <t>Apollo 17 Soil #71501</t>
  </si>
  <si>
    <t>LS-JBA-242</t>
  </si>
  <si>
    <t>Apollo 17 Soil #79511</t>
  </si>
  <si>
    <t>LS-JBA-210</t>
  </si>
  <si>
    <t>Apollo 17 Soil #72141</t>
  </si>
  <si>
    <t>LS-JBA-211</t>
  </si>
  <si>
    <t>Apollo 17 Soil #72161</t>
  </si>
  <si>
    <t>LS-JBA-214</t>
  </si>
  <si>
    <t>Apollo 17 Soil #72441</t>
  </si>
  <si>
    <t>LS-JBA-215</t>
  </si>
  <si>
    <t>Apollo 17 Soil #72461</t>
  </si>
  <si>
    <t>LS-JBA-216</t>
  </si>
  <si>
    <t>Apollo 17 Soil #72500</t>
  </si>
  <si>
    <t>LS-JBA-217</t>
  </si>
  <si>
    <t>Apollo 17 Soil #72701</t>
  </si>
  <si>
    <t>LS-JBA-218</t>
  </si>
  <si>
    <t>Apollo 17 Soil #73121</t>
  </si>
  <si>
    <t>LS-JBA-219</t>
  </si>
  <si>
    <t>Apollo 17 Soil #73141</t>
  </si>
  <si>
    <t>LS-JBA-220</t>
  </si>
  <si>
    <t>RV Morris et al, Handbook of Lunar Soils,1983</t>
  </si>
  <si>
    <t>Apollo 17 Soil #73221</t>
  </si>
  <si>
    <t>LS-JBA-221</t>
  </si>
  <si>
    <t>Apollo 17 Soil #73241</t>
  </si>
  <si>
    <t>LS-JBA-222</t>
  </si>
  <si>
    <t>Apollo 17 Soil #73281</t>
  </si>
  <si>
    <t>LS-JBA-224</t>
  </si>
  <si>
    <t>Apollo 17 Soil #74220</t>
  </si>
  <si>
    <t>LS-JBA-225</t>
  </si>
  <si>
    <t>Apollo 17 Soil #74241</t>
  </si>
  <si>
    <t>LS-JBA-226</t>
  </si>
  <si>
    <t>Apollo 17 Mare Basalt #74275</t>
  </si>
  <si>
    <t>LS-JBA-227</t>
  </si>
  <si>
    <t>Lofgren &amp; Lofgren, Catalog of Lunar Mare Basalts &gt;40g, NASA 1981</t>
  </si>
  <si>
    <t>Apollo 17 Mare Basalt #75035</t>
  </si>
  <si>
    <t>LS-JBA-228</t>
  </si>
  <si>
    <t>Morris et al, Handbook of Lunar Soils, 1983.</t>
  </si>
  <si>
    <t>Apollo 17 Soil #75061</t>
  </si>
  <si>
    <t>LS-JBA-229,230</t>
  </si>
  <si>
    <t>Morris et al, Handbook of Lunar Soils, 1983</t>
  </si>
  <si>
    <t>Apollo 17 Soil #75080,75081</t>
  </si>
  <si>
    <t>LS-JBA-239</t>
  </si>
  <si>
    <t>Morris, et al, Handbook of Lunar Soils, 1983</t>
  </si>
  <si>
    <t>Apollo 17 #78481 (%represents pure element, not oxide;O=41.9%)</t>
  </si>
  <si>
    <t>LS-JBA-240</t>
  </si>
  <si>
    <t>Apollo 17 Soil #78501</t>
  </si>
  <si>
    <t>LS-JBA-233</t>
  </si>
  <si>
    <t>Apollo 17 Soil #76240</t>
  </si>
  <si>
    <t>LS-JBA-234</t>
  </si>
  <si>
    <t>Apollo 17 Soil #76261</t>
  </si>
  <si>
    <t>LS-JBA-235</t>
  </si>
  <si>
    <t>McGee, et al, Intro Apollo Collec II, 1979</t>
  </si>
  <si>
    <t>Apollo 17 Breccia #77017</t>
  </si>
  <si>
    <t>LS-JBA-238</t>
  </si>
  <si>
    <t>EW Wolfe, et al, Geol Invest T-L Valley, USGS, 1981</t>
  </si>
  <si>
    <t>Apollo 17 Metagabbro Cataclastite #78155</t>
  </si>
  <si>
    <t>LM-LAM-007-PA</t>
  </si>
  <si>
    <t>Elephant Moraine meteorite (EETA79001), lith. A</t>
  </si>
  <si>
    <t>LM-LAM-007-PB</t>
  </si>
  <si>
    <t>Elephant Morain Achondrite (EETA79001), lith. B</t>
  </si>
  <si>
    <t>JMS' Hortonolite from RGB</t>
  </si>
  <si>
    <t>Roger Burns' Oliv 4526</t>
  </si>
  <si>
    <t>Roger Burns' Oliv 5111</t>
  </si>
  <si>
    <t>PO-RGB-046</t>
  </si>
  <si>
    <t>Roger Burns' Oliv 4167</t>
  </si>
  <si>
    <t>Roger Burns' Oliv 5107</t>
  </si>
  <si>
    <t>PO-RGB-048</t>
  </si>
  <si>
    <t>Roger Burns' Oliv 5181</t>
  </si>
  <si>
    <t>MR-MJG-021</t>
  </si>
  <si>
    <t>Indarch Meteorite (E4) (Pure elem's, not oxides; Ni&amp;Co=wt%)</t>
  </si>
  <si>
    <t>MR-MJG-038</t>
  </si>
  <si>
    <t>Pillistfer Meteorite(E6) (Pure elem's, not oxides; Ni=%, not ppm)</t>
  </si>
  <si>
    <t>MR-MJG-060</t>
  </si>
  <si>
    <t>Geochimica et Cosmochimica Acta, 1967,31,p1103</t>
  </si>
  <si>
    <t>Leedey Meteorite (L6) (Total Fe=22.11; Ni=wt%, not ppm)</t>
  </si>
  <si>
    <t>MR-MJG-098</t>
  </si>
  <si>
    <t>Johnstown Meteorite (Pure elements, not oxides)</t>
  </si>
  <si>
    <t>MR-MJG-100</t>
  </si>
  <si>
    <t>Tatahouine Meteorite (Pure elements, not oxides)</t>
  </si>
  <si>
    <t>MR-MJG-101</t>
  </si>
  <si>
    <t>Shalka Meteorite (Pure elements, not oxides)</t>
  </si>
  <si>
    <t>MR-MJG-102</t>
  </si>
  <si>
    <t>Nakhla Meteorite</t>
  </si>
  <si>
    <t>MR-MJG-103</t>
  </si>
  <si>
    <t>Angra dos Reis Meteorite (SiO2=estimate)</t>
  </si>
  <si>
    <t>MR-MJG-104</t>
  </si>
  <si>
    <t>Chassigny Meteorite</t>
  </si>
  <si>
    <t>MR-MJG-105</t>
  </si>
  <si>
    <t>Orgueil Meteorite (C1) (Pure elments, not oxides)</t>
  </si>
  <si>
    <t>MR-MJG-108</t>
  </si>
  <si>
    <t>Mighei Meteorite (C2M) (Pure elements, not oxides)</t>
  </si>
  <si>
    <t>MR-MJG-115</t>
  </si>
  <si>
    <t>Ornans Meteorite (Pure elem's, not oxides; Ni=%, not ppm)</t>
  </si>
  <si>
    <t>MR-MJG-121</t>
  </si>
  <si>
    <t>Mokoia Meteorite (C3V) (Pure elements, not oxides)</t>
  </si>
  <si>
    <t>MR-MJG-028</t>
  </si>
  <si>
    <t>Allegan Meteorite (H5) (See also analysis #182)</t>
  </si>
  <si>
    <t>Allegan Meteorite (H5) (analysis of non-mag separate; see #181)</t>
  </si>
  <si>
    <t>MR-MJG-026</t>
  </si>
  <si>
    <t>Daniel's Kuil Meteorite (E6) (analysis of non-mag unattacked)</t>
  </si>
  <si>
    <t>MR-MJG-027</t>
  </si>
  <si>
    <t>Ochansk Meteorite (H4) (Analysis of non-mag, unattacked separate)</t>
  </si>
  <si>
    <t>MR-MJG-070</t>
  </si>
  <si>
    <t>B Mason &amp; HB Wiik, Geochim.Cosmochim.Acta,1964,28,533</t>
  </si>
  <si>
    <t>Soko-Banja Meteorite (LL4) (Ni &amp; Co = wt%, no ppm)</t>
  </si>
  <si>
    <t>MR-MJG-063</t>
  </si>
  <si>
    <t>Tourinnes-la-Grosse Meteorite (L6) (Ni=%, not ppm)</t>
  </si>
  <si>
    <t>MR-MJG-106</t>
  </si>
  <si>
    <t>DM Shaw &amp; RS Harmon, Meteor. 1975,10,p253 (factor analysis)</t>
  </si>
  <si>
    <t>Alais Meteorite (C1) (pure elem's, not oxides)</t>
  </si>
  <si>
    <t>MR-MJG-110</t>
  </si>
  <si>
    <t>DM Shaw &amp; RS Harmon, Meteor. 1975,10,p253</t>
  </si>
  <si>
    <t>Murray Meteorite (C2) (Pure elements, not oxides)</t>
  </si>
  <si>
    <t>MR-MJG-112</t>
  </si>
  <si>
    <t>Felix Meteorite (C3O) (Pure elements, not oxides)</t>
  </si>
  <si>
    <t>MR-MJG-119</t>
  </si>
  <si>
    <t>Grosnaja Meteorite (C3V) (Pure elements, not oxides)</t>
  </si>
  <si>
    <t>MR-MJG-114</t>
  </si>
  <si>
    <t>Geochimica et Cosmochimica Acta, 1956, p279</t>
  </si>
  <si>
    <t>Lance Meteorite (C3O) (Ni = %, not ppm)</t>
  </si>
  <si>
    <t>MR-MJG-122</t>
  </si>
  <si>
    <t>Vigarano Meteorite (C3V) (Pure elements, not oxides)</t>
  </si>
  <si>
    <t>MR-MJG-116</t>
  </si>
  <si>
    <t>Warrenton Meteorite (C3O) (Ni = % not ppm)</t>
  </si>
  <si>
    <t>MR-MJG-117</t>
  </si>
  <si>
    <t>Smith. Contrib. Earth Sci., 1970 (5)</t>
  </si>
  <si>
    <t>Allende Meteorite (C3V) (Total Fe=23.85%; Ni=wt%, not ppm)</t>
  </si>
  <si>
    <t>MR-MJG-067</t>
  </si>
  <si>
    <t>RT Dodd, et al, Geochim. Cosmochim. Acta, 1967,31,p921</t>
  </si>
  <si>
    <t>Chainpur Meteorite (LL3) (Total Fe=19.78; Ni&amp;Co=wt%, not ppm)</t>
  </si>
  <si>
    <t>MR-MJG-068</t>
  </si>
  <si>
    <t>RT Dodd,et al, Geochim.Cosmochim.Acta,1967,31,p921</t>
  </si>
  <si>
    <t>Parnallee Meteorite (LL3) (Ni &amp; Co = wt%, not oxides)</t>
  </si>
  <si>
    <t>MR-MJG-032</t>
  </si>
  <si>
    <t>Pantar Meteorite (H5) (Pure elem's, not oxides)</t>
  </si>
  <si>
    <t>MR-MJG-020</t>
  </si>
  <si>
    <t>Abee Meteorite (E4) (Pure elements, not oxides)</t>
  </si>
  <si>
    <t>MR-MJG-023</t>
  </si>
  <si>
    <t>H Von Michaelis et al, Earth Planet.Sci.Lett.,1969,5,p387</t>
  </si>
  <si>
    <t>Atalnta Meteorite(E6) (Pure elem's, not oxides)</t>
  </si>
  <si>
    <t>MR-MJG-024</t>
  </si>
  <si>
    <t>Hvittis Meteorite (E6) (Ni = % not ppm)</t>
  </si>
  <si>
    <t>MR-MJG-025</t>
  </si>
  <si>
    <t>Khairpur Meteorite(E6) (Factor analysis; pure elem's, not oxides)</t>
  </si>
  <si>
    <t>MR-MJG-090</t>
  </si>
  <si>
    <t>MB Duke &amp; LT Silver, Geochim.Cosmochim.Acta,1967,31,1637</t>
  </si>
  <si>
    <t>Pasamonte Meteorite (AEUC)</t>
  </si>
  <si>
    <t>MR-MJG-203</t>
  </si>
  <si>
    <t>MB Duke &amp; LT Silver, Geochim.Cosmochim.Acta,1967,31,p1637</t>
  </si>
  <si>
    <t>Sioux County Meteorite (AEUC)</t>
  </si>
  <si>
    <t>MR-MJG-092</t>
  </si>
  <si>
    <t>Stannern Meteorite (AEUC)</t>
  </si>
  <si>
    <t>MR-MJG-095</t>
  </si>
  <si>
    <t>B Mason,et al, Smith.Contrib.Earth Sci.,1979 (22)</t>
  </si>
  <si>
    <t>Frankfort Meteorite (AHOW)</t>
  </si>
  <si>
    <t>MR-MJG-053</t>
  </si>
  <si>
    <t>RT Dodd &amp; E Jarosewich, Meteor.1981,16,p93</t>
  </si>
  <si>
    <t>Aumale Meteorite (L6) (Ni=wt%, not ppm)</t>
  </si>
  <si>
    <t>MR-MJG-125</t>
  </si>
  <si>
    <t>Vouille Meteorite (L6) (Ni=wt%, not ppm)</t>
  </si>
  <si>
    <t>MR-MJG-043</t>
  </si>
  <si>
    <t>Geochim.Cosmochim.Acta,1967,31,p1103</t>
  </si>
  <si>
    <t>Mezo-Madaras Meteorite (L3) (Total Fe=21.60; Ni=wt%, not ppm)</t>
  </si>
  <si>
    <t>MR-MJG-091</t>
  </si>
  <si>
    <t>MB Duke &amp; LT Silver,Geochim.Cosmochim.Acta,1967,31,p1637</t>
  </si>
  <si>
    <t>Juvinas Meteorite (AEUC)</t>
  </si>
  <si>
    <t>MR-MJG-118</t>
  </si>
  <si>
    <t>E Jarosewich, Geochim.Cosmochim.Acta,1966,30,p1261</t>
  </si>
  <si>
    <t>Coolidge Meteorite (C4) (Total Fe=23.68%; Ni=wt%, not ppm)</t>
  </si>
  <si>
    <t>MR-MJG-094</t>
  </si>
  <si>
    <t>Pavlovka Meteorite (AHOW)</t>
  </si>
  <si>
    <t>MR-MJG-096</t>
  </si>
  <si>
    <t>B Mason,et al, Smith.Contrib.Earth Sci.,1979(22)</t>
  </si>
  <si>
    <t>Le Teilleul Meteorite (AHOW)</t>
  </si>
  <si>
    <t>MR-MJG-097</t>
  </si>
  <si>
    <t>Petersburg Meteorite (AHOW)</t>
  </si>
  <si>
    <t>MR-MJG-013</t>
  </si>
  <si>
    <t>Kapoeta Meteorite (AHOW)</t>
  </si>
  <si>
    <t>MR-MJG-015</t>
  </si>
  <si>
    <t>Shergotty Meteorite (AEUC)</t>
  </si>
  <si>
    <t>MR-MJG-093</t>
  </si>
  <si>
    <t>Nobleborough Meteorite (AEUC)</t>
  </si>
  <si>
    <t>MR-MJG-088</t>
  </si>
  <si>
    <t>Jonzac Meteorite (AEUC)</t>
  </si>
  <si>
    <t>MR-MJG-089</t>
  </si>
  <si>
    <t>Haraiya Meteorite (AEUC)</t>
  </si>
  <si>
    <t>MR-MJG-085</t>
  </si>
  <si>
    <t>Bereba Meteorite (AEUC)</t>
  </si>
  <si>
    <t>MR-MJG-029</t>
  </si>
  <si>
    <t>Castalia Meteorite (H5) (Total Fe=25.83; Ni &amp; Co=wt%, not ppm)</t>
  </si>
  <si>
    <t>MR-MJG-072</t>
  </si>
  <si>
    <t>B Mason &amp; HB Wiik, Geochim.Cosmochim.Acta,1964,28,p533</t>
  </si>
  <si>
    <t>Jelica Meteorite (LL6) (Ni=wt%, not ppm)</t>
  </si>
  <si>
    <t>MR-MJG-071</t>
  </si>
  <si>
    <t>Olivenza Meteorite (LL5) (Ni &amp; Co = wt%, not ppm)</t>
  </si>
  <si>
    <t>MR-MJG-073</t>
  </si>
  <si>
    <t>Manbhoom Meteorite (LL6) (Ni &amp; Co = wt%, not ppm)</t>
  </si>
  <si>
    <t>MR-MJG-074</t>
  </si>
  <si>
    <t>Vavilovka Meteorite (LL6) (Ni=wt%, not ppm)</t>
  </si>
  <si>
    <t>MR-MJG-109</t>
  </si>
  <si>
    <t>LH Fuchs,et al, Smith.Contrib.Earth Sci.,1973 (10)</t>
  </si>
  <si>
    <t>Murchison Meteorite (C2M) (Matrix; NiO = 1.5%; Ni = 0.08%)</t>
  </si>
  <si>
    <t>MR-MJG-022</t>
  </si>
  <si>
    <t>H Von Michaelis,et al,Earth Planet.Sci.Lett.,1969,5,p387</t>
  </si>
  <si>
    <t>St. Mark's Meteorite (E5) (Pure elements, not oxides)</t>
  </si>
  <si>
    <t>MR-MJG-107</t>
  </si>
  <si>
    <t>H Von Michaelis,et al, Earth Planet.Sci.Lett.,1969,5,p387</t>
  </si>
  <si>
    <t>Cold Bokkeveld Meteorite (C2M) (Pure elements, not oxides)</t>
  </si>
  <si>
    <t>MR-MJG-057</t>
  </si>
  <si>
    <t>Colby (Wisconsin) Meteorite (L6) (Pure elem's, not oxides)</t>
  </si>
  <si>
    <t>MR-MJG-051</t>
  </si>
  <si>
    <t>Alfianello Meteorite (L6) (Pure elements, not oxides)</t>
  </si>
  <si>
    <t>MR-MJG-058</t>
  </si>
  <si>
    <t>Drake Creek Meteorite (L6) (Pure elements, not oxides)</t>
  </si>
  <si>
    <t>MR-MJG-062</t>
  </si>
  <si>
    <t>St. Michel Meteorite (L6) (Pure elements, not oxides)</t>
  </si>
  <si>
    <t>MR-MJG-077</t>
  </si>
  <si>
    <t>Farmington Meteorite (L5) (Pure elements, not oxides)</t>
  </si>
  <si>
    <t>MR-MJG-031</t>
  </si>
  <si>
    <t>Forest City Meteorite (H5) (Pure elements, not oxides)</t>
  </si>
  <si>
    <t>MR-MJG-045</t>
  </si>
  <si>
    <t>RT Dodd,et al, Geochim.Cosmochim.Acta, 1967,31,p921</t>
  </si>
  <si>
    <t>Cynthiana Meteorite (L4) (Ni &amp; Co = wt%, not ppm)</t>
  </si>
  <si>
    <t>MR-MJG-069</t>
  </si>
  <si>
    <t>Hamlet Meteorite (LL4) (Ni &amp; Co = wt%, not ppm)</t>
  </si>
  <si>
    <t>MR-MJG-039</t>
  </si>
  <si>
    <t>Tieschitz Meteorite (H3) (Ni &amp; Co = wt%, not ppm)</t>
  </si>
  <si>
    <t>MR-MJG-111</t>
  </si>
  <si>
    <t>Nogoya Meteorite (C2M)</t>
  </si>
  <si>
    <t>MR-MJG-030</t>
  </si>
  <si>
    <t>Collescipoli Meteorite (H5) (Ni &amp; Co = wt%, not ppm)</t>
  </si>
  <si>
    <t>MR-MJG-048</t>
  </si>
  <si>
    <t>GT Prior, Min. Mag., 1918,18,p173</t>
  </si>
  <si>
    <t>Homestead Meteorite (L5) (Ni &amp; Co = wt%, not ppm)</t>
  </si>
  <si>
    <t>MR-MJG-035</t>
  </si>
  <si>
    <t>GT Prior, Min. Mag., 1926,21,p190</t>
  </si>
  <si>
    <t>Queen's Mercy Meteorite (H6) (analysis of unsoluble silicate (pyx))</t>
  </si>
  <si>
    <t>MR-MJG-059</t>
  </si>
  <si>
    <t>GR Levi-Donati &amp; E Jarosevich, Meteor. 1972, 7, p109.</t>
  </si>
  <si>
    <t>Girgenti Meteorite (L6) (Ni &amp; Co = wt%, not ppm)</t>
  </si>
  <si>
    <t>MR-MJG-054</t>
  </si>
  <si>
    <t>Journal Geo. Resch., 1961, 66, p3574.</t>
  </si>
  <si>
    <t>Bruderheim Meteorite (L6) (Ni &amp; Co = wt%, not ppm)</t>
  </si>
  <si>
    <t>MR-MJG-042</t>
  </si>
  <si>
    <t>R.Hutchinson et al, Proc.Roy.Soc.London,1981,A374,p159</t>
  </si>
  <si>
    <t>Quenggouk Meteorite (H4) (Ni &amp; Co = %, not ppm)</t>
  </si>
  <si>
    <t>MR-MJG-120</t>
  </si>
  <si>
    <t>TS McCarthy, et al, Earth Planet.Sci.Lett.,1972,14,p97</t>
  </si>
  <si>
    <t>Leoville Meteorite (C3V) (Pure elements, not oxides)</t>
  </si>
  <si>
    <t>MR-MJG-123</t>
  </si>
  <si>
    <t>B Mason &amp; HB Wiik, Am.Mus.Novit., 1962 (2115)</t>
  </si>
  <si>
    <t>Karoonda Meteorite (C3V) (Ni &amp; Co = %, not ppm)</t>
  </si>
  <si>
    <t>MR-MJG-079</t>
  </si>
  <si>
    <t>B Mason &amp; HB Wiik, Am.Mus.Novit., 1966 (2272)</t>
  </si>
  <si>
    <t>Rose City Meteorite (HB) (Ni &amp; Co = %, not ppm)</t>
  </si>
  <si>
    <t>MR-MJG-113</t>
  </si>
  <si>
    <t>LH Ahrens, et al, Meteor. 1973,8,p133</t>
  </si>
  <si>
    <t>Kainsaz Meteorite (C3O) (Ni = %NiO)</t>
  </si>
  <si>
    <t>LS-CMP-007</t>
  </si>
  <si>
    <t>HJ Rose, et al, Proc.Lunar Sci.Conf.6th,1975,p1363</t>
  </si>
  <si>
    <t>Matrix chemistry of Apollo 16 Reg. Breccia #60019</t>
  </si>
  <si>
    <t>LS-CMP-004</t>
  </si>
  <si>
    <t>Edward W. Wolfe, et al, Geol. Invest. T-L Valley, USGS 1981.</t>
  </si>
  <si>
    <t>Apollo 17 Metatroctolite #76535</t>
  </si>
  <si>
    <t>LS-CMP-005</t>
  </si>
  <si>
    <t>Edward W. Wolfe et al, Geol. Invest. T-L Valley, USGS, 1981</t>
  </si>
  <si>
    <t>Apollo 17 Metadunite Cataclastite #72415</t>
  </si>
  <si>
    <t>LS-CMP-012</t>
  </si>
  <si>
    <t>Wolfe, Edward W., et al, 1981.</t>
  </si>
  <si>
    <t>Pyroxene of Apollo 17 Norite #78235,34</t>
  </si>
  <si>
    <t>LS-CMP-011,-JBA-122</t>
  </si>
  <si>
    <t>ANO</t>
  </si>
  <si>
    <t>Ryder, Graham. Catalog of Apollo 15 Rocks. Houston: NASA, 1985.</t>
  </si>
  <si>
    <t>Pristine Lunar Anorthosite #15415,123</t>
  </si>
  <si>
    <t>LS-JBA-124</t>
  </si>
  <si>
    <t>GLS</t>
  </si>
  <si>
    <t>Green glass from Apollo 15 Breccia #15259</t>
  </si>
  <si>
    <t>LS-JBA-123</t>
  </si>
  <si>
    <t>Bulk separated green glass spherules of Apollo 15 #15426,38</t>
  </si>
  <si>
    <t>LS-JBA-212</t>
  </si>
  <si>
    <t>Wolfe, Edward W. et al, 1981.</t>
  </si>
  <si>
    <t>Apollo 17 Polymict Breccia 72255, avg of 4 matrix analyses</t>
  </si>
  <si>
    <t>LS-CMP-015-R3</t>
  </si>
  <si>
    <t>Pieters &amp; Taylor, Proc.LunarPlanet.Sci.Conf. 19th, pp115-125</t>
  </si>
  <si>
    <t>Clast R3 of Apollo 16 regolith breccia 60019,215</t>
  </si>
  <si>
    <t>LS-CMP-015-R1</t>
  </si>
  <si>
    <t>Pieters &amp; Taylor, Proc.Lunar Planet.Sci.Conf. 19th, pp115-125</t>
  </si>
  <si>
    <t>Spot R1 of Apollo 16 regolith breccia chip 60019,215</t>
  </si>
  <si>
    <t>LS-CMP-015-R2</t>
  </si>
  <si>
    <t>Pieters &amp; Taylor, Proc. Lunar Planet. Sci. Conf. 19th, pp115-125</t>
  </si>
  <si>
    <t>Spot R2 of Apollo 16 regolith breccia chip 60019,215</t>
  </si>
  <si>
    <t>LS-CMP-015-S3</t>
  </si>
  <si>
    <t>Matrix area S3 of Apollo 16 regolith breccia chip 60019,215</t>
  </si>
  <si>
    <t>RS-CMP-046</t>
  </si>
  <si>
    <t>Geochimica et Cosmochimica Acta 1956, p279</t>
  </si>
  <si>
    <t>Boriskino Meteorite</t>
  </si>
  <si>
    <t>MH-CMP-001</t>
  </si>
  <si>
    <t>McKinney Meteorite</t>
  </si>
  <si>
    <t>MR-MJG-014</t>
  </si>
  <si>
    <t>Smithsonian Contributions to Earth Sciences, 1979,22,p30</t>
  </si>
  <si>
    <t>Moore County Meteorite</t>
  </si>
  <si>
    <t>MH-CMP-002</t>
  </si>
  <si>
    <t>Dodd, et al, Geochimica et Cosmochimica Acta, 1967,31,p921</t>
  </si>
  <si>
    <t>Barratta Meteorite</t>
  </si>
  <si>
    <t>MH-CMP-015</t>
  </si>
  <si>
    <t>Goodland Meteorite</t>
  </si>
  <si>
    <t>RS-CMP-063</t>
  </si>
  <si>
    <t>Dodd, et. al., Geochimica et Cosmochimica Acta, 1967,31,p921</t>
  </si>
  <si>
    <t>Krymka Meteorite</t>
  </si>
  <si>
    <t>OLSEN, et al, Meteor.1977,12,p109 (Ni = % not ppm)</t>
  </si>
  <si>
    <t>Happy Canyon E7 Enstatite Chondrite Bulk Analysis</t>
  </si>
  <si>
    <t>MH-JFB-021</t>
  </si>
  <si>
    <t>Pop. Astron., 1948, 56, p385</t>
  </si>
  <si>
    <t>Cavour Meteorite (soluble silicates)</t>
  </si>
  <si>
    <t>LS-CMP-022</t>
  </si>
  <si>
    <t>R. Warner et al, 1980</t>
  </si>
  <si>
    <t>DBA analysis of glass coat on Apollo 16 60035</t>
  </si>
  <si>
    <t>LS-CMP-023</t>
  </si>
  <si>
    <t>Blanchard (1973 unpublished);INAA</t>
  </si>
  <si>
    <t>Bulk analysis of Apollo 15 Breccia 15565,3</t>
  </si>
  <si>
    <t>MI-CMP-009</t>
  </si>
  <si>
    <t>B Mason &amp; HB Wiik, Geochim Cosmochim Acta, 1969, 21, p276</t>
  </si>
  <si>
    <t>Holbrook Meteorite Fo74 En76 An15</t>
  </si>
  <si>
    <t>MR-MJG-011</t>
  </si>
  <si>
    <t>Min. Mag., 1977, 41, p201</t>
  </si>
  <si>
    <t>Kakangari Meteorite</t>
  </si>
  <si>
    <t>MR-MJG-012</t>
  </si>
  <si>
    <t>Min. Mag. 1977, 41, p201</t>
  </si>
  <si>
    <t>Pontylfni Meteorite</t>
  </si>
  <si>
    <t>MH-JFB-025</t>
  </si>
  <si>
    <t>Meteoritika 1969, 29, p91</t>
  </si>
  <si>
    <t>Dimmit Meteorite</t>
  </si>
  <si>
    <t>RS-CMP-048</t>
  </si>
  <si>
    <t>Meteoritika 1977, 36, p46</t>
  </si>
  <si>
    <t>Gorlovka meteorite</t>
  </si>
  <si>
    <t>MH-CMP-011</t>
  </si>
  <si>
    <t>Am. Mus. Novit. 1966 (2273)</t>
  </si>
  <si>
    <t>Tadjera meteorite</t>
  </si>
  <si>
    <t>PA-CMP-051</t>
  </si>
  <si>
    <t>ACT</t>
  </si>
  <si>
    <t>R Burns &amp; C Greaves, Am Min 1971, 56, p2010</t>
  </si>
  <si>
    <t>Actinolite, glaucophane schist, Berkeley, CA</t>
  </si>
  <si>
    <t>PA-CMP-052</t>
  </si>
  <si>
    <t>Actinolite, metamorphosed iron fm, Quebec</t>
  </si>
  <si>
    <t>PA-CMP-053</t>
  </si>
  <si>
    <t>R Burns &amp; C Greaves, Am Min, 1971, 56, p2010</t>
  </si>
  <si>
    <t>Actinolite, in qtzite, Cumberland, RI</t>
  </si>
  <si>
    <t>FB-CMP-001</t>
  </si>
  <si>
    <t>P. Pinet &amp; S. Chevrel basalt powder #5</t>
  </si>
  <si>
    <t>FB-CMP-002</t>
  </si>
  <si>
    <t>P. Pinet &amp; S. Chevrel basalt powder #8</t>
  </si>
  <si>
    <t>FB-CMP-003</t>
  </si>
  <si>
    <t>P. Pinet &amp; S. Chevrel basalt powder #13</t>
  </si>
  <si>
    <t>FB-CMP-004</t>
  </si>
  <si>
    <t>P. Pinet &amp; S. Chevrel basalt powder #18</t>
  </si>
  <si>
    <t>FB-CMP-005</t>
  </si>
  <si>
    <t>P. Pinet &amp; S. Chevrel basalt powder #30</t>
  </si>
  <si>
    <t>SB-RGB-050</t>
  </si>
  <si>
    <t>HED</t>
  </si>
  <si>
    <t>Hedenbergite sample # 90326</t>
  </si>
  <si>
    <t>Osborne, et al (1978) Proc. Lunar Planet. Sci. Conf., 9th, p. 2951</t>
  </si>
  <si>
    <t>SB-RGB-021</t>
  </si>
  <si>
    <t>HEDE</t>
  </si>
  <si>
    <t>Microprobe analysis by D. Straub</t>
  </si>
  <si>
    <t>Hedenbergite sample # 119668</t>
  </si>
  <si>
    <t>SB-RGB-015</t>
  </si>
  <si>
    <t>Hedenbergite sample # 126736</t>
  </si>
  <si>
    <t>PIG</t>
  </si>
  <si>
    <t>Osborne et al, 1978. Proc. Lunar Planet. Sci. Conf. 9th, p. 295</t>
  </si>
  <si>
    <t>Wo16 En48 Fs37 from Hakone Volcano, Japan, Gift of H. Kuno</t>
  </si>
  <si>
    <t>SB-RGB-049</t>
  </si>
  <si>
    <t>OPX</t>
  </si>
  <si>
    <t>Analysis provided by J. Besancon</t>
  </si>
  <si>
    <t>Unknown origin, gift of J. Besancon</t>
  </si>
  <si>
    <t>PA-RGB-024</t>
  </si>
  <si>
    <t>AUG</t>
  </si>
  <si>
    <t>Osborne et al, 1978. Proc. Lunar. Planet. Sci. Conf., 9th, p.2950.</t>
  </si>
  <si>
    <t>Wo46 En41 Fs10, Frome, Norway, Provided by R.Huguenin</t>
  </si>
  <si>
    <t>SB-RGB-051</t>
  </si>
  <si>
    <t>R.G. Burns/MIT</t>
  </si>
  <si>
    <t>Site Occup. study, sample TZHP</t>
  </si>
  <si>
    <t>SB-RGB-052</t>
  </si>
  <si>
    <t>R.G. Burns, MIT</t>
  </si>
  <si>
    <t>Site Occup. Study, sample 337</t>
  </si>
  <si>
    <t>SB-RGB-053</t>
  </si>
  <si>
    <t>Site occupancy study, sample 230</t>
  </si>
  <si>
    <t>SB-RGB-055</t>
  </si>
  <si>
    <t>CPX</t>
  </si>
  <si>
    <t>Ferrian Clinopyroxene, Site occupancy study, sample from Hawaii</t>
  </si>
  <si>
    <t>LS-JBA-243</t>
  </si>
  <si>
    <t>BASA</t>
  </si>
  <si>
    <t>Lofgren, G.E. and Lofgren, E.M., 1981; L&amp;P Contrib. 438, pp.304-306</t>
  </si>
  <si>
    <t>Chemistry of Lunar Mare Basalt #71055</t>
  </si>
  <si>
    <t>LS-JBA-244</t>
  </si>
  <si>
    <t>Morris, et al, Handbook of Lunar Soils, 1983, p. 772.</t>
  </si>
  <si>
    <t>Soil Chemistry of Apollo 17 "light mantle" #73260</t>
  </si>
  <si>
    <t>LS-JBA-245</t>
  </si>
  <si>
    <t>McGee, et al, 1977. Intro to Apollo Collections, Part 1, p. 82.</t>
  </si>
  <si>
    <t>Coarse grained troctolite #76535 from Station 6.</t>
  </si>
  <si>
    <t>LS-JBA-246</t>
  </si>
  <si>
    <t>McGee, et al, 1979. Intro. to Apollo Collec. Part 2 p.188.</t>
  </si>
  <si>
    <t>Granulitic Impactite form Apollo 17, Sample #79215</t>
  </si>
  <si>
    <t>LS-JBA-247</t>
  </si>
  <si>
    <t>Morris, et al, 1983. Handbook of Lunar Soils, Part 2, p.782.</t>
  </si>
  <si>
    <t>Soil #74120 from Apollo 17</t>
  </si>
  <si>
    <t>LS-JBA-248</t>
  </si>
  <si>
    <t>McGee et al, 1977. Intro to Apollo Collec., Part 1, p.82</t>
  </si>
  <si>
    <t>Apollo 17 Orange Glass pyroclastic sample #74220</t>
  </si>
  <si>
    <t>LS-JBA-250</t>
  </si>
  <si>
    <t>Lofgren &amp; Lofgren, 1981. L &amp; P Contrib. 438, p.348.</t>
  </si>
  <si>
    <t>Apollo 17 sample #74235, Mare Basalt</t>
  </si>
  <si>
    <t>LS-JBA-251</t>
  </si>
  <si>
    <t>Morris et al, 1983. Handbook of Lunar Soils, Part 2, p.800.</t>
  </si>
  <si>
    <t>Apollo 17 soil sample #74240</t>
  </si>
  <si>
    <t>LS-JBA-252</t>
  </si>
  <si>
    <t>Lofgren &amp; Lofgren, 1981, L and P Contrib. 438, p.357</t>
  </si>
  <si>
    <t>LS-JBA-253</t>
  </si>
  <si>
    <t>Lofgren &amp; Lofgren, 1981, L and P Contrib. 438, p.366.</t>
  </si>
  <si>
    <t>Apollo 17 sample #75055 Mare Basalt</t>
  </si>
  <si>
    <t>LS-JBA-254</t>
  </si>
  <si>
    <t>McGee et al, 1979. Intro to Apollo Collec., Part 2, pp. 186-7</t>
  </si>
  <si>
    <t>Apollo 17 Impact Breccia matrix sample #76315</t>
  </si>
  <si>
    <t>LS-JBA-255</t>
  </si>
  <si>
    <t>McGee et al, 1979. Intro to the Apollo Collec. Part 2, pp.188-9.</t>
  </si>
  <si>
    <t>Apollo 17 Granulitic Impactite sample #77017</t>
  </si>
  <si>
    <t>LS-JBA-256</t>
  </si>
  <si>
    <t>Wanke et al, 1975. PLSC 6, pp. 1313-40.</t>
  </si>
  <si>
    <t>Apollo 17 regolith breccia #79035</t>
  </si>
  <si>
    <t>LS-JBA-257</t>
  </si>
  <si>
    <t>Lofgren &amp; Lofgren, 1981. L and P Contrib. 438, p. 276</t>
  </si>
  <si>
    <t>Apollo 17 Mare Basalt #70017</t>
  </si>
  <si>
    <t>LS-JBA-258</t>
  </si>
  <si>
    <t>Lofgren &amp; Lofgren, 1981. L and P Contrib. 438, p.288.</t>
  </si>
  <si>
    <t>Apollo 17 Mare Basalt #70215</t>
  </si>
  <si>
    <t>LS-JBA-259</t>
  </si>
  <si>
    <t>Ryder &amp; Norman, 1980. Catalog of Apollo 16 Rocks, p.1103.</t>
  </si>
  <si>
    <t>Apollo 16 Glassy Melt Breccia #69935</t>
  </si>
  <si>
    <t>LS-JBA-260</t>
  </si>
  <si>
    <t>Bansal et al., 1973. EPSL 17, p. 29.</t>
  </si>
  <si>
    <t>Apollo 16 Soil sample #68501</t>
  </si>
  <si>
    <t>Apollo 16 P.E.T., 1973, Science, Vol. 179, 23-34.</t>
  </si>
  <si>
    <t>Apollo 16 Soil sample #67480</t>
  </si>
  <si>
    <t>LS-JBA-262</t>
  </si>
  <si>
    <t>Lofgren &amp; Lofgren, 1981. L &amp; P Contrib. 438, p. 166</t>
  </si>
  <si>
    <t>Apollo 12 Mare Basalt sample #12063</t>
  </si>
  <si>
    <t>LS-JBA-263</t>
  </si>
  <si>
    <t>Apollo 17 PET, 1974, Vol. 182, p. 659-672.</t>
  </si>
  <si>
    <t>Apollo 17 Soil sample #75080</t>
  </si>
  <si>
    <t>LS-JBA-264</t>
  </si>
  <si>
    <t>McGee et al, 1977. Intro to Apollo Collect. Part 1, pp.78-79.</t>
  </si>
  <si>
    <t>Porphyritic Pyroxene Basalt #10003</t>
  </si>
  <si>
    <t>LS-JBA-265</t>
  </si>
  <si>
    <t>Lofgren &amp; Lofgren, 1981. L &amp; P Contrib. 438, p.15.</t>
  </si>
  <si>
    <t>Apollo 11 Mare Basalt sample #10022</t>
  </si>
  <si>
    <t>LS-JBA-266</t>
  </si>
  <si>
    <t>Lofgren &amp; Lofgren, 1981. L &amp; P Contrib. 438, p. 151.</t>
  </si>
  <si>
    <t>Apoll 12 Mare Basalt sample #12053</t>
  </si>
  <si>
    <t>LS-CMP-030</t>
  </si>
  <si>
    <t>Morris et al, 1983. Handbook of Lunar Soils, p. 490</t>
  </si>
  <si>
    <t>Apollo 16 Soil #62230</t>
  </si>
  <si>
    <t>LS-CMP-039</t>
  </si>
  <si>
    <t>Morris, et al, 1983. Handbook of Lunar Soils, Part 1, p. 346.</t>
  </si>
  <si>
    <t>Apollo 15 sample # 15261 from Station 6.</t>
  </si>
  <si>
    <t>LS-CMP-040</t>
  </si>
  <si>
    <t>Ryder, G., 1985. Catalog of Apollo 15 Rocks, Part 2, pp.339-344.</t>
  </si>
  <si>
    <t>Apollo 15 Regolith Breccia #15306</t>
  </si>
  <si>
    <t>LS-CMP-041</t>
  </si>
  <si>
    <t>Ryder, G., 1985. Catalog of Apollo 15 Rocks, Part 3, pp. 789-797.</t>
  </si>
  <si>
    <t>Apollo 15 Mare Basalt #15476</t>
  </si>
  <si>
    <t>LS-CMP-042</t>
  </si>
  <si>
    <t>Ryder and Norman, 1980. Catalog of Apollo 16 Rocks, pp. 791-797.</t>
  </si>
  <si>
    <t>Apollo 16 Fragmental Polymict Breccia #67035.</t>
  </si>
  <si>
    <t>LS-CMP-037</t>
  </si>
  <si>
    <t>Fruland, R.M., 1983. Regolith Breccia Workbook, p. 146.</t>
  </si>
  <si>
    <t>Apollo 14 Regolith Breccia #14047</t>
  </si>
  <si>
    <t>LS-CMP-034</t>
  </si>
  <si>
    <t>Lofgren &amp; Lofgren, 1981. Lunar and Plan. Contrib. 438, p.58.</t>
  </si>
  <si>
    <t>Apollo 12 Mare Basalt Sample #12002</t>
  </si>
  <si>
    <t>LS-CMP-065</t>
  </si>
  <si>
    <t>Lofgren &amp; Lofgren, 1981. Lunar and Plan. Contrib. 438, p.172.</t>
  </si>
  <si>
    <t>Apollo 12 Mare Basalt Sample #12065</t>
  </si>
  <si>
    <t>RK-CMP-091</t>
  </si>
  <si>
    <t>ACTI</t>
  </si>
  <si>
    <t>Brown University</t>
  </si>
  <si>
    <t>JFM Actinolite #1</t>
  </si>
  <si>
    <t>RK-CMP-092</t>
  </si>
  <si>
    <t>JFM Actinolite powder #2</t>
  </si>
  <si>
    <t>RK-CMP-094</t>
  </si>
  <si>
    <t>JFM Actinolite #4</t>
  </si>
  <si>
    <t>RK-CMP-095</t>
  </si>
  <si>
    <t>JFM Actinolite #5</t>
  </si>
  <si>
    <t>RK-CMP-096</t>
  </si>
  <si>
    <t>JFM Actinolite #6</t>
  </si>
  <si>
    <t>RK-CMP-097</t>
  </si>
  <si>
    <t>JFM Actinolite #7</t>
  </si>
  <si>
    <t>PA-CMP-040</t>
  </si>
  <si>
    <t>JFM Actinolite 8</t>
  </si>
  <si>
    <t>PA-CMP-041</t>
  </si>
  <si>
    <t>TREM</t>
  </si>
  <si>
    <t>JFM Actinolite 9</t>
  </si>
  <si>
    <t>PA-CMP-042</t>
  </si>
  <si>
    <t>JFM Actinolite #10</t>
  </si>
  <si>
    <t>PA-CMP-043</t>
  </si>
  <si>
    <t>JFM Actinolite 11</t>
  </si>
  <si>
    <t>PA-CMP-044</t>
  </si>
  <si>
    <t>JFM Actinolite 12</t>
  </si>
  <si>
    <t>PA-CMP-045</t>
  </si>
  <si>
    <t>JFM Actinolite 13</t>
  </si>
  <si>
    <t>PA-CMP-049</t>
  </si>
  <si>
    <t>JFM Actinolite 17</t>
  </si>
  <si>
    <t>PA-CMP-050</t>
  </si>
  <si>
    <t>JFM Actinolite 18</t>
  </si>
  <si>
    <t>Burns and Greaves (1970)</t>
  </si>
  <si>
    <t>RGB Berkeley #14785</t>
  </si>
  <si>
    <t>Mitchell el at(1970)</t>
  </si>
  <si>
    <t>RGB USNM #44973</t>
  </si>
  <si>
    <t>Mueller (1960)</t>
  </si>
  <si>
    <t>RGB Mueller 12BA</t>
  </si>
  <si>
    <t>RK-CMP-083</t>
  </si>
  <si>
    <t>TALC</t>
  </si>
  <si>
    <t>JFM KK 9a</t>
  </si>
  <si>
    <t>RK-CMP-084</t>
  </si>
  <si>
    <t>TRE</t>
  </si>
  <si>
    <t>JFM KK 9g</t>
  </si>
  <si>
    <t>RB-JFM-042</t>
  </si>
  <si>
    <t>Differentiated Basalt</t>
  </si>
  <si>
    <t>RB-JFM-043</t>
  </si>
  <si>
    <t>High Al Olivine Tholecite Primative Basalt</t>
  </si>
  <si>
    <t>RB-JFM-044</t>
  </si>
  <si>
    <t>RB-JFM-045</t>
  </si>
  <si>
    <t>High Al Olivine Tholecite Primitive Basalt</t>
  </si>
  <si>
    <t>RB-JFM-046</t>
  </si>
  <si>
    <t>Primative Basalt</t>
  </si>
  <si>
    <t>SB-RGB-070</t>
  </si>
  <si>
    <t>BIO</t>
  </si>
  <si>
    <t>Dyar and Burns, Amer. Min., 71, 955-965 (1986)</t>
  </si>
  <si>
    <t>Fe(2+) rich Annite</t>
  </si>
  <si>
    <t>SB-RGB-063</t>
  </si>
  <si>
    <t>Fe(2+) in equal proportion to Fe(3+)</t>
  </si>
  <si>
    <t>SB-RGB-064</t>
  </si>
  <si>
    <t>Flourine-rich</t>
  </si>
  <si>
    <t>SB-RGB-065</t>
  </si>
  <si>
    <t>Burns and Greaves, Amer. Min., 56, 2010 (1971)</t>
  </si>
  <si>
    <t>Klein #11B. Actinolite. Standard and Heated</t>
  </si>
  <si>
    <t>SB-RGB-067</t>
  </si>
  <si>
    <t>GLU</t>
  </si>
  <si>
    <t>Bancroft and Burns, Min. Soc. Amer., Spec. Pap. #2, 138 (1969)</t>
  </si>
  <si>
    <t>UC Berkeley 330-M-19B. Glaucophane. Standard and heated.</t>
  </si>
  <si>
    <t>SB-RGB-068</t>
  </si>
  <si>
    <t>HBD</t>
  </si>
  <si>
    <t>Burns and Greaves, Am. Min., 56, 2010 (1971)</t>
  </si>
  <si>
    <t>Cambridge Univ. #613. Hornblende.</t>
  </si>
  <si>
    <t>SB-RGB-069</t>
  </si>
  <si>
    <t>RIE</t>
  </si>
  <si>
    <t>Cambridg Univ. 93995. Riebeckite.</t>
  </si>
  <si>
    <t>LS-CMP-050</t>
  </si>
  <si>
    <t>Morris et al., 1983. Handbook of Lunar Soils, Part 1, p. 194.</t>
  </si>
  <si>
    <t>Apollo 14 soil #14141 from Station C.</t>
  </si>
  <si>
    <t>LS-CMP-051</t>
  </si>
  <si>
    <t>Morris et al., 1983. Handbook of Lunar Soils, Part 2, p. 898</t>
  </si>
  <si>
    <t>Apollo 17 soil #79221 from Station 9.</t>
  </si>
  <si>
    <t>LS-CMP-053</t>
  </si>
  <si>
    <t>Morris et al., 1983. Handbook of Lunar Soils, Part 2, p. 696.</t>
  </si>
  <si>
    <t>Apollo 17 soil #71501 from Station 1.</t>
  </si>
  <si>
    <t>LS-CMP-054</t>
  </si>
  <si>
    <t>Morris et al., 1983. Handbook of Lunar Soils, Part 1, p. 200.</t>
  </si>
  <si>
    <t>Apollo 14 soil #14148 from Station G.</t>
  </si>
  <si>
    <t>LS-CMP-055</t>
  </si>
  <si>
    <t>Morris et al., 1983. Handbook of Lunar Soils, Part 2, p. 648.</t>
  </si>
  <si>
    <t>Apollo 16 soil #69961 from Station 9.</t>
  </si>
  <si>
    <t>LS-CMP-056</t>
  </si>
  <si>
    <t>Morris et al., 1983. Handbook of Lunar Soils, Part 2, p. 816.</t>
  </si>
  <si>
    <t>Apollo 17 soil #75080 from Station 5.</t>
  </si>
  <si>
    <t>LS-CMP-057</t>
  </si>
  <si>
    <t>Morris et al., 1983. Handbook of Lunar Soils, Part 2, p. 620.</t>
  </si>
  <si>
    <t>Apollo 16 soil #68501 from Station 8.</t>
  </si>
  <si>
    <t>LS-CMP-058</t>
  </si>
  <si>
    <t>Morris et al., 1983. Handbook of Lunar Soils, Part 1, p. 362.</t>
  </si>
  <si>
    <t>Apollo 15 soil #15301 from Station 7.</t>
  </si>
  <si>
    <t>LS-CMP-059</t>
  </si>
  <si>
    <t>Morris et al., 1983. Handbook of Lunar Soils, Part 1, p. 346.</t>
  </si>
  <si>
    <t>Apollo 15 soil #15261 from Station 6.</t>
  </si>
  <si>
    <t>LS-CMP-060</t>
  </si>
  <si>
    <t>Morris et al., 1983. Handbook of Lunar Soils, Part 1, p. 412.</t>
  </si>
  <si>
    <t>Apollo 15 soil #15601 from Station 9a.</t>
  </si>
  <si>
    <t>LS-CMP-062</t>
  </si>
  <si>
    <t>Morris et al., 1983. Handbook of Lunar Soils, Part 1, p. 84.</t>
  </si>
  <si>
    <t>Apollo 12 soil #12024</t>
  </si>
  <si>
    <t>LS-CMP-052</t>
  </si>
  <si>
    <t>Lofgren and Lofgren, 1981. Catalog of Lunar Mare Basalts, p. 362.</t>
  </si>
  <si>
    <t>Apollo 17 rock #75035</t>
  </si>
  <si>
    <t>BA-EAC-001</t>
  </si>
  <si>
    <t>Ed Cloutis, University of Alberta</t>
  </si>
  <si>
    <t>BAS101A-D</t>
  </si>
  <si>
    <t>Ed Cloutis' OLV002</t>
  </si>
  <si>
    <t>Ed Cloutis' OLV005</t>
  </si>
  <si>
    <t>OL-JMS-003</t>
  </si>
  <si>
    <t>Ed Cloutis' OLV009</t>
  </si>
  <si>
    <t>Ed Cloutis' OLV013</t>
  </si>
  <si>
    <t>OL-JMS-007</t>
  </si>
  <si>
    <t>Ed Cloutis' OLV023</t>
  </si>
  <si>
    <t>Ed Cloutis' OLV025</t>
  </si>
  <si>
    <t>OL-JMS-009</t>
  </si>
  <si>
    <t>Ed Cloutis' OLV101</t>
  </si>
  <si>
    <t>OL-JMS-010</t>
  </si>
  <si>
    <t>Ed Cloutis' OLV102</t>
  </si>
  <si>
    <t>OL-JMS-011</t>
  </si>
  <si>
    <t>Ed Cloutis' OLV103</t>
  </si>
  <si>
    <t>OL-JMS-012</t>
  </si>
  <si>
    <t>Ed Cloutis' OLV105</t>
  </si>
  <si>
    <t>OL-JMS-013</t>
  </si>
  <si>
    <t>Ed Cloutis' OLV106</t>
  </si>
  <si>
    <t>Ed Cloutis' PYX005</t>
  </si>
  <si>
    <t>PP-EAC-003</t>
  </si>
  <si>
    <t>Ed Cloutis' PYX006</t>
  </si>
  <si>
    <t>PP-EAC-004</t>
  </si>
  <si>
    <t>Ed Cloutis' PYX007</t>
  </si>
  <si>
    <t>PP-EAC-005</t>
  </si>
  <si>
    <t>Ed Cloutis' PYX010</t>
  </si>
  <si>
    <t>PP-EAC-007</t>
  </si>
  <si>
    <t>Ed Cloutis' PYX012d</t>
  </si>
  <si>
    <t>PP-EAC-008</t>
  </si>
  <si>
    <t>Ed Cloutis' PYX013</t>
  </si>
  <si>
    <t>PP-EAC-016</t>
  </si>
  <si>
    <t>Ed Cloutis' PYX016</t>
  </si>
  <si>
    <t>Ed Cloutis' PYX017</t>
  </si>
  <si>
    <t>PP-EAC-011</t>
  </si>
  <si>
    <t>Ed Cloutis' PYX019</t>
  </si>
  <si>
    <t>PP-EAC-012</t>
  </si>
  <si>
    <t>Ed Cloutis' PYX021</t>
  </si>
  <si>
    <t>PP-EAC-014</t>
  </si>
  <si>
    <t>Ed Cloutis' PYX026</t>
  </si>
  <si>
    <t>PP-EAC-015</t>
  </si>
  <si>
    <t>Ed Cloutis' PYX029</t>
  </si>
  <si>
    <t>PP-EAC-019</t>
  </si>
  <si>
    <t>Ed Cloutis' PYX033</t>
  </si>
  <si>
    <t>PP-EAC-017</t>
  </si>
  <si>
    <t>Ed Cloutis' PYX034</t>
  </si>
  <si>
    <t>PP-EAC-018</t>
  </si>
  <si>
    <t>Ed Cloutis' PYX035</t>
  </si>
  <si>
    <t>PP-EAC-079</t>
  </si>
  <si>
    <t>Ed Cloutis' PYX037</t>
  </si>
  <si>
    <t>PP-EAC-086</t>
  </si>
  <si>
    <t>Ed Cloutis' PYX038</t>
  </si>
  <si>
    <t>PP-EAC-028</t>
  </si>
  <si>
    <t>Ed Cloutis' PYX039</t>
  </si>
  <si>
    <t>PP-EAC-029</t>
  </si>
  <si>
    <t>Ed Cloutis' PYX040</t>
  </si>
  <si>
    <t>PP-EAC-031</t>
  </si>
  <si>
    <t>Ed Cloutis' PYX041</t>
  </si>
  <si>
    <t>PP-EAC-088</t>
  </si>
  <si>
    <t>Ed Cloutis' PYX044</t>
  </si>
  <si>
    <t>PP-EAC-089</t>
  </si>
  <si>
    <t>Ed Cloutis' PYX101</t>
  </si>
  <si>
    <t>PP-EAC-039</t>
  </si>
  <si>
    <t>Ed Cloutis' PYX102</t>
  </si>
  <si>
    <t>PP-EAC-041</t>
  </si>
  <si>
    <t>Ed Cloutis' PYX105</t>
  </si>
  <si>
    <t>PP-EAC-045</t>
  </si>
  <si>
    <t>Ed Cloutis' PYX109</t>
  </si>
  <si>
    <t>PP-EAC-047</t>
  </si>
  <si>
    <t>Ed Cloutis' PYX110</t>
  </si>
  <si>
    <t>Ed Cloutis' PYX114</t>
  </si>
  <si>
    <t>PP-EAC-051</t>
  </si>
  <si>
    <t>Ed Cloutis' PYX116</t>
  </si>
  <si>
    <t>Ed Cloutis' PYX119</t>
  </si>
  <si>
    <t>PP-EAC-053</t>
  </si>
  <si>
    <t>Ed Cloutis' PYX120</t>
  </si>
  <si>
    <t>PP-EAC-055</t>
  </si>
  <si>
    <t>Ed Cloutis' PYX121</t>
  </si>
  <si>
    <t>PP-EAC-057</t>
  </si>
  <si>
    <t>Ed Cloutis' PYX122</t>
  </si>
  <si>
    <t>PP-EAC-061</t>
  </si>
  <si>
    <t>Ed Cloutis' PYX126</t>
  </si>
  <si>
    <t>PP-EAC-063</t>
  </si>
  <si>
    <t>Ed Cloutis' PYX127</t>
  </si>
  <si>
    <t>PP-EAC-065</t>
  </si>
  <si>
    <t>Ed Cloutis' PYX128</t>
  </si>
  <si>
    <t>PP-EAC-059</t>
  </si>
  <si>
    <t>Ed Cloutis' PYX130</t>
  </si>
  <si>
    <t>PP-EAC-067</t>
  </si>
  <si>
    <t>Ed Cloutis' PYX132</t>
  </si>
  <si>
    <t>PP-EAC-071</t>
  </si>
  <si>
    <t>Ed Cloutis' PYX134</t>
  </si>
  <si>
    <t>PP-EAC-072</t>
  </si>
  <si>
    <t>Ed Cloutis' PYX152</t>
  </si>
  <si>
    <t>PP-EAC-090</t>
  </si>
  <si>
    <t>Ed Cloutis' PYX153</t>
  </si>
  <si>
    <t>PP-EAC-013</t>
  </si>
  <si>
    <t>Ed Cloutis' PYX023</t>
  </si>
  <si>
    <t>Ed Cloutis' PYX042</t>
  </si>
  <si>
    <t>PP-EAC-043</t>
  </si>
  <si>
    <t>Ed Cloutis' PYX108</t>
  </si>
  <si>
    <t>SC-EAC-068</t>
  </si>
  <si>
    <t>Ed Cloutis' OLV201</t>
  </si>
  <si>
    <t>SC-EAC-069</t>
  </si>
  <si>
    <t>Ed Cloutis' PYX151</t>
  </si>
  <si>
    <t>SC-EAC-070</t>
  </si>
  <si>
    <t>Ed Cloutis' PYX131</t>
  </si>
  <si>
    <t>Ed Cloutis' PYX135</t>
  </si>
  <si>
    <t>JB-CMP-001</t>
  </si>
  <si>
    <t>MON</t>
  </si>
  <si>
    <t>100% FeCl2, pH=7</t>
  </si>
  <si>
    <t>JB-CMP-009</t>
  </si>
  <si>
    <t>300% FeCl2, O2, pH=7</t>
  </si>
  <si>
    <t>JB-CMP-016</t>
  </si>
  <si>
    <t>100% FeCl3</t>
  </si>
  <si>
    <t>JB-CMP-017</t>
  </si>
  <si>
    <t>300% FeCl3</t>
  </si>
  <si>
    <t>JB-CMP-018</t>
  </si>
  <si>
    <t>600% FeCl3, There is a previous measurement also.</t>
  </si>
  <si>
    <t>JB-CMP-019</t>
  </si>
  <si>
    <t>100% MgCl2</t>
  </si>
  <si>
    <t>JB-CMP-035</t>
  </si>
  <si>
    <t>600% FeCl3, pH=5</t>
  </si>
  <si>
    <t>JB-CMP-036</t>
  </si>
  <si>
    <t>600% Fe2(SO4)3, pH=4</t>
  </si>
  <si>
    <t>JB-CMP-037</t>
  </si>
  <si>
    <t>600% FeCl3, CO2, pH=4</t>
  </si>
  <si>
    <t>IO-RVM-001</t>
  </si>
  <si>
    <t>IOR</t>
  </si>
  <si>
    <t>British Chemical Standards No. 301/1</t>
  </si>
  <si>
    <t>Lincolnshire Iron Ore</t>
  </si>
  <si>
    <t>FM-JGS-003</t>
  </si>
  <si>
    <t>XRF</t>
  </si>
  <si>
    <t>Pseudotachylyte bulk</t>
  </si>
  <si>
    <t>FM-JGS-001</t>
  </si>
  <si>
    <t>EDS raster analyses</t>
  </si>
  <si>
    <t>Pseudotachylyte matrix</t>
  </si>
  <si>
    <t>Microprobe fused bead / INAA at JSC by Graham Ryder, LPI.</t>
  </si>
  <si>
    <t>Sm 15.4 ppm, Sc 17.6 ppm</t>
  </si>
  <si>
    <t>LS-CMP-029</t>
  </si>
  <si>
    <t>Sm 18.5 ppm, Sc 17.7 ppm.</t>
  </si>
  <si>
    <t>LS-CMP-018</t>
  </si>
  <si>
    <t>Sm 33.0 ppm, Sc 23.1 ppm.</t>
  </si>
  <si>
    <t>LS-CMP-028</t>
  </si>
  <si>
    <t>Sm 14.8 ppm, Sc 16.0 ppm.</t>
  </si>
  <si>
    <t>LS-CMP-077</t>
  </si>
  <si>
    <t>Sm 13.2 ppm, Sc 15.0 ppm.</t>
  </si>
  <si>
    <t>LS-CMP-079</t>
  </si>
  <si>
    <t>Sm 16.6 ppm, Sc 17.4 ppm.</t>
  </si>
  <si>
    <t>LS-CMP-035</t>
  </si>
  <si>
    <t>Sm 14.4 ppm, Sc 15.7 ppm.</t>
  </si>
  <si>
    <t>AM-JFM-001</t>
  </si>
  <si>
    <t>AM-JFM-002</t>
  </si>
  <si>
    <t>AM-JFM-003</t>
  </si>
  <si>
    <t>AM-JFM-004</t>
  </si>
  <si>
    <t>AM-JFM-005</t>
  </si>
  <si>
    <t>AM-JFM-006</t>
  </si>
  <si>
    <t>SC-EAC-074</t>
  </si>
  <si>
    <t>HERC</t>
  </si>
  <si>
    <t>Univ. of Alberta</t>
  </si>
  <si>
    <t>HER101</t>
  </si>
  <si>
    <t>CR-EAC-011</t>
  </si>
  <si>
    <t>CHR</t>
  </si>
  <si>
    <t>Univ. of Calgary and Univ. of Alberta</t>
  </si>
  <si>
    <t>CHR101</t>
  </si>
  <si>
    <t>SC-EAC-066</t>
  </si>
  <si>
    <t>MEL</t>
  </si>
  <si>
    <t>MEL101</t>
  </si>
  <si>
    <t>SC-EAC-067</t>
  </si>
  <si>
    <t>Univ. of Calgary &amp; Univ. of Alberta</t>
  </si>
  <si>
    <t>MEL103</t>
  </si>
  <si>
    <t>PV-EAC-001</t>
  </si>
  <si>
    <t>PER</t>
  </si>
  <si>
    <t>PER101</t>
  </si>
  <si>
    <t>CR-EAC-012</t>
  </si>
  <si>
    <t>CHR102</t>
  </si>
  <si>
    <t>PP-EAC-097</t>
  </si>
  <si>
    <t>PYX170</t>
  </si>
  <si>
    <t>PP-EAC-098</t>
  </si>
  <si>
    <t>PYX171</t>
  </si>
  <si>
    <t>PP-EAC-096</t>
  </si>
  <si>
    <t>PYX172</t>
  </si>
  <si>
    <t>PP-EAC-094</t>
  </si>
  <si>
    <t>Univ. of Calgary</t>
  </si>
  <si>
    <t>PYX129</t>
  </si>
  <si>
    <t>PP-EAC-093</t>
  </si>
  <si>
    <t>PYX124</t>
  </si>
  <si>
    <t>CC-JFM-018</t>
  </si>
  <si>
    <t>Carlton Allen at JSC</t>
  </si>
  <si>
    <t>JSC Mars-1</t>
  </si>
  <si>
    <t>LS-CMP-088</t>
  </si>
  <si>
    <t>Frondel et al., 1971 (&lt;37um)</t>
  </si>
  <si>
    <t>Ropy brown glass (possibly from Copernicus impact)</t>
  </si>
  <si>
    <t>LS-CMP-093</t>
  </si>
  <si>
    <t>Cuttitta et al., 1971</t>
  </si>
  <si>
    <t>LS-CMP-097</t>
  </si>
  <si>
    <t>BSLT</t>
  </si>
  <si>
    <t>Haskin et al., 1973</t>
  </si>
  <si>
    <t>Glass-coated basaltic impact melt (possibly from South Ray Crater format</t>
  </si>
  <si>
    <t>Glass-coated basaltic impact (possibly from South Ray Crater formation)</t>
  </si>
  <si>
    <t>PMLT</t>
  </si>
  <si>
    <t>MT-JFM-005</t>
  </si>
  <si>
    <t>MM-MJR-002</t>
  </si>
  <si>
    <t>MST-1 glass composition</t>
  </si>
  <si>
    <t>MST-1 pigeonite composition</t>
  </si>
  <si>
    <t>MM-MJR-031</t>
  </si>
  <si>
    <t>Glass component of MST-25</t>
  </si>
  <si>
    <t>MM-MJR-047</t>
  </si>
  <si>
    <t>Brown Univ.</t>
  </si>
  <si>
    <t>SFA3-1 (047), SFA3-2 (048), SFA3-3 (049)</t>
  </si>
  <si>
    <t>MT-MJR-045</t>
  </si>
  <si>
    <t>SFA2-14 (MT-MJR-045), SFA2-22 (MT-MJR-046)</t>
  </si>
  <si>
    <t>KA-EAC-003</t>
  </si>
  <si>
    <t>KAO</t>
  </si>
  <si>
    <t>Data Handbook for Clay Minerals &amp; Other Non-Metallic Minerals</t>
  </si>
  <si>
    <t>KAO103 kaolinite (KGa-1)</t>
  </si>
  <si>
    <t>KA-EAC-004</t>
  </si>
  <si>
    <t>Data Handbook for Clay Materials &amp; Other Non-Metallic Minerals</t>
  </si>
  <si>
    <t>KAO104 kaolinite (KGa-2)</t>
  </si>
  <si>
    <t>MM-MJR-003</t>
  </si>
  <si>
    <t>Mox-Test1 (oxidized MST-1) average glass composition</t>
  </si>
  <si>
    <t>MM-MJR-008</t>
  </si>
  <si>
    <t>Glass estimated composition</t>
  </si>
  <si>
    <t>MM-MJR-007</t>
  </si>
  <si>
    <t>Estimated glass composition</t>
  </si>
  <si>
    <t>MM-MJR-006</t>
  </si>
  <si>
    <t>MST-12</t>
  </si>
  <si>
    <t>MM-MJR-019</t>
  </si>
  <si>
    <t>Glass pre-oxidation in MST-13_ox1</t>
  </si>
  <si>
    <t>MM-MJR-020</t>
  </si>
  <si>
    <t>Glass pre-oxidation of MST-16_ox1</t>
  </si>
  <si>
    <t>Pigeonite in MST-13_ox1 (pre-oxidation)</t>
  </si>
  <si>
    <t>Augite in MST-13_ox1 (pre-oxidation)</t>
  </si>
  <si>
    <t>Plagioclase in MST-13_ox1 (pre-oxidation)</t>
  </si>
  <si>
    <t>Magnetite in MST-13_ox1 (pre-oxidation)</t>
  </si>
  <si>
    <t>Pigeonite in MST-16_ox1 (pre-oxidation)</t>
  </si>
  <si>
    <t>MM-MJR-022</t>
  </si>
  <si>
    <t>Glass in MST-19_ox1 (pre-oxidation)</t>
  </si>
  <si>
    <t>Pigeonite in MST-19_ox1 (pre-oxidation)</t>
  </si>
  <si>
    <t>Augite in MST-19_ox1 (pre-oxidation)</t>
  </si>
  <si>
    <t>Plagioclase in MST-19_ox1 (pre-oxidation)</t>
  </si>
  <si>
    <t>Magnetite in MST-19_ox1 (pre-oxidation)</t>
  </si>
  <si>
    <t>MM-MJR-055</t>
  </si>
  <si>
    <t>SFA3-5 100-500 um</t>
  </si>
  <si>
    <t>MM-MJR-056</t>
  </si>
  <si>
    <t>SFA3-9 40-90 um</t>
  </si>
  <si>
    <t>MM-MJR-057</t>
  </si>
  <si>
    <t>SFA3-11</t>
  </si>
  <si>
    <t>MM-MJR-058</t>
  </si>
  <si>
    <t>SFA4-1b</t>
  </si>
  <si>
    <t>CR-EAC-013</t>
  </si>
  <si>
    <t>CHR103</t>
  </si>
  <si>
    <t>CR-EAC-014</t>
  </si>
  <si>
    <t>CHR104</t>
  </si>
  <si>
    <t>CR-EAC-015</t>
  </si>
  <si>
    <t>CHR105</t>
  </si>
  <si>
    <t>CR-EAC-016</t>
  </si>
  <si>
    <t>CHR106</t>
  </si>
  <si>
    <t>CR-EAC-017</t>
  </si>
  <si>
    <t>CHR107</t>
  </si>
  <si>
    <t>CR-EAC-018</t>
  </si>
  <si>
    <t>CHR108</t>
  </si>
  <si>
    <t>CR-EAC-019</t>
  </si>
  <si>
    <t>CHR109</t>
  </si>
  <si>
    <t>SC-EAC-075</t>
  </si>
  <si>
    <t>SPI</t>
  </si>
  <si>
    <t>SPI101</t>
  </si>
  <si>
    <t>SP-EAC-012</t>
  </si>
  <si>
    <t>FRA</t>
  </si>
  <si>
    <t>SPI112</t>
  </si>
  <si>
    <t>SP-EAC-014</t>
  </si>
  <si>
    <t>PLE</t>
  </si>
  <si>
    <t>SPI114</t>
  </si>
  <si>
    <t>SP-EAC-015</t>
  </si>
  <si>
    <t>SPI115</t>
  </si>
  <si>
    <t>SP-EAC-016</t>
  </si>
  <si>
    <t>SPI116</t>
  </si>
  <si>
    <t>SP-EAC-017</t>
  </si>
  <si>
    <t>SPI117</t>
  </si>
  <si>
    <t>SP-EAC-018</t>
  </si>
  <si>
    <t>GAH</t>
  </si>
  <si>
    <t>SPI118</t>
  </si>
  <si>
    <t>SP-EAC-019</t>
  </si>
  <si>
    <t>SPI119</t>
  </si>
  <si>
    <t>SP-EAC-020</t>
  </si>
  <si>
    <t>SPI120</t>
  </si>
  <si>
    <t>SP-EAC-021</t>
  </si>
  <si>
    <t>SPI121</t>
  </si>
  <si>
    <t>SP-EAC-022</t>
  </si>
  <si>
    <t>SPI122</t>
  </si>
  <si>
    <t>SP-EAC-023</t>
  </si>
  <si>
    <t>SPI123</t>
  </si>
  <si>
    <t>SP-EAC-024</t>
  </si>
  <si>
    <t>SPI124</t>
  </si>
  <si>
    <t>SP-EAC-025</t>
  </si>
  <si>
    <t>SPI125</t>
  </si>
  <si>
    <t>SP-EAC-026</t>
  </si>
  <si>
    <t>SPI126</t>
  </si>
  <si>
    <t>SP-EAC-027</t>
  </si>
  <si>
    <t>SPI127</t>
  </si>
  <si>
    <t>SP-EAC-033</t>
  </si>
  <si>
    <t>SPI133</t>
  </si>
  <si>
    <t>BA-EAC-002</t>
  </si>
  <si>
    <t>Bjarni Gautason, University of Alberta</t>
  </si>
  <si>
    <t>BAS201</t>
  </si>
  <si>
    <t>BA-EAC-003</t>
  </si>
  <si>
    <t>BAS202</t>
  </si>
  <si>
    <t>BA-EAC-004</t>
  </si>
  <si>
    <t>BAS203</t>
  </si>
  <si>
    <t>BA-EAC-005</t>
  </si>
  <si>
    <t>Sue Atkinson, University of Alberta</t>
  </si>
  <si>
    <t>BAS204</t>
  </si>
  <si>
    <t>BA-EAC-006</t>
  </si>
  <si>
    <t>BAS205</t>
  </si>
  <si>
    <t>PL-EAC-029</t>
  </si>
  <si>
    <t>Ed Cloutis, University of Calgary</t>
  </si>
  <si>
    <t>PLG101</t>
  </si>
  <si>
    <t>PL-EAC-030</t>
  </si>
  <si>
    <t>PLG102</t>
  </si>
  <si>
    <t>PL-EAC-031</t>
  </si>
  <si>
    <t>PLG103</t>
  </si>
  <si>
    <t>PL-EAC-032</t>
  </si>
  <si>
    <t>PLG104</t>
  </si>
  <si>
    <t>PL-EAC-033</t>
  </si>
  <si>
    <t>PLG105</t>
  </si>
  <si>
    <t>PL-EAC-034</t>
  </si>
  <si>
    <t>PLG106</t>
  </si>
  <si>
    <t>PL-EAC-036</t>
  </si>
  <si>
    <t>PLG108</t>
  </si>
  <si>
    <t>PL-EAC-037</t>
  </si>
  <si>
    <t>PLG109</t>
  </si>
  <si>
    <t>PL-EAC-038</t>
  </si>
  <si>
    <t>PLG110</t>
  </si>
  <si>
    <t>PL-EAC-039</t>
  </si>
  <si>
    <t>PLG111</t>
  </si>
  <si>
    <t>PL-EAC-040</t>
  </si>
  <si>
    <t>PLG113</t>
  </si>
  <si>
    <t>PL-EAC-041</t>
  </si>
  <si>
    <t>PLG114</t>
  </si>
  <si>
    <t>PL-EAC-042</t>
  </si>
  <si>
    <t>PLG115</t>
  </si>
  <si>
    <t>PL-EAC-044</t>
  </si>
  <si>
    <t>PLG117</t>
  </si>
  <si>
    <t>PL-EAC-045</t>
  </si>
  <si>
    <t>PLG118</t>
  </si>
  <si>
    <t>PL-EAC-046</t>
  </si>
  <si>
    <t>PLG119</t>
  </si>
  <si>
    <t>PL-EAC-047</t>
  </si>
  <si>
    <t>PLG120</t>
  </si>
  <si>
    <t>PL-EAC-049</t>
  </si>
  <si>
    <t>PLG122</t>
  </si>
  <si>
    <t>PL-EAC-050</t>
  </si>
  <si>
    <t>PLG129</t>
  </si>
  <si>
    <t>AP-EAC-003</t>
  </si>
  <si>
    <t>APA</t>
  </si>
  <si>
    <t>APA101</t>
  </si>
  <si>
    <t>SA-EAC-044</t>
  </si>
  <si>
    <t>SAR</t>
  </si>
  <si>
    <t>SAR101</t>
  </si>
  <si>
    <t>PL-EAC-035</t>
  </si>
  <si>
    <t>PLG107</t>
  </si>
  <si>
    <t>PL-EAC-043</t>
  </si>
  <si>
    <t>PLG116</t>
  </si>
  <si>
    <t>PL-EAC-048</t>
  </si>
  <si>
    <t>PLG121</t>
  </si>
  <si>
    <t>PL-EAC-051</t>
  </si>
  <si>
    <t>PLG124</t>
  </si>
  <si>
    <t>TO-EAC-003</t>
  </si>
  <si>
    <t>GAR</t>
  </si>
  <si>
    <t>TOP101</t>
  </si>
  <si>
    <t>GF-EAC-001</t>
  </si>
  <si>
    <t>GRA</t>
  </si>
  <si>
    <t>GRA101</t>
  </si>
  <si>
    <t>TR-EAC-001</t>
  </si>
  <si>
    <t>TRP</t>
  </si>
  <si>
    <t>TRI101</t>
  </si>
  <si>
    <t>MA-ATB-041</t>
  </si>
  <si>
    <t>H2O-: 0.1~0.18%, H2O+: 0.04~0.48%</t>
  </si>
  <si>
    <t>MA-ATB-042</t>
  </si>
  <si>
    <t>SER</t>
  </si>
  <si>
    <t>MA-ATB-043</t>
  </si>
  <si>
    <t>KER</t>
  </si>
  <si>
    <t>C 86.54%, H 8.28%, N 2.02%, S 1.38%, O 1.85%</t>
  </si>
  <si>
    <t>MA-ATB-045</t>
  </si>
  <si>
    <t>JJ-JRJ-001</t>
  </si>
  <si>
    <t>Muszynski M. and Natkaniec-Nowak L. (1992) Albitites and oligoclasite from Szklary (Lower Silesia), Bull. Polish Acad. Sci. Earth Sci., 40, 141-159 (Sample #2)</t>
  </si>
  <si>
    <t>Fe2O3 + FeO = 0.085</t>
  </si>
  <si>
    <t>JJ-JRJ-014</t>
  </si>
  <si>
    <t>Haskin L. A. and Salpas P. A. (1992) Genesis of compositional characteristics of Stillwater AN-I and AN-II thick anorthositic units. Geochim. Cosmochim. Acta 56, 1187-1212. Sample was labeled S2-104, closest sample in paper is S2-107 (this data)</t>
  </si>
  <si>
    <t>Xirouchakis D., Draper S. D., Schwandt C. S., and Lanzirotti A. (2002) Crystallization conditions of Los Angeles, a basaltic Martian meteorite. Geochim. Cosmochim. Acta 66, 1867-1880.</t>
  </si>
  <si>
    <t>S: 0.00-0.05 %</t>
  </si>
  <si>
    <t>Stolper and McSween (1979) Geochim. Cosmochim. Acta 43, 1475-1498</t>
  </si>
  <si>
    <t>AC-PCP-001</t>
  </si>
  <si>
    <t>AC-PCP-009</t>
  </si>
  <si>
    <t>AC-PCP-007</t>
  </si>
  <si>
    <t>AC-PCP-004</t>
  </si>
  <si>
    <t>AC-PCP-012</t>
  </si>
  <si>
    <t>AC-PCP-002</t>
  </si>
  <si>
    <t>AC-PCP-003</t>
  </si>
  <si>
    <t>AC-PCP-005</t>
  </si>
  <si>
    <t>AC-PCP-006</t>
  </si>
  <si>
    <t>AC-PCP-008</t>
  </si>
  <si>
    <t>AC-PCP-010</t>
  </si>
  <si>
    <t>AC-PCP-011</t>
  </si>
  <si>
    <t>SR-JFM-041</t>
  </si>
  <si>
    <t>LAB</t>
  </si>
  <si>
    <t>SR-JFM-042</t>
  </si>
  <si>
    <t>DIO</t>
  </si>
  <si>
    <t>SR-JFM-043</t>
  </si>
  <si>
    <t>FOR</t>
  </si>
  <si>
    <t>SR-JFM-044</t>
  </si>
  <si>
    <t>AND</t>
  </si>
  <si>
    <t>SR-JFM-045</t>
  </si>
  <si>
    <t>MIC</t>
  </si>
  <si>
    <t>SR-JFM-046</t>
  </si>
  <si>
    <t>OLG</t>
  </si>
  <si>
    <t>SR-JFM-047</t>
  </si>
  <si>
    <t>ALB</t>
  </si>
  <si>
    <t>SR-JFM-048</t>
  </si>
  <si>
    <t>SR-JFM-049</t>
  </si>
  <si>
    <t>MM-MEM-063</t>
  </si>
  <si>
    <t>Arizona State Univ. Jeol 845 scanning electron microscope w/EDS</t>
  </si>
  <si>
    <t>Qualitative coating composition</t>
  </si>
  <si>
    <t>MM-MEM-064</t>
  </si>
  <si>
    <t>MM-MEM-065</t>
  </si>
  <si>
    <t>MM-MEM-066</t>
  </si>
  <si>
    <t>Qualitative coating composition, S: 2 %</t>
  </si>
  <si>
    <t>MM-MEM-067</t>
  </si>
  <si>
    <t>Qualitative coating composition, S: 1.2 %</t>
  </si>
  <si>
    <t>MM-MEM-068</t>
  </si>
  <si>
    <t>Basalt glass 100%</t>
  </si>
  <si>
    <t>SR-EAC-011</t>
  </si>
  <si>
    <t>Pranoti Asher at Univ. of Connecticut, USA</t>
  </si>
  <si>
    <t>Sr 17 ppm, Zr 8 ppm, Cr 1865 ppm, Rb 21 ppm, Y 6 ppm, Ba 28 ppm</t>
  </si>
  <si>
    <t>SR-EAC-012</t>
  </si>
  <si>
    <t>Sr 5 ppm, Zr 6 ppm, Cr 2820 ppm, Rb 4 ppm, Ba 38 ppm</t>
  </si>
  <si>
    <t>SR-EAC-013</t>
  </si>
  <si>
    <t>Sr 2 ppm, Zr 10 ppm, Cr 2750 ppm, Rb 3 ppm, Ba 26 ppm</t>
  </si>
  <si>
    <t>SR-EAC-014</t>
  </si>
  <si>
    <t>Sr 4 ppm, Zr 6 ppm, Cr 1835 ppm, Rb 3 ppm, Ba 12 ppm</t>
  </si>
  <si>
    <t>SR-EAC-015</t>
  </si>
  <si>
    <t>Sr 2 ppm, Zr 6 ppm, Cr 2682 ppm, Rb 3 ppm, Ba 35 ppm</t>
  </si>
  <si>
    <t>SR-EAC-016</t>
  </si>
  <si>
    <t>Sr 9 ppm, Zr 3 ppm, Cr 2337 ppm, Rb 7 ppm, Nb 6 ppm, Ba 8 ppm</t>
  </si>
  <si>
    <t>SR-EAC-017</t>
  </si>
  <si>
    <t>Zr 7 ppm, Cr 2260 ppm, Y 1 ppm, Ba 14 ppm</t>
  </si>
  <si>
    <t>SR-EAC-018</t>
  </si>
  <si>
    <t>Zr 6 ppm, Cr 3593 ppm, Rb 2 ppm, Y 2 ppm, Nb 2 ppm, Ba 12 ppm</t>
  </si>
  <si>
    <t>SR-EAC-019</t>
  </si>
  <si>
    <t>Zr 9 ppm, Cr 2705 ppm, Rb 2 ppm, Ba 37 ppm</t>
  </si>
  <si>
    <t>SR-EAC-020</t>
  </si>
  <si>
    <t>Sr 2 ppm, Zr 9 ppm, Cr 2632 ppm, Rb 5 ppm, Y 1 ppm, Ba 9 ppm</t>
  </si>
  <si>
    <t>SR-EAC-021</t>
  </si>
  <si>
    <t>Sr 3 ppm, Zr 6 ppm, Cr 2729 ppm, Rb 5 ppm, Ba 33 ppm</t>
  </si>
  <si>
    <t>SR-EAC-023</t>
  </si>
  <si>
    <t>Zr 6 ppm, Cr 929 ppm, Rb 3 ppm, Ba 18 ppm</t>
  </si>
  <si>
    <t>FB-JFM-031-3OP</t>
  </si>
  <si>
    <t>Zachary Morgan at Brown University</t>
  </si>
  <si>
    <t>FB-JFM-031-3CP</t>
  </si>
  <si>
    <t>FB-JFM-031-3OL</t>
  </si>
  <si>
    <t>SR-JFM-050</t>
  </si>
  <si>
    <t>Arizona State Univ.</t>
  </si>
  <si>
    <t>SR-JFM-051</t>
  </si>
  <si>
    <t>SR-JFM-053</t>
  </si>
  <si>
    <t>SR-JFM-054</t>
  </si>
  <si>
    <t>SR-JFM-057</t>
  </si>
  <si>
    <t>ATH</t>
  </si>
  <si>
    <t>SR-JFM-058</t>
  </si>
  <si>
    <t>SR-JFM-059</t>
  </si>
  <si>
    <t>CLC</t>
  </si>
  <si>
    <t>SR-JFM-060</t>
  </si>
  <si>
    <t>SR-JFM-061</t>
  </si>
  <si>
    <t>QTZ</t>
  </si>
  <si>
    <t>SR-JFM-062</t>
  </si>
  <si>
    <t>SR-JFM-063</t>
  </si>
  <si>
    <t>MHT</t>
  </si>
  <si>
    <t>SR-JFM-064</t>
  </si>
  <si>
    <t>SR-JFM-065</t>
  </si>
  <si>
    <t>ALM</t>
  </si>
  <si>
    <t>SR-JFM-066</t>
  </si>
  <si>
    <t>ANC</t>
  </si>
  <si>
    <t>SR-JFM-067</t>
  </si>
  <si>
    <t>PYM</t>
  </si>
  <si>
    <t>SR-JFM-068</t>
  </si>
  <si>
    <t>CHL</t>
  </si>
  <si>
    <t>SR-JFM-069</t>
  </si>
  <si>
    <t>SR-JFM-070</t>
  </si>
  <si>
    <t>WOL</t>
  </si>
  <si>
    <t>SR-JFM-071</t>
  </si>
  <si>
    <t>MUS</t>
  </si>
  <si>
    <t>SR-JFM-074</t>
  </si>
  <si>
    <t>SR-JFM-075</t>
  </si>
  <si>
    <t>H2O: 0.10 %</t>
  </si>
  <si>
    <t>RM-HYM-061</t>
  </si>
  <si>
    <t>Smithsonian Institution Dept. of Mineral Sci. &amp; Univ. Tennessee</t>
  </si>
  <si>
    <t>FAY</t>
  </si>
  <si>
    <t>RM-HYM-063</t>
  </si>
  <si>
    <t>JM-TGS-070</t>
  </si>
  <si>
    <t>Washington State Univ.</t>
  </si>
  <si>
    <t>JM-TGS-072</t>
  </si>
  <si>
    <t>Smithsonian Institution, E. J. Jarosewich</t>
  </si>
  <si>
    <t>Fo 90.5 Fa 9.5</t>
  </si>
  <si>
    <t>HYP</t>
  </si>
  <si>
    <t>H2O 0.00 %, En 73.6 Fs 23.5 Wo 3.0</t>
  </si>
  <si>
    <t>H2O 0.04 %, En 52.7 Fs 11.4 Wo 36.0</t>
  </si>
  <si>
    <t>AG-TJM-011</t>
  </si>
  <si>
    <t>H2O 0.05 %, An 67.7 Ab 31.2 Or 1.1</t>
  </si>
  <si>
    <t>DD-MDD-099</t>
  </si>
  <si>
    <t>Martha Schaeffer</t>
  </si>
  <si>
    <t>DD-MDD-100</t>
  </si>
  <si>
    <t>DD-MDD-101</t>
  </si>
  <si>
    <t>AL-EAC-002</t>
  </si>
  <si>
    <t>ALL</t>
  </si>
  <si>
    <t>XRRF by Stan Mertzman - Franklin and Marshall College</t>
  </si>
  <si>
    <t>SO3: 0.23 %, Zr: 10 ppm, Sr: 35 ppm, Cr: &lt;5 ppm</t>
  </si>
  <si>
    <t>EA-EAC-019-A</t>
  </si>
  <si>
    <t>CEL</t>
  </si>
  <si>
    <t>Zr: 40 ppm, Sr: 20 ppm, Cr: 25 ppm</t>
  </si>
  <si>
    <t>CH-EAC-016</t>
  </si>
  <si>
    <t>CHM</t>
  </si>
  <si>
    <t>Zr: 197 ppm, Sr: 101 ppm, Cr: 370 ppm</t>
  </si>
  <si>
    <t>EA-EAC-022-A</t>
  </si>
  <si>
    <t>CHY</t>
  </si>
  <si>
    <t>Zr: 30 ppm, Sr: 205 ppm, Cr: 35 ppm</t>
  </si>
  <si>
    <t>EA-EAC-014</t>
  </si>
  <si>
    <t>SO3: 0.32 %, Zr: 15 ppm, Sr: 8 ppm, Cr: 375 ppm</t>
  </si>
  <si>
    <t>HA-EAC-001</t>
  </si>
  <si>
    <t>HAL</t>
  </si>
  <si>
    <t>Zr: 15 ppm, Sr: 20 ppm, Cr: 145 ppm</t>
  </si>
  <si>
    <t>EA-EAC-031-A</t>
  </si>
  <si>
    <t>PHL</t>
  </si>
  <si>
    <t>Zr: 20 ppm, Sr: 125 ppm, Cr: 10 ppm</t>
  </si>
  <si>
    <t>SA-EAC-059</t>
  </si>
  <si>
    <t>SAP</t>
  </si>
  <si>
    <t>Zr: 53 ppm, Sr: 186 ppm, Cr: 72 ppm</t>
  </si>
  <si>
    <t>EA-EAC-015</t>
  </si>
  <si>
    <t>TLC</t>
  </si>
  <si>
    <t>SO3: 0.25 %, Zr: 54 ppm, Sr: 25 ppm, Cr: 3 ppm</t>
  </si>
  <si>
    <t>OG-CMA-001</t>
  </si>
  <si>
    <t>ORG</t>
  </si>
  <si>
    <t>C: 66.5 %, H: 3.3 %, N: 2.5 %, O: 16.2 %, S: ~4 %, 8.4 wt% minerals</t>
  </si>
  <si>
    <t>PP-EJH-102-A</t>
  </si>
  <si>
    <t>J. De Grave et al. (2002)</t>
  </si>
  <si>
    <t>ER-TGS-001</t>
  </si>
  <si>
    <t>ASI</t>
  </si>
  <si>
    <t>ER-TGS-005</t>
  </si>
  <si>
    <t>Na 0.33 (Al 1.67 Mg 0.33) Si 4 O 10 (OH)2</t>
  </si>
  <si>
    <t>JG-JJG-001</t>
  </si>
  <si>
    <t>Sasha Krot</t>
  </si>
  <si>
    <t>IL-M1O-005</t>
  </si>
  <si>
    <t>SO3: 0.03 %, ZrO: 0.145 %</t>
  </si>
  <si>
    <t>DP-JNG-001-A</t>
  </si>
  <si>
    <t>Shukla A. D. et al. (2001) Proc. Indian Acad. Sci. (Earth Planet. Sci.) 110, 111-132.</t>
  </si>
  <si>
    <t>DP-JNG-002-A</t>
  </si>
  <si>
    <t>DP-JNG-003-A</t>
  </si>
  <si>
    <t>DP-JNG-004-A</t>
  </si>
  <si>
    <t>DP-JNG-005-A</t>
  </si>
  <si>
    <t>MT-TJM-068</t>
  </si>
  <si>
    <t>LR-CMP-144</t>
  </si>
  <si>
    <t>PGI, Taylor et al. Augute composition by Sarbadhikari et al.</t>
  </si>
  <si>
    <t>LR-CMP-145</t>
  </si>
  <si>
    <t>PGI, Taylor et al. Pigeonite composition by Sarbadhikari et al.</t>
  </si>
  <si>
    <t>LR-CMP-146</t>
  </si>
  <si>
    <t>PGI, Taylor et al.</t>
  </si>
  <si>
    <t>LR-CMP-147</t>
  </si>
  <si>
    <t>LR-CMP-148</t>
  </si>
  <si>
    <t>LR-CMP-149</t>
  </si>
  <si>
    <t>LR-CMP-150</t>
  </si>
  <si>
    <t>LR-CMP-151</t>
  </si>
  <si>
    <t>LR-CMP-152</t>
  </si>
  <si>
    <t>LR-CMP-160</t>
  </si>
  <si>
    <t>LR-CMP-161</t>
  </si>
  <si>
    <t>LR-CMP-162</t>
  </si>
  <si>
    <t>LR-CMP-163</t>
  </si>
  <si>
    <t>LR-CMP-164</t>
  </si>
  <si>
    <t>LR-CMP-165</t>
  </si>
  <si>
    <t>LR-CMP-166</t>
  </si>
  <si>
    <t>LR-CMP-167</t>
  </si>
  <si>
    <t>LR-CMP-154</t>
  </si>
  <si>
    <t>LR-CMP-156</t>
  </si>
  <si>
    <t>S: 0.175 %</t>
  </si>
  <si>
    <t>LR-CMP-158</t>
  </si>
  <si>
    <t>S: 0.15 %</t>
  </si>
  <si>
    <t>MT-HYM-084</t>
  </si>
  <si>
    <t>Jarosewich (1990)</t>
  </si>
  <si>
    <t>NT-MBW-004</t>
  </si>
  <si>
    <t>NON</t>
  </si>
  <si>
    <t>H2O: 5.3 %</t>
  </si>
  <si>
    <t>ER-TGS-013</t>
  </si>
  <si>
    <t>ER-TGS-014</t>
  </si>
  <si>
    <t>ER-TGS-015</t>
  </si>
  <si>
    <t>ER-TGS-016</t>
  </si>
  <si>
    <t>Analyzed by C. V. Clemency, Dept. of Geological Sci., SUNY, Buffalo, NY.</t>
  </si>
  <si>
    <t>F: 0.111 %, CO2: 1.33 %</t>
  </si>
  <si>
    <t>ER-TGS-017</t>
  </si>
  <si>
    <t>SIL</t>
  </si>
  <si>
    <t>PL-HYM-054</t>
  </si>
  <si>
    <t>Milam et al. 2004</t>
  </si>
  <si>
    <t>An 2</t>
  </si>
  <si>
    <t>PL-HYM-055</t>
  </si>
  <si>
    <t>An 51</t>
  </si>
  <si>
    <t>PL-HYM-056</t>
  </si>
  <si>
    <t>An 53</t>
  </si>
  <si>
    <t>PL-HYM-057</t>
  </si>
  <si>
    <t>An 68</t>
  </si>
  <si>
    <t>PL-HYM-058</t>
  </si>
  <si>
    <t>An 73</t>
  </si>
  <si>
    <t>PL-MDD-059</t>
  </si>
  <si>
    <t>MHC (Lundgaard et al. 2006)</t>
  </si>
  <si>
    <t>An 59.1</t>
  </si>
  <si>
    <t>PL-MDD-060</t>
  </si>
  <si>
    <t>PL-MDD-061</t>
  </si>
  <si>
    <t>An 58.1</t>
  </si>
  <si>
    <t>PL-MDD-062</t>
  </si>
  <si>
    <t>An 55</t>
  </si>
  <si>
    <t>PL-MDD-063</t>
  </si>
  <si>
    <t>An 55.2</t>
  </si>
  <si>
    <t>PL-MDD-064</t>
  </si>
  <si>
    <t>An 66.8</t>
  </si>
  <si>
    <t>PL-MDD-065</t>
  </si>
  <si>
    <t>An 62.6</t>
  </si>
  <si>
    <t>AA-A1S-001</t>
  </si>
  <si>
    <t>ANN</t>
  </si>
  <si>
    <t>Calculated composition (NH4)2Fe6[Si6Al2O20]OH4</t>
  </si>
  <si>
    <t>(NH4)2O: 5.308 %, H2O: 3.669 %</t>
  </si>
  <si>
    <t>AA-A1S-002</t>
  </si>
  <si>
    <t>Calculated composition (NH4)2(Fe2+)4(Fe3+)2[Si6Al4O20]OH4</t>
  </si>
  <si>
    <t>AA-A1S-003</t>
  </si>
  <si>
    <t>Calculated composition (NH4)2(Fe2+)5.3(Fe3+)0.7[Si5.3Al2.7O20]OH4</t>
  </si>
  <si>
    <t>(NH4)2O: 5.312 %, H2O: 3.671 %</t>
  </si>
  <si>
    <t>AA-A1S-004</t>
  </si>
  <si>
    <t>Calculated composition (NH4)2Ni4Al2[Si4Al4O20]F4</t>
  </si>
  <si>
    <t>NiO: 30.09 %, NH4F: 14.92 %</t>
  </si>
  <si>
    <t>DB-ACM-001</t>
  </si>
  <si>
    <t>All Fe reported as Fe2O3</t>
  </si>
  <si>
    <t>UH-MBW-001</t>
  </si>
  <si>
    <t>UH-MBW-002</t>
  </si>
  <si>
    <t>UH-MBW-003</t>
  </si>
  <si>
    <t>UH-MBW-004</t>
  </si>
  <si>
    <t>UH-MBW-005</t>
  </si>
  <si>
    <t>UH-MBW-006</t>
  </si>
  <si>
    <t>UH-MBW-007</t>
  </si>
  <si>
    <t>UH-MBW-008</t>
  </si>
  <si>
    <t>UH-MBW-009</t>
  </si>
  <si>
    <t>UH-MBW-010</t>
  </si>
  <si>
    <t>UH-MBW-011</t>
  </si>
  <si>
    <t>UH-MBW-012</t>
  </si>
  <si>
    <t>KK-KRK-001</t>
  </si>
  <si>
    <t>Taken from Deer, Howie, and Zussman.</t>
  </si>
  <si>
    <t>H2O: 0.07 wt%</t>
  </si>
  <si>
    <t>PX-DWS-013</t>
  </si>
  <si>
    <t>AEG</t>
  </si>
  <si>
    <t>PX-DWS-014</t>
  </si>
  <si>
    <t>SPO</t>
  </si>
  <si>
    <t>H2O+: 0.28 wt%</t>
  </si>
  <si>
    <t>PX-DWS-015</t>
  </si>
  <si>
    <t>JAD</t>
  </si>
  <si>
    <t>H2O+: 0.20, H2O: 0.05 wt%</t>
  </si>
  <si>
    <t>GS-MDD-035-A</t>
  </si>
  <si>
    <t>GS-MDD-036-A</t>
  </si>
  <si>
    <t>GS-MDD-037-A</t>
  </si>
  <si>
    <t>GS-MDD-038-A</t>
  </si>
  <si>
    <t>GS-MDD-039-A</t>
  </si>
  <si>
    <t>JG-JJG-003</t>
  </si>
  <si>
    <t>University of Hawaii electron microprobe</t>
  </si>
  <si>
    <t>JG-JJG-004</t>
  </si>
  <si>
    <t>JG-JJG-005</t>
  </si>
  <si>
    <t>JG-JJG-006</t>
  </si>
  <si>
    <t>GS-MDD-040-A</t>
  </si>
  <si>
    <t>GS-MDD-041-A</t>
  </si>
  <si>
    <t>H2O: 1.44 wt%</t>
  </si>
  <si>
    <t>GS-MDD-042-A</t>
  </si>
  <si>
    <t>H2O: 0.31 wt%</t>
  </si>
  <si>
    <t>GS-MDD-043-A</t>
  </si>
  <si>
    <t>H2O: 1.24 wt%</t>
  </si>
  <si>
    <t>UH-MBW-065-R</t>
  </si>
  <si>
    <t>V2O3: 0.03, NiO: 0.01, ZnO: 0.012, SO3: 0.09, Cl: 0.028, BaO: 0.023, SrO: 0.0192, CuO: 0.015, Rb2O: 0.0099, Y2O3: 0.003 wt%</t>
  </si>
  <si>
    <t>UH-MBW-065-S</t>
  </si>
  <si>
    <t>V2O3: 0.03, NiO: 0.007, ZnO: 0.009, SO3: 0.035, Cl: 0.017, BaO: 0.04, SrO: 0.018, CuO: 0.01, Rb2O: 0.005, Y2O3: 0.003 wt%</t>
  </si>
  <si>
    <t>UH-MBW-066-R</t>
  </si>
  <si>
    <t>V2O3: 0.033, NiO: 0.009, ZnO: 0.01, SO3: 0.055, Cl: 0.047, BaO: 0.036, SrO: 0.02, CuO: 0.016, Rb2O: 0.006, Y2O3: 0.003 wt%</t>
  </si>
  <si>
    <t>UH-MBW-066-S</t>
  </si>
  <si>
    <t>V2O3: 0.033, NiO: 0.008, ZnO: 0.011, SO3: 0.04, Cl: 0.032, BaO: 0.043, SrO: 0.019, CuO: 0.016, Rb2O: 0.0068, Y2O3: 0.003 wt%</t>
  </si>
  <si>
    <t>UH-MBW-067-R</t>
  </si>
  <si>
    <t>V2O3: 0.047, NiO: 0.008, ZnO: 0.013, SO3: 0.09, Cl: 0.036, BaO: 0.05, SrO: 0.02, CuO: 0.014, Rb2O: 0.006, Y2O3: 0.003 wt%</t>
  </si>
  <si>
    <t>UH-MBW-067-S</t>
  </si>
  <si>
    <t>V2O3: 0.04, NiO: 0.009, ZnO: 0.009, SO3: 0.031, Cl: 0.036, BaO: 0.042, SrO: 0.017, CuO: 0.011, Rb2O: 0.006, Y2O3: 0.003 wt%</t>
  </si>
  <si>
    <t>MM-MEM-076-A</t>
  </si>
  <si>
    <t>Arizona State University electron microprobe facility</t>
  </si>
  <si>
    <t>MM-MEM-077</t>
  </si>
  <si>
    <t>MM-MEM-078</t>
  </si>
  <si>
    <t>MM-MEM-079</t>
  </si>
  <si>
    <t>MM-MEM-080</t>
  </si>
  <si>
    <t>PL-H1T-114</t>
  </si>
  <si>
    <t>SrO: 0.111, Cl: 0.022</t>
  </si>
  <si>
    <t>PL-H1T-115</t>
  </si>
  <si>
    <t>SO3: 0.01, NiO: 0.006, CuO: 0.004, Ga2O3: 0.002, SrO: 0.054</t>
  </si>
  <si>
    <t>MT-A1W-114</t>
  </si>
  <si>
    <t>NASA Johnson Space Center Cameca SX-100</t>
  </si>
  <si>
    <t>SO2: 0.4 wt%</t>
  </si>
  <si>
    <t>SO2: 0.02 wt%, En 3.8-57.3 Fs 26.5-74.8 Wo 2.6-18.4</t>
  </si>
  <si>
    <t>SO2: 0.02, NiO: 0.01 wt%, Ab 9.7-13.1 An 86.7-90.1 Or 0.1-0.4</t>
  </si>
  <si>
    <t>SO2: 0.01, NiO: 0.02 wt%</t>
  </si>
  <si>
    <t>TP-SWP-001</t>
  </si>
  <si>
    <t>Tabb Prissel, Brown Geological Sciences</t>
  </si>
  <si>
    <t>H2O: 1.39 wt%</t>
  </si>
  <si>
    <t>JE-JEE-001</t>
  </si>
  <si>
    <t>USGS mill sand analysis from the NU-LHT-2M TM (Meurer and Boudreau 1996)</t>
  </si>
  <si>
    <t>NiO: 0.29 wt%</t>
  </si>
  <si>
    <t>NiO: 0.04 wt%</t>
  </si>
  <si>
    <t>JE-JEE-010</t>
  </si>
  <si>
    <t>NASA Marshall Space Flight Center</t>
  </si>
  <si>
    <t>V2O3: 0.04, CoO: 0.01, NiO: 0.02 wt%</t>
  </si>
  <si>
    <t>TMG</t>
  </si>
  <si>
    <t>CB-EAC-009-A</t>
  </si>
  <si>
    <t>CAL</t>
  </si>
  <si>
    <t>Stan Mertzman-Franklin and Marshall College</t>
  </si>
  <si>
    <t>CB-EAC-012-A</t>
  </si>
  <si>
    <t>CB-EAC-014-A</t>
  </si>
  <si>
    <t>MGN</t>
  </si>
  <si>
    <t>CB-EAC-021-A</t>
  </si>
  <si>
    <t>ART</t>
  </si>
  <si>
    <t>CB-EAC-030-A</t>
  </si>
  <si>
    <t>MAN</t>
  </si>
  <si>
    <t>CB-EAC-033-A</t>
  </si>
  <si>
    <t>THE</t>
  </si>
  <si>
    <t>CB-EAC-034-A</t>
  </si>
  <si>
    <t>TRN</t>
  </si>
  <si>
    <t>CB-EAC-035-A</t>
  </si>
  <si>
    <t>HMG</t>
  </si>
  <si>
    <t>CB-EAC-037-A</t>
  </si>
  <si>
    <t>BRG</t>
  </si>
  <si>
    <t>JE-JEE-014</t>
  </si>
  <si>
    <t>USGS Denver</t>
  </si>
  <si>
    <t>H2O: 0.52, CO2: 0.05 wt%</t>
  </si>
  <si>
    <t>JE-JEE-015</t>
  </si>
  <si>
    <t>JE-JEE-017</t>
  </si>
  <si>
    <t>University of New Brunswick</t>
  </si>
  <si>
    <t>JE-JEE-018</t>
  </si>
  <si>
    <t>JE-JEE-019</t>
  </si>
  <si>
    <t>JAXA / Shimizu Corp.</t>
  </si>
  <si>
    <t>S: 0.01, H2O: 0.03 wt%</t>
  </si>
  <si>
    <t>JE-JEE-020</t>
  </si>
  <si>
    <t>H2O: 0.43 wt%</t>
  </si>
  <si>
    <t>JE-JEE-021</t>
  </si>
  <si>
    <t>S: 0.01, H2O: 0.38 wt%</t>
  </si>
  <si>
    <t>JE-JEE-022</t>
  </si>
  <si>
    <t>Orbital Technologies, Inc.</t>
  </si>
  <si>
    <t>JE-JEE-023</t>
  </si>
  <si>
    <t>Colorado School of Mines</t>
  </si>
  <si>
    <t>MT-AWB-169</t>
  </si>
  <si>
    <t>Beck and McSween (2010) MAPS 45, 850. Mittlefehldt et al. (2011) in press.</t>
  </si>
  <si>
    <t>JE-JEE-029</t>
  </si>
  <si>
    <t>V2O3: 0.04, CoO: 0.01, NiO: 0.02, ZnO: 0.01 wt%</t>
  </si>
  <si>
    <t>JE-JEE-030</t>
  </si>
  <si>
    <t>JE-JEE-032</t>
  </si>
  <si>
    <t>DW-MJR-001-A</t>
  </si>
  <si>
    <t>Common for all GG samples</t>
  </si>
  <si>
    <t>DW-MJR-007</t>
  </si>
  <si>
    <t>Common for all DTB samples</t>
  </si>
  <si>
    <t>DW-MJR-008</t>
  </si>
  <si>
    <t>Common for all ECH samples</t>
  </si>
  <si>
    <t>DW-MJR-010</t>
  </si>
  <si>
    <t>Common for all Alb samples</t>
  </si>
  <si>
    <t>PP-ALS-107</t>
  </si>
  <si>
    <t>American Museum of Natural History</t>
  </si>
  <si>
    <t>NiO: 0.010, ZnO: 0.011 wt%</t>
  </si>
  <si>
    <t>PP-ALS-108</t>
  </si>
  <si>
    <t>NiO: 0.027, ZnO: 0.008 wt%</t>
  </si>
  <si>
    <t>DW-MJR-030</t>
  </si>
  <si>
    <t>Common for all OG samples</t>
  </si>
  <si>
    <t>DW-MJR-031</t>
  </si>
  <si>
    <t>Common for all YG samples</t>
  </si>
  <si>
    <t>RM-REM-133</t>
  </si>
  <si>
    <t>HIS</t>
  </si>
  <si>
    <t>Eggleton T. and D. Tilley (1998) Hisingerite: A ferric kaolin mineral with curved morphology, Clays and Clay Minerals 46, 400-413.</t>
  </si>
  <si>
    <t>RM-REM-134</t>
  </si>
  <si>
    <t>RM-REM-136</t>
  </si>
  <si>
    <t>RM-REM-137</t>
  </si>
  <si>
    <t>RM-REM-138</t>
  </si>
  <si>
    <t>BP-MJR-001</t>
  </si>
  <si>
    <t>OL-JJG-019</t>
  </si>
  <si>
    <t>NiO: 0.0356905 wt%</t>
  </si>
  <si>
    <t>CP-JJG-001</t>
  </si>
  <si>
    <t>TP-SWP-007</t>
  </si>
  <si>
    <t>Prissel et al. (2014a)</t>
  </si>
  <si>
    <t>Mg#: 86.3, %An: 50.2</t>
  </si>
  <si>
    <t>TP-SWP-004</t>
  </si>
  <si>
    <t>Mg#: 86.0, %An: 74.1</t>
  </si>
  <si>
    <t>TP-SWP-009</t>
  </si>
  <si>
    <t>Mg#: 94.3</t>
  </si>
  <si>
    <t>Mg#: 82.8, Cr#: 17.1</t>
  </si>
  <si>
    <t>Mg#: 83</t>
  </si>
  <si>
    <t>TP-SWP-008</t>
  </si>
  <si>
    <t>QNC</t>
  </si>
  <si>
    <t>Mg#: 94</t>
  </si>
  <si>
    <t>TP-SWP-006</t>
  </si>
  <si>
    <t>Mg#: 91</t>
  </si>
  <si>
    <t>Mg#: 82</t>
  </si>
  <si>
    <t>TP-SWP-005</t>
  </si>
  <si>
    <t>Mg#: 86</t>
  </si>
  <si>
    <t>KC-JFM-014</t>
  </si>
  <si>
    <t>ALK starting composition</t>
  </si>
  <si>
    <t>KC-JFM-019</t>
  </si>
  <si>
    <t>BLK starting composition</t>
  </si>
  <si>
    <t>KC-JFM-024</t>
  </si>
  <si>
    <t>VUL starting composition</t>
  </si>
  <si>
    <t>KC-JFM-036-A</t>
  </si>
  <si>
    <t>MCY starting composition</t>
  </si>
  <si>
    <t>KC-JFM-037-A</t>
  </si>
  <si>
    <t>MCY_NoFe starting composition</t>
  </si>
  <si>
    <t>KC-JFM-038-A</t>
  </si>
  <si>
    <t>KC-JFM-039-A</t>
  </si>
  <si>
    <t>KC-JFM-040-A</t>
  </si>
  <si>
    <t>KC-JFM-041-A</t>
  </si>
  <si>
    <t>KC-JFM-042-A</t>
  </si>
  <si>
    <t>KC-JFM-043-A</t>
  </si>
  <si>
    <t>KC-JFM-044-A</t>
  </si>
  <si>
    <t>KC-JFM-045-A</t>
  </si>
  <si>
    <t>KC-JFM-046-A</t>
  </si>
  <si>
    <t>S2-: 0.95 wt%</t>
  </si>
  <si>
    <t>KC-JFM-047-A</t>
  </si>
  <si>
    <t>S2-: 0.93 wt%</t>
  </si>
  <si>
    <t>OL-JPE-020-A</t>
  </si>
  <si>
    <t>Jarosewich et al. (1980) Smithsonian Museum of Natural History</t>
  </si>
  <si>
    <t>DR-DLR-002</t>
  </si>
  <si>
    <t>Mn3O4: 0.19, P2O3: 0.1, SO3: 0.4, SrO: 0.02, ZrO2: 0.02, BaO: 0.1, NiO: 0.01, CuO: 0.01, ZnO: 0.01, PbO: 0.01, V2O5: 0.01, HfO2: 0.1, F: 0.1, Cl: 0.1 wt%</t>
  </si>
  <si>
    <t>ES-E1S-001</t>
  </si>
  <si>
    <t>XRF at Vernadsky Institute</t>
  </si>
  <si>
    <t>ES-E1S-002</t>
  </si>
  <si>
    <t>DD-MDD-128</t>
  </si>
  <si>
    <t>DD-MDD-129</t>
  </si>
  <si>
    <t>NiO: 0.01 wt%</t>
  </si>
  <si>
    <t>DD-MDD-130</t>
  </si>
  <si>
    <t>NiO: 0.25 wt%</t>
  </si>
  <si>
    <t>DD-MDD-131</t>
  </si>
  <si>
    <t>DD-MDD-132</t>
  </si>
  <si>
    <t>DD-MDD-133</t>
  </si>
  <si>
    <t>DD-MDD-134</t>
  </si>
  <si>
    <t>DD-MDD-135</t>
  </si>
  <si>
    <t>DD-MDD-136</t>
  </si>
  <si>
    <t>DD-MDD-137</t>
  </si>
  <si>
    <t>DD-MDD-138</t>
  </si>
  <si>
    <t>DD-MDD-139</t>
  </si>
  <si>
    <t>DD-MDD-140</t>
  </si>
  <si>
    <t>DD-MDD-141</t>
  </si>
  <si>
    <t>DD-MDD-142</t>
  </si>
  <si>
    <t>DD-MDD-143</t>
  </si>
  <si>
    <t>DD-MDD-144</t>
  </si>
  <si>
    <t>DD-MDD-145</t>
  </si>
  <si>
    <t>DD-MDD-146</t>
  </si>
  <si>
    <t>DD-MDD-147</t>
  </si>
  <si>
    <t>DD-MDD-148</t>
  </si>
  <si>
    <t>NiO: 0.07 wt%</t>
  </si>
  <si>
    <t>DD-MDD-149</t>
  </si>
  <si>
    <t>NiO: 0.11 wt%</t>
  </si>
  <si>
    <t>DD-MDD-150</t>
  </si>
  <si>
    <t>DD-MDD-153</t>
  </si>
  <si>
    <t>DD-MDD-154</t>
  </si>
  <si>
    <t>DD-MDD-155</t>
  </si>
  <si>
    <t>DD-MDD-156</t>
  </si>
  <si>
    <t>DD-MDD-157</t>
  </si>
  <si>
    <t>DD-MDD-159</t>
  </si>
  <si>
    <t>DD-MDD-160</t>
  </si>
  <si>
    <t>DD-MDD-161</t>
  </si>
  <si>
    <t>DD-MDD-162</t>
  </si>
  <si>
    <t>DD-MDD-163</t>
  </si>
  <si>
    <t>DD-MDD-164</t>
  </si>
  <si>
    <t>NiO: 0.02 wt%</t>
  </si>
  <si>
    <t>DD-MDD-165</t>
  </si>
  <si>
    <t>DD-MDD-166</t>
  </si>
  <si>
    <t>NiO: 0.06 wt%</t>
  </si>
  <si>
    <t>DD-MDD-167</t>
  </si>
  <si>
    <t>DD-MDD-168</t>
  </si>
  <si>
    <t>DD-MDD-169</t>
  </si>
  <si>
    <t>DD-MDD-170</t>
  </si>
  <si>
    <t>DD-MDD-171</t>
  </si>
  <si>
    <t>DD-MDD-172</t>
  </si>
  <si>
    <t>DD-MDD-173</t>
  </si>
  <si>
    <t>DD-MDD-174</t>
  </si>
  <si>
    <t>OL-RLK-028</t>
  </si>
  <si>
    <t>OL-RLK-021</t>
  </si>
  <si>
    <t>OL-RLK-022</t>
  </si>
  <si>
    <t>OL-RLK-023</t>
  </si>
  <si>
    <t>OL-RLK-024</t>
  </si>
  <si>
    <t>OL-RLK-026</t>
  </si>
  <si>
    <t>OL-RLK-027</t>
  </si>
  <si>
    <t>CK-JFM-001</t>
  </si>
  <si>
    <t>M. Darby Dyar, Mout Holyoke (S. A. Byrne et al., 2015, LPS 46, Abstract #1499)</t>
  </si>
  <si>
    <t>NiO: 0.43 wt%</t>
  </si>
  <si>
    <t>CK-JFM-002</t>
  </si>
  <si>
    <t>NiO: 0.34 wt%</t>
  </si>
  <si>
    <t>CK-JFM-003</t>
  </si>
  <si>
    <t>CK-JFM-004</t>
  </si>
  <si>
    <t>CK-JFM-005</t>
  </si>
  <si>
    <t>CK-JFM-006</t>
  </si>
  <si>
    <t>CK-JFM-007</t>
  </si>
  <si>
    <t>CS-DTB-009</t>
  </si>
  <si>
    <t>Exolith Lab - Center for Lunar and Asteroid Surface Science</t>
  </si>
  <si>
    <t>SO3: 4.9 wt%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</si>
</sst>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8" formatCode="0.000000000"/>
  </numFmts>
  <fonts count="15">
    <font>
      <sz val="9"/>
      <name val="Genev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Geneva"/>
      <charset val="1"/>
    </font>
    <font>
      <u/>
      <sz val="9"/>
      <color theme="10"/>
      <name val="Geneva"/>
      <family val="2"/>
    </font>
    <font>
      <b/>
      <sz val="9"/>
      <name val="Arial"/>
    </font>
    <font>
      <sz val="9"/>
      <name val="Arial"/>
    </font>
    <font>
      <u/>
      <sz val="9"/>
      <color theme="10"/>
      <name val="Arial"/>
    </font>
    <font>
      <i/>
      <sz val="9"/>
      <name val="Arial"/>
    </font>
    <font>
      <i/>
      <u/>
      <sz val="9"/>
      <color theme="10"/>
      <name val="Arial"/>
    </font>
    <font>
      <sz val="9"/>
      <color indexed="8"/>
      <name val="Arial"/>
    </font>
    <font>
      <sz val="9"/>
      <color rgb="FF000000"/>
      <name val="Arial"/>
    </font>
    <font>
      <sz val="9"/>
      <name val="Arial"/>
      <family val="2"/>
    </font>
    <font>
      <sz val="10"/>
      <color rgb="FF000000"/>
      <name val="Arial"/>
      <charset val="1"/>
    </font>
    <font>
      <sz val="9"/>
      <color rgb="FF00000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</fills>
  <borders count="2">
    <border>
      <left/>
      <right/>
      <top/>
      <bottom/>
      <diagonal/>
    </border>
    <border>
      <left/>
      <right style="thick">
        <color rgb="FF000000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/>
  </cellStyleXfs>
  <cellXfs count="208">
    <xf numFmtId="0" fontId="0" fillId="0" borderId="0" xfId="0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0" fillId="4" borderId="0" xfId="0" applyFill="1"/>
    <xf numFmtId="0" fontId="3" fillId="0" borderId="0" xfId="0" applyFont="1"/>
    <xf numFmtId="0" fontId="1" fillId="0" borderId="0" xfId="0" applyFont="1" applyAlignment="1">
      <alignment wrapText="1"/>
    </xf>
    <xf numFmtId="0" fontId="6" fillId="3" borderId="0" xfId="0" applyFont="1" applyFill="1" applyAlignment="1">
      <alignment vertical="center"/>
    </xf>
    <xf numFmtId="49" fontId="6" fillId="3" borderId="0" xfId="0" applyNumberFormat="1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2" applyFont="1" applyFill="1" applyAlignment="1">
      <alignment vertical="center"/>
    </xf>
    <xf numFmtId="0" fontId="6" fillId="3" borderId="0" xfId="0" applyFont="1" applyFill="1"/>
    <xf numFmtId="1" fontId="6" fillId="3" borderId="0" xfId="0" applyNumberFormat="1" applyFont="1" applyFill="1" applyAlignment="1">
      <alignment horizontal="right" vertical="center"/>
    </xf>
    <xf numFmtId="0" fontId="8" fillId="3" borderId="0" xfId="0" applyFont="1" applyFill="1" applyAlignment="1">
      <alignment vertical="center"/>
    </xf>
    <xf numFmtId="49" fontId="8" fillId="3" borderId="0" xfId="0" applyNumberFormat="1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9" fillId="3" borderId="0" xfId="2" applyFont="1" applyFill="1" applyAlignment="1">
      <alignment vertical="center"/>
    </xf>
    <xf numFmtId="0" fontId="6" fillId="2" borderId="0" xfId="0" applyFont="1" applyFill="1" applyAlignment="1">
      <alignment vertical="center"/>
    </xf>
    <xf numFmtId="49" fontId="6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6" fillId="2" borderId="0" xfId="0" applyFont="1" applyFill="1"/>
    <xf numFmtId="0" fontId="7" fillId="2" borderId="0" xfId="2" applyFont="1" applyFill="1" applyAlignment="1">
      <alignment vertical="center"/>
    </xf>
    <xf numFmtId="0" fontId="6" fillId="4" borderId="0" xfId="0" applyFont="1" applyFill="1" applyAlignment="1">
      <alignment vertical="center"/>
    </xf>
    <xf numFmtId="49" fontId="6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/>
    <xf numFmtId="0" fontId="6" fillId="3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4" borderId="0" xfId="2" applyFont="1" applyFill="1" applyAlignment="1">
      <alignment vertical="center"/>
    </xf>
    <xf numFmtId="0" fontId="6" fillId="5" borderId="0" xfId="0" applyFont="1" applyFill="1" applyAlignment="1">
      <alignment vertical="center"/>
    </xf>
    <xf numFmtId="49" fontId="6" fillId="5" borderId="0" xfId="0" applyNumberFormat="1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vertical="center"/>
    </xf>
    <xf numFmtId="0" fontId="6" fillId="5" borderId="0" xfId="0" applyFont="1" applyFill="1"/>
    <xf numFmtId="0" fontId="4" fillId="5" borderId="0" xfId="2" applyFill="1" applyAlignment="1">
      <alignment vertical="center"/>
    </xf>
    <xf numFmtId="0" fontId="4" fillId="5" borderId="0" xfId="2" applyFill="1"/>
    <xf numFmtId="0" fontId="8" fillId="5" borderId="0" xfId="0" applyFont="1" applyFill="1" applyAlignment="1">
      <alignment vertical="center"/>
    </xf>
    <xf numFmtId="0" fontId="7" fillId="5" borderId="0" xfId="2" applyFont="1" applyFill="1" applyAlignment="1">
      <alignment vertical="center"/>
    </xf>
    <xf numFmtId="165" fontId="6" fillId="5" borderId="0" xfId="0" applyNumberFormat="1" applyFont="1" applyFill="1"/>
    <xf numFmtId="0" fontId="6" fillId="6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49" fontId="11" fillId="4" borderId="0" xfId="0" applyNumberFormat="1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2" fontId="6" fillId="5" borderId="0" xfId="0" applyNumberFormat="1" applyFont="1" applyFill="1" applyAlignment="1">
      <alignment vertical="center"/>
    </xf>
    <xf numFmtId="165" fontId="6" fillId="5" borderId="0" xfId="0" applyNumberFormat="1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4" fillId="4" borderId="0" xfId="2" applyFill="1" applyAlignment="1">
      <alignment vertical="center"/>
    </xf>
    <xf numFmtId="49" fontId="6" fillId="6" borderId="0" xfId="0" applyNumberFormat="1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6" borderId="1" xfId="0" applyFont="1" applyFill="1" applyBorder="1" applyAlignment="1">
      <alignment vertical="center"/>
    </xf>
    <xf numFmtId="0" fontId="4" fillId="6" borderId="0" xfId="2" applyFill="1" applyAlignment="1">
      <alignment vertical="center"/>
    </xf>
    <xf numFmtId="0" fontId="6" fillId="6" borderId="0" xfId="0" applyFont="1" applyFill="1"/>
    <xf numFmtId="2" fontId="6" fillId="6" borderId="0" xfId="0" applyNumberFormat="1" applyFont="1" applyFill="1" applyAlignment="1">
      <alignment vertical="center"/>
    </xf>
    <xf numFmtId="165" fontId="6" fillId="6" borderId="0" xfId="0" applyNumberFormat="1" applyFont="1" applyFill="1" applyAlignment="1">
      <alignment vertical="center"/>
    </xf>
    <xf numFmtId="0" fontId="4" fillId="6" borderId="0" xfId="2" applyFill="1"/>
    <xf numFmtId="0" fontId="8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165" fontId="6" fillId="6" borderId="0" xfId="0" applyNumberFormat="1" applyFont="1" applyFill="1"/>
    <xf numFmtId="165" fontId="6" fillId="5" borderId="1" xfId="0" applyNumberFormat="1" applyFont="1" applyFill="1" applyBorder="1" applyAlignment="1">
      <alignment vertical="center"/>
    </xf>
    <xf numFmtId="165" fontId="6" fillId="5" borderId="1" xfId="0" applyNumberFormat="1" applyFont="1" applyFill="1" applyBorder="1"/>
    <xf numFmtId="165" fontId="11" fillId="5" borderId="0" xfId="0" applyNumberFormat="1" applyFont="1" applyFill="1"/>
    <xf numFmtId="165" fontId="6" fillId="6" borderId="1" xfId="0" applyNumberFormat="1" applyFont="1" applyFill="1" applyBorder="1" applyAlignment="1">
      <alignment vertical="center"/>
    </xf>
    <xf numFmtId="165" fontId="6" fillId="6" borderId="1" xfId="0" applyNumberFormat="1" applyFont="1" applyFill="1" applyBorder="1"/>
    <xf numFmtId="168" fontId="6" fillId="6" borderId="0" xfId="0" applyNumberFormat="1" applyFont="1" applyFill="1" applyAlignment="1">
      <alignment vertical="center"/>
    </xf>
    <xf numFmtId="0" fontId="8" fillId="2" borderId="0" xfId="0" applyFont="1" applyFill="1"/>
    <xf numFmtId="165" fontId="6" fillId="3" borderId="0" xfId="0" applyNumberFormat="1" applyFont="1" applyFill="1"/>
    <xf numFmtId="165" fontId="6" fillId="3" borderId="1" xfId="0" applyNumberFormat="1" applyFont="1" applyFill="1" applyBorder="1"/>
    <xf numFmtId="165" fontId="6" fillId="2" borderId="1" xfId="0" applyNumberFormat="1" applyFont="1" applyFill="1" applyBorder="1"/>
    <xf numFmtId="165" fontId="6" fillId="4" borderId="0" xfId="0" applyNumberFormat="1" applyFont="1" applyFill="1" applyAlignment="1">
      <alignment vertical="center"/>
    </xf>
    <xf numFmtId="165" fontId="6" fillId="4" borderId="0" xfId="0" applyNumberFormat="1" applyFont="1" applyFill="1"/>
    <xf numFmtId="0" fontId="7" fillId="6" borderId="0" xfId="2" applyFont="1" applyFill="1" applyAlignment="1">
      <alignment vertical="center"/>
    </xf>
    <xf numFmtId="0" fontId="7" fillId="3" borderId="0" xfId="2" applyFont="1" applyFill="1" applyBorder="1" applyAlignment="1">
      <alignment vertical="center"/>
    </xf>
    <xf numFmtId="0" fontId="7" fillId="2" borderId="0" xfId="2" applyFont="1" applyFill="1" applyBorder="1" applyAlignment="1">
      <alignment vertical="center"/>
    </xf>
    <xf numFmtId="165" fontId="6" fillId="2" borderId="0" xfId="0" applyNumberFormat="1" applyFont="1" applyFill="1"/>
    <xf numFmtId="0" fontId="9" fillId="2" borderId="0" xfId="2" applyFont="1" applyFill="1" applyBorder="1" applyAlignment="1">
      <alignment vertical="center"/>
    </xf>
    <xf numFmtId="0" fontId="11" fillId="4" borderId="0" xfId="0" applyFont="1" applyFill="1" applyAlignment="1">
      <alignment wrapText="1"/>
    </xf>
    <xf numFmtId="2" fontId="6" fillId="4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vertical="center"/>
    </xf>
    <xf numFmtId="2" fontId="8" fillId="5" borderId="0" xfId="0" applyNumberFormat="1" applyFont="1" applyFill="1" applyAlignment="1">
      <alignment vertical="center"/>
    </xf>
    <xf numFmtId="2" fontId="8" fillId="6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165" fontId="6" fillId="3" borderId="0" xfId="0" applyNumberFormat="1" applyFont="1" applyFill="1" applyAlignment="1">
      <alignment vertical="center"/>
    </xf>
    <xf numFmtId="165" fontId="6" fillId="3" borderId="1" xfId="0" applyNumberFormat="1" applyFont="1" applyFill="1" applyBorder="1" applyAlignment="1">
      <alignment vertical="center"/>
    </xf>
    <xf numFmtId="165" fontId="6" fillId="2" borderId="0" xfId="0" applyNumberFormat="1" applyFont="1" applyFill="1" applyAlignment="1">
      <alignment vertical="center"/>
    </xf>
    <xf numFmtId="165" fontId="6" fillId="2" borderId="1" xfId="0" applyNumberFormat="1" applyFont="1" applyFill="1" applyBorder="1" applyAlignment="1">
      <alignment vertical="center"/>
    </xf>
    <xf numFmtId="165" fontId="8" fillId="2" borderId="0" xfId="0" applyNumberFormat="1" applyFont="1" applyFill="1"/>
    <xf numFmtId="165" fontId="8" fillId="2" borderId="1" xfId="0" applyNumberFormat="1" applyFont="1" applyFill="1" applyBorder="1"/>
    <xf numFmtId="165" fontId="6" fillId="4" borderId="1" xfId="0" applyNumberFormat="1" applyFont="1" applyFill="1" applyBorder="1" applyAlignment="1">
      <alignment vertical="center"/>
    </xf>
    <xf numFmtId="165" fontId="6" fillId="4" borderId="1" xfId="0" applyNumberFormat="1" applyFont="1" applyFill="1" applyBorder="1"/>
    <xf numFmtId="165" fontId="11" fillId="4" borderId="0" xfId="0" applyNumberFormat="1" applyFont="1" applyFill="1" applyAlignment="1">
      <alignment vertical="center"/>
    </xf>
    <xf numFmtId="165" fontId="11" fillId="4" borderId="1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165" fontId="6" fillId="0" borderId="0" xfId="0" applyNumberFormat="1" applyFont="1" applyFill="1"/>
    <xf numFmtId="165" fontId="6" fillId="0" borderId="1" xfId="0" applyNumberFormat="1" applyFont="1" applyFill="1" applyBorder="1"/>
    <xf numFmtId="0" fontId="6" fillId="0" borderId="0" xfId="0" applyFont="1" applyFill="1"/>
    <xf numFmtId="2" fontId="6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5" fillId="0" borderId="1" xfId="0" applyNumberFormat="1" applyFont="1" applyFill="1" applyBorder="1" applyAlignment="1">
      <alignment vertical="center"/>
    </xf>
    <xf numFmtId="0" fontId="5" fillId="0" borderId="0" xfId="0" applyFont="1" applyFill="1"/>
    <xf numFmtId="0" fontId="5" fillId="0" borderId="1" xfId="0" applyFont="1" applyFill="1" applyBorder="1"/>
    <xf numFmtId="165" fontId="5" fillId="0" borderId="0" xfId="0" applyNumberFormat="1" applyFont="1" applyFill="1"/>
    <xf numFmtId="165" fontId="5" fillId="0" borderId="1" xfId="0" applyNumberFormat="1" applyFont="1" applyFill="1" applyBorder="1"/>
    <xf numFmtId="0" fontId="6" fillId="0" borderId="1" xfId="0" applyFont="1" applyFill="1" applyBorder="1"/>
    <xf numFmtId="0" fontId="6" fillId="7" borderId="0" xfId="0" applyFont="1" applyFill="1" applyAlignment="1">
      <alignment vertical="center"/>
    </xf>
    <xf numFmtId="49" fontId="6" fillId="7" borderId="0" xfId="0" applyNumberFormat="1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7" borderId="1" xfId="0" applyFont="1" applyFill="1" applyBorder="1" applyAlignment="1">
      <alignment vertical="center"/>
    </xf>
    <xf numFmtId="165" fontId="6" fillId="7" borderId="0" xfId="0" applyNumberFormat="1" applyFont="1" applyFill="1" applyAlignment="1">
      <alignment vertical="center"/>
    </xf>
    <xf numFmtId="165" fontId="6" fillId="7" borderId="1" xfId="0" applyNumberFormat="1" applyFont="1" applyFill="1" applyBorder="1" applyAlignment="1">
      <alignment vertical="center"/>
    </xf>
    <xf numFmtId="165" fontId="6" fillId="7" borderId="0" xfId="0" applyNumberFormat="1" applyFont="1" applyFill="1"/>
    <xf numFmtId="165" fontId="6" fillId="7" borderId="1" xfId="0" applyNumberFormat="1" applyFont="1" applyFill="1" applyBorder="1"/>
    <xf numFmtId="0" fontId="7" fillId="7" borderId="0" xfId="2" applyFont="1" applyFill="1" applyAlignment="1">
      <alignment vertical="center"/>
    </xf>
    <xf numFmtId="0" fontId="4" fillId="7" borderId="0" xfId="2" applyFill="1"/>
    <xf numFmtId="2" fontId="6" fillId="7" borderId="0" xfId="0" applyNumberFormat="1" applyFont="1" applyFill="1" applyAlignment="1">
      <alignment vertical="center"/>
    </xf>
    <xf numFmtId="2" fontId="8" fillId="7" borderId="0" xfId="0" applyNumberFormat="1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4" fillId="7" borderId="0" xfId="2" applyFill="1" applyAlignment="1">
      <alignment vertical="center"/>
    </xf>
    <xf numFmtId="0" fontId="6" fillId="7" borderId="0" xfId="0" applyFont="1" applyFill="1"/>
    <xf numFmtId="0" fontId="6" fillId="8" borderId="0" xfId="0" applyFont="1" applyFill="1" applyAlignment="1">
      <alignment vertical="center"/>
    </xf>
    <xf numFmtId="49" fontId="6" fillId="8" borderId="0" xfId="0" applyNumberFormat="1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5" fontId="6" fillId="8" borderId="0" xfId="0" applyNumberFormat="1" applyFont="1" applyFill="1" applyAlignment="1">
      <alignment vertical="center"/>
    </xf>
    <xf numFmtId="165" fontId="6" fillId="8" borderId="1" xfId="0" applyNumberFormat="1" applyFont="1" applyFill="1" applyBorder="1" applyAlignment="1">
      <alignment vertical="center"/>
    </xf>
    <xf numFmtId="165" fontId="6" fillId="8" borderId="0" xfId="0" applyNumberFormat="1" applyFont="1" applyFill="1"/>
    <xf numFmtId="0" fontId="4" fillId="8" borderId="0" xfId="2" applyFill="1" applyAlignment="1">
      <alignment vertical="center"/>
    </xf>
    <xf numFmtId="0" fontId="6" fillId="8" borderId="0" xfId="0" applyFont="1" applyFill="1"/>
    <xf numFmtId="2" fontId="6" fillId="8" borderId="0" xfId="0" applyNumberFormat="1" applyFont="1" applyFill="1" applyAlignment="1">
      <alignment vertical="center"/>
    </xf>
    <xf numFmtId="2" fontId="10" fillId="8" borderId="0" xfId="0" applyNumberFormat="1" applyFont="1" applyFill="1" applyAlignment="1">
      <alignment vertical="center"/>
    </xf>
    <xf numFmtId="0" fontId="10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6" fillId="9" borderId="1" xfId="0" applyFont="1" applyFill="1" applyBorder="1" applyAlignment="1">
      <alignment vertical="center"/>
    </xf>
    <xf numFmtId="165" fontId="6" fillId="9" borderId="0" xfId="0" applyNumberFormat="1" applyFont="1" applyFill="1" applyAlignment="1">
      <alignment vertical="center"/>
    </xf>
    <xf numFmtId="165" fontId="6" fillId="9" borderId="1" xfId="0" applyNumberFormat="1" applyFont="1" applyFill="1" applyBorder="1" applyAlignment="1">
      <alignment vertical="center"/>
    </xf>
    <xf numFmtId="165" fontId="6" fillId="9" borderId="0" xfId="0" applyNumberFormat="1" applyFont="1" applyFill="1"/>
    <xf numFmtId="2" fontId="6" fillId="9" borderId="0" xfId="0" applyNumberFormat="1" applyFont="1" applyFill="1" applyAlignment="1">
      <alignment vertical="center"/>
    </xf>
    <xf numFmtId="2" fontId="6" fillId="9" borderId="1" xfId="0" applyNumberFormat="1" applyFont="1" applyFill="1" applyBorder="1" applyAlignment="1">
      <alignment vertical="center"/>
    </xf>
    <xf numFmtId="49" fontId="6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165" fontId="6" fillId="9" borderId="1" xfId="0" applyNumberFormat="1" applyFont="1" applyFill="1" applyBorder="1"/>
    <xf numFmtId="0" fontId="6" fillId="9" borderId="1" xfId="0" applyFont="1" applyFill="1" applyBorder="1"/>
    <xf numFmtId="0" fontId="6" fillId="9" borderId="1" xfId="0" applyFont="1" applyFill="1" applyBorder="1" applyAlignment="1">
      <alignment vertical="center" wrapText="1"/>
    </xf>
    <xf numFmtId="49" fontId="6" fillId="9" borderId="0" xfId="0" applyNumberFormat="1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6" fillId="9" borderId="0" xfId="0" applyFont="1" applyFill="1"/>
    <xf numFmtId="0" fontId="8" fillId="3" borderId="0" xfId="0" applyFont="1" applyFill="1"/>
    <xf numFmtId="2" fontId="11" fillId="2" borderId="0" xfId="0" applyNumberFormat="1" applyFont="1" applyFill="1" applyAlignment="1">
      <alignment vertical="center"/>
    </xf>
    <xf numFmtId="0" fontId="11" fillId="2" borderId="0" xfId="0" applyFont="1" applyFill="1" applyAlignment="1">
      <alignment vertical="center"/>
    </xf>
    <xf numFmtId="49" fontId="6" fillId="10" borderId="0" xfId="0" applyNumberFormat="1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/>
    </xf>
    <xf numFmtId="0" fontId="6" fillId="10" borderId="0" xfId="0" applyFont="1" applyFill="1" applyAlignment="1">
      <alignment vertical="center"/>
    </xf>
    <xf numFmtId="0" fontId="6" fillId="10" borderId="1" xfId="0" applyFont="1" applyFill="1" applyBorder="1" applyAlignment="1">
      <alignment vertical="center"/>
    </xf>
    <xf numFmtId="165" fontId="6" fillId="10" borderId="0" xfId="0" applyNumberFormat="1" applyFont="1" applyFill="1" applyAlignment="1">
      <alignment vertical="center"/>
    </xf>
    <xf numFmtId="165" fontId="6" fillId="10" borderId="1" xfId="0" applyNumberFormat="1" applyFont="1" applyFill="1" applyBorder="1" applyAlignment="1">
      <alignment vertical="center"/>
    </xf>
    <xf numFmtId="0" fontId="6" fillId="10" borderId="0" xfId="0" applyFont="1" applyFill="1"/>
    <xf numFmtId="165" fontId="6" fillId="10" borderId="0" xfId="0" applyNumberFormat="1" applyFont="1" applyFill="1"/>
    <xf numFmtId="0" fontId="6" fillId="10" borderId="1" xfId="0" applyFont="1" applyFill="1" applyBorder="1"/>
    <xf numFmtId="2" fontId="6" fillId="10" borderId="0" xfId="0" applyNumberFormat="1" applyFont="1" applyFill="1" applyAlignment="1">
      <alignment vertical="center"/>
    </xf>
    <xf numFmtId="0" fontId="13" fillId="10" borderId="0" xfId="0" applyFont="1" applyFill="1"/>
    <xf numFmtId="0" fontId="11" fillId="10" borderId="0" xfId="0" applyFont="1" applyFill="1" applyAlignment="1">
      <alignment horizontal="left" vertical="center"/>
    </xf>
    <xf numFmtId="0" fontId="11" fillId="10" borderId="0" xfId="0" applyFont="1" applyFill="1" applyAlignment="1">
      <alignment vertical="center"/>
    </xf>
    <xf numFmtId="0" fontId="11" fillId="10" borderId="1" xfId="0" applyFont="1" applyFill="1" applyBorder="1" applyAlignment="1">
      <alignment vertical="center"/>
    </xf>
    <xf numFmtId="165" fontId="11" fillId="10" borderId="0" xfId="0" applyNumberFormat="1" applyFont="1" applyFill="1" applyAlignment="1">
      <alignment vertical="center"/>
    </xf>
    <xf numFmtId="165" fontId="11" fillId="10" borderId="1" xfId="0" applyNumberFormat="1" applyFont="1" applyFill="1" applyBorder="1" applyAlignment="1">
      <alignment vertical="center"/>
    </xf>
    <xf numFmtId="0" fontId="11" fillId="10" borderId="0" xfId="0" applyFont="1" applyFill="1"/>
    <xf numFmtId="165" fontId="11" fillId="10" borderId="0" xfId="0" applyNumberFormat="1" applyFont="1" applyFill="1"/>
    <xf numFmtId="2" fontId="11" fillId="10" borderId="0" xfId="0" applyNumberFormat="1" applyFont="1" applyFill="1" applyAlignment="1">
      <alignment vertical="center"/>
    </xf>
    <xf numFmtId="0" fontId="14" fillId="10" borderId="0" xfId="0" applyFont="1" applyFill="1" applyAlignment="1">
      <alignment horizontal="left" vertical="center"/>
    </xf>
    <xf numFmtId="1" fontId="6" fillId="10" borderId="0" xfId="0" applyNumberFormat="1" applyFont="1" applyFill="1" applyAlignment="1">
      <alignment vertical="center"/>
    </xf>
    <xf numFmtId="1" fontId="6" fillId="10" borderId="1" xfId="0" applyNumberFormat="1" applyFont="1" applyFill="1" applyBorder="1" applyAlignment="1">
      <alignment vertical="center"/>
    </xf>
    <xf numFmtId="1" fontId="6" fillId="10" borderId="0" xfId="0" applyNumberFormat="1" applyFont="1" applyFill="1"/>
    <xf numFmtId="1" fontId="6" fillId="10" borderId="1" xfId="0" applyNumberFormat="1" applyFont="1" applyFill="1" applyBorder="1"/>
    <xf numFmtId="1" fontId="11" fillId="10" borderId="0" xfId="0" applyNumberFormat="1" applyFont="1" applyFill="1" applyAlignment="1">
      <alignment vertical="center"/>
    </xf>
    <xf numFmtId="1" fontId="11" fillId="10" borderId="0" xfId="0" applyNumberFormat="1" applyFont="1" applyFill="1"/>
    <xf numFmtId="1" fontId="11" fillId="10" borderId="1" xfId="0" applyNumberFormat="1" applyFont="1" applyFill="1" applyBorder="1"/>
    <xf numFmtId="165" fontId="6" fillId="10" borderId="1" xfId="0" applyNumberFormat="1" applyFont="1" applyFill="1" applyBorder="1"/>
    <xf numFmtId="165" fontId="11" fillId="10" borderId="1" xfId="0" applyNumberFormat="1" applyFont="1" applyFill="1" applyBorder="1"/>
    <xf numFmtId="0" fontId="14" fillId="10" borderId="0" xfId="0" applyFont="1" applyFill="1"/>
    <xf numFmtId="49" fontId="11" fillId="10" borderId="0" xfId="0" applyNumberFormat="1" applyFont="1" applyFill="1" applyAlignment="1">
      <alignment horizontal="left" vertical="center"/>
    </xf>
    <xf numFmtId="1" fontId="6" fillId="0" borderId="0" xfId="0" applyNumberFormat="1" applyFont="1" applyFill="1"/>
    <xf numFmtId="1" fontId="6" fillId="0" borderId="1" xfId="0" applyNumberFormat="1" applyFont="1" applyFill="1" applyBorder="1"/>
    <xf numFmtId="0" fontId="6" fillId="11" borderId="0" xfId="0" applyFont="1" applyFill="1" applyAlignment="1">
      <alignment vertical="center"/>
    </xf>
    <xf numFmtId="49" fontId="6" fillId="11" borderId="0" xfId="0" applyNumberFormat="1" applyFont="1" applyFill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0" fontId="6" fillId="11" borderId="1" xfId="0" applyFont="1" applyFill="1" applyBorder="1" applyAlignment="1">
      <alignment vertical="center"/>
    </xf>
    <xf numFmtId="1" fontId="6" fillId="11" borderId="0" xfId="0" applyNumberFormat="1" applyFont="1" applyFill="1" applyAlignment="1">
      <alignment vertical="center"/>
    </xf>
    <xf numFmtId="1" fontId="6" fillId="11" borderId="1" xfId="0" applyNumberFormat="1" applyFont="1" applyFill="1" applyBorder="1" applyAlignment="1">
      <alignment vertical="center"/>
    </xf>
    <xf numFmtId="1" fontId="6" fillId="11" borderId="0" xfId="0" applyNumberFormat="1" applyFont="1" applyFill="1"/>
    <xf numFmtId="1" fontId="6" fillId="11" borderId="1" xfId="0" applyNumberFormat="1" applyFont="1" applyFill="1" applyBorder="1"/>
    <xf numFmtId="165" fontId="6" fillId="11" borderId="0" xfId="0" applyNumberFormat="1" applyFont="1" applyFill="1"/>
    <xf numFmtId="165" fontId="6" fillId="11" borderId="1" xfId="0" applyNumberFormat="1" applyFont="1" applyFill="1" applyBorder="1"/>
    <xf numFmtId="0" fontId="6" fillId="11" borderId="0" xfId="0" applyFont="1" applyFill="1"/>
    <xf numFmtId="2" fontId="6" fillId="11" borderId="0" xfId="0" applyNumberFormat="1" applyFont="1" applyFill="1" applyAlignment="1">
      <alignment vertical="center"/>
    </xf>
    <xf numFmtId="0" fontId="6" fillId="11" borderId="1" xfId="0" applyFont="1" applyFill="1" applyBorder="1"/>
    <xf numFmtId="0" fontId="11" fillId="11" borderId="0" xfId="0" applyFont="1" applyFill="1" applyAlignment="1">
      <alignment horizontal="left" vertical="center"/>
    </xf>
    <xf numFmtId="0" fontId="11" fillId="11" borderId="0" xfId="0" applyFont="1" applyFill="1" applyAlignment="1">
      <alignment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fill>
        <patternFill patternType="solid">
          <fgColor indexed="64"/>
          <bgColor rgb="FF92D05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Geneva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808080"/>
          <bgColor indexed="65"/>
        </patternFill>
      </fill>
    </dxf>
    <dxf>
      <fill>
        <patternFill patternType="solid">
          <fgColor rgb="FF92D050"/>
          <bgColor indexed="65"/>
        </patternFill>
      </fill>
    </dxf>
    <dxf>
      <fill>
        <patternFill patternType="solid">
          <fgColor rgb="FFFFC000"/>
          <bgColor indexed="65"/>
        </patternFill>
      </fill>
    </dxf>
    <dxf>
      <fill>
        <patternFill patternType="solid">
          <fgColor rgb="FF00B0F0"/>
          <bgColor indexed="65"/>
        </patternFill>
      </fill>
    </dxf>
    <dxf>
      <fill>
        <patternFill patternType="solid">
          <fgColor rgb="FFC00000"/>
          <bgColor indexed="65"/>
        </patternFill>
      </fill>
    </dxf>
    <dxf>
      <fill>
        <patternFill patternType="solid">
          <fgColor rgb="FFFFD966"/>
          <bgColor indexed="65"/>
        </patternFill>
      </fill>
    </dxf>
    <dxf>
      <fill>
        <patternFill patternType="solid">
          <fgColor rgb="FFFFE699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908" totalsRowShown="0" headerRowDxfId="24" dataDxfId="23">
  <autoFilter ref="A1:W908" xr:uid="{00000000-0009-0000-0100-000001000000}"/>
  <sortState xmlns:xlrd2="http://schemas.microsoft.com/office/spreadsheetml/2017/richdata2" ref="A2:W908">
    <sortCondition ref="A1:A908"/>
  </sortState>
  <tableColumns count="23">
    <tableColumn id="1" xr3:uid="{00000000-0010-0000-0000-000001000000}" name="Rec #" dataDxfId="22"/>
    <tableColumn id="2" xr3:uid="{00000000-0010-0000-0000-000002000000}" name="Sample ID" dataDxfId="21"/>
    <tableColumn id="3" xr3:uid="{00000000-0010-0000-0000-000003000000}" name="Mineral" dataDxfId="20"/>
    <tableColumn id="4" xr3:uid="{00000000-0010-0000-0000-000004000000}" name="%SiO2" dataDxfId="19"/>
    <tableColumn id="5" xr3:uid="{00000000-0010-0000-0000-000005000000}" name="%TiO2" dataDxfId="18"/>
    <tableColumn id="6" xr3:uid="{00000000-0010-0000-0000-000006000000}" name="%Al2O3" dataDxfId="17"/>
    <tableColumn id="7" xr3:uid="{00000000-0010-0000-0000-000007000000}" name="%Cr2O3" dataDxfId="16"/>
    <tableColumn id="8" xr3:uid="{00000000-0010-0000-0000-000008000000}" name="%Fe2O3" dataDxfId="15"/>
    <tableColumn id="9" xr3:uid="{00000000-0010-0000-0000-000009000000}" name="%FeO" dataDxfId="14"/>
    <tableColumn id="10" xr3:uid="{00000000-0010-0000-0000-00000A000000}" name="%MnO" dataDxfId="13"/>
    <tableColumn id="11" xr3:uid="{00000000-0010-0000-0000-00000B000000}" name="%MgO" dataDxfId="12"/>
    <tableColumn id="12" xr3:uid="{00000000-0010-0000-0000-00000C000000}" name="%CaO" dataDxfId="11"/>
    <tableColumn id="13" xr3:uid="{00000000-0010-0000-0000-00000D000000}" name="%Na2O" dataDxfId="10"/>
    <tableColumn id="14" xr3:uid="{00000000-0010-0000-0000-00000E000000}" name="%K2O" dataDxfId="9"/>
    <tableColumn id="15" xr3:uid="{00000000-0010-0000-0000-00000F000000}" name="%P2O5" dataDxfId="8"/>
    <tableColumn id="16" xr3:uid="{00000000-0010-0000-0000-000010000000}" name="%LOI" dataDxfId="7"/>
    <tableColumn id="17" xr3:uid="{00000000-0010-0000-0000-000011000000}" name="Cu(ppm)" dataDxfId="6"/>
    <tableColumn id="18" xr3:uid="{00000000-0010-0000-0000-000012000000}" name="Ni(ppm)" dataDxfId="5"/>
    <tableColumn id="19" xr3:uid="{00000000-0010-0000-0000-000013000000}" name="Co(ppm)" dataDxfId="4"/>
    <tableColumn id="20" xr3:uid="{00000000-0010-0000-0000-000014000000}" name="Zn(ppm)" dataDxfId="3"/>
    <tableColumn id="21" xr3:uid="{00000000-0010-0000-0000-000015000000}" name="V(ppm)" dataDxfId="2"/>
    <tableColumn id="22" xr3:uid="{00000000-0010-0000-0000-000016000000}" name="Source" dataDxfId="1"/>
    <tableColumn id="23" xr3:uid="{00000000-0010-0000-0000-000017000000}" name="Tex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343905376_SCIENTIFIC_NOTE_AN_UPDATE_ON_THE_MINERALOGY_AND_CHEMISTRY_OF_THE_ALTA'AMEEM_METEORITE" TargetMode="External"/><Relationship Id="rId21" Type="http://schemas.openxmlformats.org/officeDocument/2006/relationships/hyperlink" Target="https://link.springer.com/article/10.1007/BF00373580" TargetMode="External"/><Relationship Id="rId42" Type="http://schemas.openxmlformats.org/officeDocument/2006/relationships/hyperlink" Target="https://journals.co.za/doi/pdf/10.10520/AJA10120750_1555" TargetMode="External"/><Relationship Id="rId63" Type="http://schemas.openxmlformats.org/officeDocument/2006/relationships/hyperlink" Target="https://trace.tennessee.edu/cgi/viewcontent.cgi?article=1440&amp;context=utk_graddiss" TargetMode="External"/><Relationship Id="rId84" Type="http://schemas.openxmlformats.org/officeDocument/2006/relationships/hyperlink" Target="http://articles.adsabs.harvard.edu/cgi-bin/nph-iarticle_query?1998AMR....11...49Y&amp;defaultprint=YES&amp;filetype=.pdf" TargetMode="External"/><Relationship Id="rId138" Type="http://schemas.openxmlformats.org/officeDocument/2006/relationships/hyperlink" Target="https://nipr.repo.nii.ac.jp/?action=repository_action_common_download&amp;item_id=1044&amp;item_no=1&amp;attribute_id=18&amp;file_no=1" TargetMode="External"/><Relationship Id="rId107" Type="http://schemas.openxmlformats.org/officeDocument/2006/relationships/hyperlink" Target="http://articles.adsabs.harvard.edu/cgi-bin/nph-iarticle_query?1994AMR.....7....9I&amp;defaultprint=YES&amp;filetype=.pdf" TargetMode="External"/><Relationship Id="rId11" Type="http://schemas.openxmlformats.org/officeDocument/2006/relationships/hyperlink" Target="https://www.sciencedirect.com/science/article/abs/pii/0079194675900373" TargetMode="External"/><Relationship Id="rId32" Type="http://schemas.openxmlformats.org/officeDocument/2006/relationships/hyperlink" Target="https://agupubs.onlinelibrary.wiley.com/doi/full/10.1029/2019JE006011" TargetMode="External"/><Relationship Id="rId53" Type="http://schemas.openxmlformats.org/officeDocument/2006/relationships/hyperlink" Target="https://trace.tennessee.edu/cgi/viewcontent.cgi?article=1440&amp;context=utk_graddiss" TargetMode="External"/><Relationship Id="rId74" Type="http://schemas.openxmlformats.org/officeDocument/2006/relationships/hyperlink" Target="https://trace.tennessee.edu/cgi/viewcontent.cgi?article=1440&amp;context=utk_graddiss" TargetMode="External"/><Relationship Id="rId128" Type="http://schemas.openxmlformats.org/officeDocument/2006/relationships/hyperlink" Target="https://www.researchgate.net/publication/229812084_Formation_conditions_of_igneous_regions_in_ordinary_chondrites_Chico_Rose_City_and_other_heavily_shocked_H_and_L_chondrites" TargetMode="External"/><Relationship Id="rId149" Type="http://schemas.openxmlformats.org/officeDocument/2006/relationships/hyperlink" Target="https://www.researchgate.net/publication/348799548_Unmixing_Mineral_Abundance_and_Mg_With_Radiative_Transfer_Theory_Modeling_and_Applications" TargetMode="External"/><Relationship Id="rId5" Type="http://schemas.openxmlformats.org/officeDocument/2006/relationships/hyperlink" Target="https://onlinelibrary.wiley.com/doi/pdf/10.1111/j.1945-5100.1998.tb01624.x" TargetMode="External"/><Relationship Id="rId95" Type="http://schemas.openxmlformats.org/officeDocument/2006/relationships/hyperlink" Target="https://onlinelibrary.wiley.com/doi/pdf/10.1111/j.1945-5100.2010.01061.x" TargetMode="External"/><Relationship Id="rId22" Type="http://schemas.openxmlformats.org/officeDocument/2006/relationships/hyperlink" Target="http://adsabs.harvard.edu/pdf/1980Metic..15...69D" TargetMode="External"/><Relationship Id="rId43" Type="http://schemas.openxmlformats.org/officeDocument/2006/relationships/hyperlink" Target="https://journals.co.za/doi/pdf/10.10520/AJA10120750_1555" TargetMode="External"/><Relationship Id="rId64" Type="http://schemas.openxmlformats.org/officeDocument/2006/relationships/hyperlink" Target="https://trace.tennessee.edu/cgi/viewcontent.cgi?article=1440&amp;context=utk_graddiss" TargetMode="External"/><Relationship Id="rId118" Type="http://schemas.openxmlformats.org/officeDocument/2006/relationships/hyperlink" Target="https://onlinelibrary.wiley.com/doi/pdf/10.1111/j.1945-5100.2010.01021.x" TargetMode="External"/><Relationship Id="rId139" Type="http://schemas.openxmlformats.org/officeDocument/2006/relationships/hyperlink" Target="https://nipr.repo.nii.ac.jp/?action=repository_action_common_download&amp;item_id=1044&amp;item_no=1&amp;attribute_id=18&amp;file_no=1" TargetMode="External"/><Relationship Id="rId80" Type="http://schemas.openxmlformats.org/officeDocument/2006/relationships/hyperlink" Target="https://trace.tennessee.edu/cgi/viewcontent.cgi?article=1440&amp;context=utk_graddiss" TargetMode="External"/><Relationship Id="rId85" Type="http://schemas.openxmlformats.org/officeDocument/2006/relationships/hyperlink" Target="http://articles.adsabs.harvard.edu/cgi-bin/nph-iarticle_query?1998AMR....11...49Y&amp;defaultprint=YES&amp;filetype=.pdf" TargetMode="External"/><Relationship Id="rId150" Type="http://schemas.openxmlformats.org/officeDocument/2006/relationships/hyperlink" Target="http://articles.adsabs.harvard.edu/cgi-bin/nph-iarticle_query?1988LPI....19..134B&amp;defaultprint=YES&amp;page_ind=1&amp;filetype=.pdf" TargetMode="External"/><Relationship Id="rId155" Type="http://schemas.openxmlformats.org/officeDocument/2006/relationships/hyperlink" Target="http://articles.adsabs.harvard.edu/cgi-bin/nph-iarticle_query?1972Metic...7..109L&amp;defaultprint=YES&amp;filetype=.pdf" TargetMode="External"/><Relationship Id="rId12" Type="http://schemas.openxmlformats.org/officeDocument/2006/relationships/hyperlink" Target="https://www.sciencedirect.com/science/article/abs/pii/0079194675900373" TargetMode="External"/><Relationship Id="rId17" Type="http://schemas.openxmlformats.org/officeDocument/2006/relationships/hyperlink" Target="https://www.lpi.usra.edu/meteor/?code=32788" TargetMode="External"/><Relationship Id="rId33" Type="http://schemas.openxmlformats.org/officeDocument/2006/relationships/hyperlink" Target="https://agupubs.onlinelibrary.wiley.com/doi/full/10.1029/2019JE006011" TargetMode="External"/><Relationship Id="rId38" Type="http://schemas.openxmlformats.org/officeDocument/2006/relationships/hyperlink" Target="https://academic.oup.com/petrology/article-pdf/52/2/279/16671653/egq080.pdf" TargetMode="External"/><Relationship Id="rId59" Type="http://schemas.openxmlformats.org/officeDocument/2006/relationships/hyperlink" Target="https://trace.tennessee.edu/cgi/viewcontent.cgi?article=1440&amp;context=utk_graddiss" TargetMode="External"/><Relationship Id="rId103" Type="http://schemas.openxmlformats.org/officeDocument/2006/relationships/hyperlink" Target="http://articles.adsabs.harvard.edu/cgi-bin/nph-iarticle_query?1994AMR.....7....9I&amp;defaultprint=YES&amp;filetype=.pdf" TargetMode="External"/><Relationship Id="rId108" Type="http://schemas.openxmlformats.org/officeDocument/2006/relationships/hyperlink" Target="http://articles.adsabs.harvard.edu/cgi-bin/nph-iarticle_query?1989Metic..24..219M&amp;defaultprint=YES&amp;filetype=.pdf" TargetMode="External"/><Relationship Id="rId124" Type="http://schemas.openxmlformats.org/officeDocument/2006/relationships/hyperlink" Target="https://citeseerx.ist.psu.edu/viewdoc/download?doi=10.1.1.474.4985&amp;rep=rep1&amp;type=pdf" TargetMode="External"/><Relationship Id="rId129" Type="http://schemas.openxmlformats.org/officeDocument/2006/relationships/hyperlink" Target="http://adsabs.harvard.edu/pdf/1990Metic..25...77M" TargetMode="External"/><Relationship Id="rId54" Type="http://schemas.openxmlformats.org/officeDocument/2006/relationships/hyperlink" Target="https://trace.tennessee.edu/cgi/viewcontent.cgi?article=1440&amp;context=utk_graddiss" TargetMode="External"/><Relationship Id="rId70" Type="http://schemas.openxmlformats.org/officeDocument/2006/relationships/hyperlink" Target="https://trace.tennessee.edu/cgi/viewcontent.cgi?article=1440&amp;context=utk_graddiss" TargetMode="External"/><Relationship Id="rId75" Type="http://schemas.openxmlformats.org/officeDocument/2006/relationships/hyperlink" Target="https://trace.tennessee.edu/cgi/viewcontent.cgi?article=1440&amp;context=utk_graddiss" TargetMode="External"/><Relationship Id="rId91" Type="http://schemas.openxmlformats.org/officeDocument/2006/relationships/hyperlink" Target="http://articles.adsabs.harvard.edu/cgi-bin/nph-iarticle_query?1998AMR....11...49Y&amp;defaultprint=YES&amp;filetype=.pdf" TargetMode="External"/><Relationship Id="rId96" Type="http://schemas.openxmlformats.org/officeDocument/2006/relationships/hyperlink" Target="https://onlinelibrary.wiley.com/doi/pdf/10.1111/j.1945-5100.2010.01061.x" TargetMode="External"/><Relationship Id="rId140" Type="http://schemas.openxmlformats.org/officeDocument/2006/relationships/hyperlink" Target="https://nipr.repo.nii.ac.jp/?action=repository_action_common_download&amp;item_id=1044&amp;item_no=1&amp;attribute_id=18&amp;file_no=1" TargetMode="External"/><Relationship Id="rId145" Type="http://schemas.openxmlformats.org/officeDocument/2006/relationships/hyperlink" Target="http://articles.adsabs.harvard.edu/pdf/2002M%26PS...37...75G" TargetMode="External"/><Relationship Id="rId1" Type="http://schemas.openxmlformats.org/officeDocument/2006/relationships/hyperlink" Target="https://link.springer.com/article/10.1007/BF00373580" TargetMode="External"/><Relationship Id="rId6" Type="http://schemas.openxmlformats.org/officeDocument/2006/relationships/hyperlink" Target="https://onlinelibrary.wiley.com/doi/pdf/10.1111/j.1945-5100.1998.tb01624.x" TargetMode="External"/><Relationship Id="rId23" Type="http://schemas.openxmlformats.org/officeDocument/2006/relationships/hyperlink" Target="https://trace.tennessee.edu/cgi/viewcontent.cgi?article=1440&amp;context=utk_graddiss" TargetMode="External"/><Relationship Id="rId28" Type="http://schemas.openxmlformats.org/officeDocument/2006/relationships/hyperlink" Target="https://onlinelibrary.wiley.com/doi/pdf/10.1111/j.1945-5100.2010.01061.x" TargetMode="External"/><Relationship Id="rId49" Type="http://schemas.openxmlformats.org/officeDocument/2006/relationships/hyperlink" Target="https://pubs.geoscienceworld.org/gsa/gsabulletin/article-pdf/70/11/1425/3431838/i0016-7606-70-11-1425.pdf" TargetMode="External"/><Relationship Id="rId114" Type="http://schemas.openxmlformats.org/officeDocument/2006/relationships/hyperlink" Target="https://www.jstor.org/stable/pdf/2990353.pdf?refreqid=excelsior%3A18b205a677b4abb7936bcf833bbba947" TargetMode="External"/><Relationship Id="rId119" Type="http://schemas.openxmlformats.org/officeDocument/2006/relationships/hyperlink" Target="https://onlinelibrary.wiley.com/doi/pdf/10.1111/j.1945-5100.2010.01021.x" TargetMode="External"/><Relationship Id="rId44" Type="http://schemas.openxmlformats.org/officeDocument/2006/relationships/hyperlink" Target="https://www.nature.com/articles/303325a0.pdf" TargetMode="External"/><Relationship Id="rId60" Type="http://schemas.openxmlformats.org/officeDocument/2006/relationships/hyperlink" Target="https://trace.tennessee.edu/cgi/viewcontent.cgi?article=1440&amp;context=utk_graddiss" TargetMode="External"/><Relationship Id="rId65" Type="http://schemas.openxmlformats.org/officeDocument/2006/relationships/hyperlink" Target="https://trace.tennessee.edu/cgi/viewcontent.cgi?article=1440&amp;context=utk_graddiss" TargetMode="External"/><Relationship Id="rId81" Type="http://schemas.openxmlformats.org/officeDocument/2006/relationships/hyperlink" Target="https://trace.tennessee.edu/cgi/viewcontent.cgi?article=1440&amp;context=utk_graddiss" TargetMode="External"/><Relationship Id="rId86" Type="http://schemas.openxmlformats.org/officeDocument/2006/relationships/hyperlink" Target="http://articles.adsabs.harvard.edu/cgi-bin/nph-iarticle_query?1998AMR....11...49Y&amp;defaultprint=YES&amp;filetype=.pdf" TargetMode="External"/><Relationship Id="rId130" Type="http://schemas.openxmlformats.org/officeDocument/2006/relationships/hyperlink" Target="https://www.lpi.usra.edu/meetings/lpsc1994/pdf/1453.pdf" TargetMode="External"/><Relationship Id="rId135" Type="http://schemas.openxmlformats.org/officeDocument/2006/relationships/hyperlink" Target="https://www.lpi.usra.edu/meetings/lpsc1994/pdf/1453.pdf" TargetMode="External"/><Relationship Id="rId151" Type="http://schemas.openxmlformats.org/officeDocument/2006/relationships/hyperlink" Target="http://articles.adsabs.harvard.edu/cgi-bin/nph-iarticle_query?1989Metic..24..219M&amp;defaultprint=YES&amp;filetype=.pdf" TargetMode="External"/><Relationship Id="rId156" Type="http://schemas.openxmlformats.org/officeDocument/2006/relationships/hyperlink" Target="https://www.researchgate.net/publication/348799548_Unmixing_Mineral_Abundance_and_Mg_With_Radiative_Transfer_Theory_Modeling_and_Applications" TargetMode="External"/><Relationship Id="rId13" Type="http://schemas.openxmlformats.org/officeDocument/2006/relationships/hyperlink" Target="https://citeseerx.ist.psu.edu/viewdoc/download?doi=10.1.1.581.1908&amp;rep=rep1&amp;type=pdf" TargetMode="External"/><Relationship Id="rId18" Type="http://schemas.openxmlformats.org/officeDocument/2006/relationships/hyperlink" Target="https://www.lpi.usra.edu/meetings/lpsc2002/pdf/1168.pdf" TargetMode="External"/><Relationship Id="rId39" Type="http://schemas.openxmlformats.org/officeDocument/2006/relationships/hyperlink" Target="https://academic.oup.com/petrology/article-pdf/52/2/279/16671653/egq080.pdf" TargetMode="External"/><Relationship Id="rId109" Type="http://schemas.openxmlformats.org/officeDocument/2006/relationships/hyperlink" Target="http://articles.adsabs.harvard.edu/cgi-bin/nph-iarticle_query?1989Metic..24..219M&amp;defaultprint=YES&amp;filetype=.pdf" TargetMode="External"/><Relationship Id="rId34" Type="http://schemas.openxmlformats.org/officeDocument/2006/relationships/hyperlink" Target="https://agupubs.onlinelibrary.wiley.com/doi/full/10.1029/2019JE006011" TargetMode="External"/><Relationship Id="rId50" Type="http://schemas.openxmlformats.org/officeDocument/2006/relationships/hyperlink" Target="https://www.lpi.usra.edu/meteor/metbull.php?code=604" TargetMode="External"/><Relationship Id="rId55" Type="http://schemas.openxmlformats.org/officeDocument/2006/relationships/hyperlink" Target="http://adsabs.harvard.edu/pdf/1980Metic..15...69D" TargetMode="External"/><Relationship Id="rId76" Type="http://schemas.openxmlformats.org/officeDocument/2006/relationships/hyperlink" Target="https://trace.tennessee.edu/cgi/viewcontent.cgi?article=1440&amp;context=utk_graddiss" TargetMode="External"/><Relationship Id="rId97" Type="http://schemas.openxmlformats.org/officeDocument/2006/relationships/hyperlink" Target="https://onlinelibrary.wiley.com/doi/pdf/10.1111/j.1945-5100.2010.01061.x" TargetMode="External"/><Relationship Id="rId104" Type="http://schemas.openxmlformats.org/officeDocument/2006/relationships/hyperlink" Target="https://www.lpi.usra.edu/meteor/metbull.php?sea=77005&amp;sfor=names&amp;ants=&amp;nwas=&amp;falls=&amp;valids=&amp;stype=contains&amp;lrec=50&amp;map=ge&amp;browse=&amp;country=All&amp;srt=name&amp;categ=All&amp;mblist=All&amp;rect=&amp;phot=&amp;strewn=&amp;snew=0&amp;pnt=Normal%20table&amp;code=1321" TargetMode="External"/><Relationship Id="rId120" Type="http://schemas.openxmlformats.org/officeDocument/2006/relationships/hyperlink" Target="https://onlinelibrary.wiley.com/doi/pdf/10.1111/j.1945-5100.2010.01021.x" TargetMode="External"/><Relationship Id="rId125" Type="http://schemas.openxmlformats.org/officeDocument/2006/relationships/hyperlink" Target="https://link.springer.com/content/pdf/10.1007%2FBF01164487.pdf" TargetMode="External"/><Relationship Id="rId141" Type="http://schemas.openxmlformats.org/officeDocument/2006/relationships/hyperlink" Target="http://articles.adsabs.harvard.edu/cgi-bin/nph-iarticle_query?1988LPI....19..134B&amp;defaultprint=YES&amp;page_ind=1&amp;filetype=.pdf" TargetMode="External"/><Relationship Id="rId146" Type="http://schemas.openxmlformats.org/officeDocument/2006/relationships/hyperlink" Target="http://articles.adsabs.harvard.edu/pdf/2002M%26PS...37...75G" TargetMode="External"/><Relationship Id="rId7" Type="http://schemas.openxmlformats.org/officeDocument/2006/relationships/hyperlink" Target="https://www.sciencedirect.com/science/article/abs/pii/0079194675900373" TargetMode="External"/><Relationship Id="rId71" Type="http://schemas.openxmlformats.org/officeDocument/2006/relationships/hyperlink" Target="https://trace.tennessee.edu/cgi/viewcontent.cgi?article=1440&amp;context=utk_graddiss" TargetMode="External"/><Relationship Id="rId92" Type="http://schemas.openxmlformats.org/officeDocument/2006/relationships/hyperlink" Target="https://onlinelibrary.wiley.com/doi/epdf/10.1111/maps.13203" TargetMode="External"/><Relationship Id="rId2" Type="http://schemas.openxmlformats.org/officeDocument/2006/relationships/hyperlink" Target="https://link.springer.com/article/10.1007/BF00373580" TargetMode="External"/><Relationship Id="rId29" Type="http://schemas.openxmlformats.org/officeDocument/2006/relationships/hyperlink" Target="https://www.lpi.usra.edu/meteor/metbull.php?sea=77005&amp;sfor=names&amp;ants=&amp;nwas=&amp;falls=&amp;valids=&amp;stype=contains&amp;lrec=50&amp;map=ge&amp;browse=&amp;country=All&amp;srt=name&amp;categ=All&amp;mblist=All&amp;rect=&amp;phot=&amp;strewn=&amp;snew=0&amp;pnt=Normal%20table&amp;code=1321" TargetMode="External"/><Relationship Id="rId24" Type="http://schemas.openxmlformats.org/officeDocument/2006/relationships/hyperlink" Target="https://trace.tennessee.edu/cgi/viewcontent.cgi?article=1440&amp;context=utk_graddiss" TargetMode="External"/><Relationship Id="rId40" Type="http://schemas.openxmlformats.org/officeDocument/2006/relationships/hyperlink" Target="https://academic.oup.com/petrology/article-pdf/52/2/279/16671653/egq080.pdf" TargetMode="External"/><Relationship Id="rId45" Type="http://schemas.openxmlformats.org/officeDocument/2006/relationships/hyperlink" Target="https://www.sciencedirect.com/science/article/pii/S0019103596955839%20%20%20AND%20%20%20Taki's%20mail" TargetMode="External"/><Relationship Id="rId66" Type="http://schemas.openxmlformats.org/officeDocument/2006/relationships/hyperlink" Target="https://trace.tennessee.edu/cgi/viewcontent.cgi?article=1440&amp;context=utk_graddiss" TargetMode="External"/><Relationship Id="rId87" Type="http://schemas.openxmlformats.org/officeDocument/2006/relationships/hyperlink" Target="https://repositorio.usp.br/directbitstream/74abfc4e-d276-49f9-9b1a-b06ab0edb676/1529694.pdf" TargetMode="External"/><Relationship Id="rId110" Type="http://schemas.openxmlformats.org/officeDocument/2006/relationships/hyperlink" Target="http://articles.adsabs.harvard.edu/cgi-bin/nph-iarticle_query?1989Metic..24..219M&amp;defaultprint=YES&amp;filetype=.pdf" TargetMode="External"/><Relationship Id="rId115" Type="http://schemas.openxmlformats.org/officeDocument/2006/relationships/hyperlink" Target="https://core.ac.uk/download/pdf/12532709.pdf" TargetMode="External"/><Relationship Id="rId131" Type="http://schemas.openxmlformats.org/officeDocument/2006/relationships/hyperlink" Target="https://www.lpi.usra.edu/meetings/lpsc1994/pdf/1453.pdf" TargetMode="External"/><Relationship Id="rId136" Type="http://schemas.openxmlformats.org/officeDocument/2006/relationships/hyperlink" Target="https://www.lpi.usra.edu/meetings/lpsc1994/pdf/1453.pdf" TargetMode="External"/><Relationship Id="rId157" Type="http://schemas.openxmlformats.org/officeDocument/2006/relationships/hyperlink" Target="https://www.researchgate.net/publication/348799548_Unmixing_Mineral_Abundance_and_Mg_With_Radiative_Transfer_Theory_Modeling_and_Applications" TargetMode="External"/><Relationship Id="rId61" Type="http://schemas.openxmlformats.org/officeDocument/2006/relationships/hyperlink" Target="https://trace.tennessee.edu/cgi/viewcontent.cgi?article=1440&amp;context=utk_graddiss" TargetMode="External"/><Relationship Id="rId82" Type="http://schemas.openxmlformats.org/officeDocument/2006/relationships/hyperlink" Target="https://trace.tennessee.edu/cgi/viewcontent.cgi?article=1440&amp;context=utk_graddiss" TargetMode="External"/><Relationship Id="rId152" Type="http://schemas.openxmlformats.org/officeDocument/2006/relationships/hyperlink" Target="http://adsabs.harvard.edu/pdf/1994metic..29..100g" TargetMode="External"/><Relationship Id="rId19" Type="http://schemas.openxmlformats.org/officeDocument/2006/relationships/hyperlink" Target="https://www.lpi.usra.edu/meetings/lpsc2002/pdf/1168.pdf" TargetMode="External"/><Relationship Id="rId14" Type="http://schemas.openxmlformats.org/officeDocument/2006/relationships/hyperlink" Target="https://www.sciencedirect.com/science/article/pii/S2214242815000297" TargetMode="External"/><Relationship Id="rId30" Type="http://schemas.openxmlformats.org/officeDocument/2006/relationships/hyperlink" Target="https://journals.uair.arizona.edu/index.php/maps/article/download/15089/15060" TargetMode="External"/><Relationship Id="rId35" Type="http://schemas.openxmlformats.org/officeDocument/2006/relationships/hyperlink" Target="https://agupubs.onlinelibrary.wiley.com/doi/full/10.1029/2019JE006011" TargetMode="External"/><Relationship Id="rId56" Type="http://schemas.openxmlformats.org/officeDocument/2006/relationships/hyperlink" Target="https://trace.tennessee.edu/cgi/viewcontent.cgi?article=1440&amp;context=utk_graddiss" TargetMode="External"/><Relationship Id="rId77" Type="http://schemas.openxmlformats.org/officeDocument/2006/relationships/hyperlink" Target="https://trace.tennessee.edu/cgi/viewcontent.cgi?article=1440&amp;context=utk_graddiss" TargetMode="External"/><Relationship Id="rId100" Type="http://schemas.openxmlformats.org/officeDocument/2006/relationships/hyperlink" Target="https://www.lpi.usra.edu/meteor/metbull.php?sea=77005&amp;sfor=names&amp;ants=&amp;nwas=&amp;falls=&amp;valids=&amp;stype=contains&amp;lrec=50&amp;map=ge&amp;browse=&amp;country=All&amp;srt=name&amp;categ=All&amp;mblist=All&amp;rect=&amp;phot=&amp;strewn=&amp;snew=0&amp;pnt=Normal%20table&amp;code=1321" TargetMode="External"/><Relationship Id="rId105" Type="http://schemas.openxmlformats.org/officeDocument/2006/relationships/hyperlink" Target="https://hal.archives-ouvertes.fr/hal-00674908/document" TargetMode="External"/><Relationship Id="rId126" Type="http://schemas.openxmlformats.org/officeDocument/2006/relationships/hyperlink" Target="http://articles.adsabs.harvard.edu/cgi-bin/nph-iarticle_query?1977Metic..12..241G&amp;defaultprint=YES&amp;filetype=.pdf" TargetMode="External"/><Relationship Id="rId147" Type="http://schemas.openxmlformats.org/officeDocument/2006/relationships/hyperlink" Target="http://articles.adsabs.harvard.edu/pdf/2002M%26PS...37...75G" TargetMode="External"/><Relationship Id="rId8" Type="http://schemas.openxmlformats.org/officeDocument/2006/relationships/hyperlink" Target="https://www.sciencedirect.com/science/article/abs/pii/0079194675900373" TargetMode="External"/><Relationship Id="rId51" Type="http://schemas.openxmlformats.org/officeDocument/2006/relationships/hyperlink" Target="https://trace.tennessee.edu/cgi/viewcontent.cgi?article=1440&amp;context=utk_graddiss" TargetMode="External"/><Relationship Id="rId72" Type="http://schemas.openxmlformats.org/officeDocument/2006/relationships/hyperlink" Target="https://trace.tennessee.edu/cgi/viewcontent.cgi?article=1440&amp;context=utk_graddiss" TargetMode="External"/><Relationship Id="rId93" Type="http://schemas.openxmlformats.org/officeDocument/2006/relationships/hyperlink" Target="http://adsabs.harvard.edu/pdf/1989LPSC...19..475W" TargetMode="External"/><Relationship Id="rId98" Type="http://schemas.openxmlformats.org/officeDocument/2006/relationships/hyperlink" Target="https://www.sciencedirect.com/science/article/pii/S0016703715000332" TargetMode="External"/><Relationship Id="rId121" Type="http://schemas.openxmlformats.org/officeDocument/2006/relationships/hyperlink" Target="https://onlinelibrary.wiley.com/doi/pdf/10.1111/j.1945-5100.2010.01021.x" TargetMode="External"/><Relationship Id="rId142" Type="http://schemas.openxmlformats.org/officeDocument/2006/relationships/hyperlink" Target="http://articles.adsabs.harvard.edu/pdf/2002M%26PS...37...75G" TargetMode="External"/><Relationship Id="rId3" Type="http://schemas.openxmlformats.org/officeDocument/2006/relationships/hyperlink" Target="https://link.springer.com/article/10.1007/BF00373580" TargetMode="External"/><Relationship Id="rId25" Type="http://schemas.openxmlformats.org/officeDocument/2006/relationships/hyperlink" Target="https://onlinelibrary.wiley.com/doi/pdf/10.1111/j.1945-5100.2010.01061.x" TargetMode="External"/><Relationship Id="rId46" Type="http://schemas.openxmlformats.org/officeDocument/2006/relationships/hyperlink" Target="https://www.sciencedirect.com/science/article/pii/S0019103596955839%20%20%20AND%20%20%20Taki's%20mail" TargetMode="External"/><Relationship Id="rId67" Type="http://schemas.openxmlformats.org/officeDocument/2006/relationships/hyperlink" Target="https://trace.tennessee.edu/cgi/viewcontent.cgi?article=1440&amp;context=utk_graddiss" TargetMode="External"/><Relationship Id="rId116" Type="http://schemas.openxmlformats.org/officeDocument/2006/relationships/hyperlink" Target="https://core.ac.uk/download/pdf/12532709.pdf" TargetMode="External"/><Relationship Id="rId137" Type="http://schemas.openxmlformats.org/officeDocument/2006/relationships/hyperlink" Target="https://nipr.repo.nii.ac.jp/?action=repository_action_common_download&amp;item_id=1044&amp;item_no=1&amp;attribute_id=18&amp;file_no=1" TargetMode="External"/><Relationship Id="rId158" Type="http://schemas.openxmlformats.org/officeDocument/2006/relationships/printerSettings" Target="../printerSettings/printerSettings1.bin"/><Relationship Id="rId20" Type="http://schemas.openxmlformats.org/officeDocument/2006/relationships/hyperlink" Target="https://www.lpi.usra.edu/meetings/lpsc2002/pdf/1168.pdf" TargetMode="External"/><Relationship Id="rId41" Type="http://schemas.openxmlformats.org/officeDocument/2006/relationships/hyperlink" Target="https://academic.oup.com/petrology/article-pdf/52/2/279/16671653/egq080.pdf" TargetMode="External"/><Relationship Id="rId62" Type="http://schemas.openxmlformats.org/officeDocument/2006/relationships/hyperlink" Target="https://trace.tennessee.edu/cgi/viewcontent.cgi?article=1440&amp;context=utk_graddiss" TargetMode="External"/><Relationship Id="rId83" Type="http://schemas.openxmlformats.org/officeDocument/2006/relationships/hyperlink" Target="https://www.jstage.jst.go.jp/article/minerj/9/8/9_8_460/_pdf" TargetMode="External"/><Relationship Id="rId88" Type="http://schemas.openxmlformats.org/officeDocument/2006/relationships/hyperlink" Target="https://onlinelibrary.wiley.com/doi/epdf/10.1111/maps.13203" TargetMode="External"/><Relationship Id="rId111" Type="http://schemas.openxmlformats.org/officeDocument/2006/relationships/hyperlink" Target="http://articles.adsabs.harvard.edu/cgi-bin/nph-iarticle_query?1989Metic..24..219M&amp;defaultprint=YES&amp;filetype=.pdf" TargetMode="External"/><Relationship Id="rId132" Type="http://schemas.openxmlformats.org/officeDocument/2006/relationships/hyperlink" Target="https://www.lpi.usra.edu/meetings/lpsc1994/pdf/1453.pdf" TargetMode="External"/><Relationship Id="rId153" Type="http://schemas.openxmlformats.org/officeDocument/2006/relationships/hyperlink" Target="https://onlinelibrary.wiley.com/doi/pdf/10.1111/j.1945-5100.2010.01021.x" TargetMode="External"/><Relationship Id="rId15" Type="http://schemas.openxmlformats.org/officeDocument/2006/relationships/hyperlink" Target="http://adsabs.harvard.edu/pdf/1975Metic..10..303B" TargetMode="External"/><Relationship Id="rId36" Type="http://schemas.openxmlformats.org/officeDocument/2006/relationships/hyperlink" Target="https://agupubs.onlinelibrary.wiley.com/doi/full/10.1029/2019JE006011" TargetMode="External"/><Relationship Id="rId57" Type="http://schemas.openxmlformats.org/officeDocument/2006/relationships/hyperlink" Target="https://trace.tennessee.edu/cgi/viewcontent.cgi?article=1440&amp;context=utk_graddiss" TargetMode="External"/><Relationship Id="rId106" Type="http://schemas.openxmlformats.org/officeDocument/2006/relationships/hyperlink" Target="https://www.jstage.jst.go.jp/article/minerj/9/8/9_8_460/_pdf" TargetMode="External"/><Relationship Id="rId127" Type="http://schemas.openxmlformats.org/officeDocument/2006/relationships/hyperlink" Target="http://articles.adsabs.harvard.edu/cgi-bin/nph-iarticle_query?1981Metic..16...93D&amp;defaultprint=YES&amp;filetype=.pdf" TargetMode="External"/><Relationship Id="rId10" Type="http://schemas.openxmlformats.org/officeDocument/2006/relationships/hyperlink" Target="https://www.sciencedirect.com/science/article/abs/pii/0079194675900373" TargetMode="External"/><Relationship Id="rId31" Type="http://schemas.openxmlformats.org/officeDocument/2006/relationships/hyperlink" Target="https://agupubs.onlinelibrary.wiley.com/doi/full/10.1029/2019JE006011" TargetMode="External"/><Relationship Id="rId52" Type="http://schemas.openxmlformats.org/officeDocument/2006/relationships/hyperlink" Target="https://trace.tennessee.edu/cgi/viewcontent.cgi?article=1440&amp;context=utk_graddiss" TargetMode="External"/><Relationship Id="rId73" Type="http://schemas.openxmlformats.org/officeDocument/2006/relationships/hyperlink" Target="https://trace.tennessee.edu/cgi/viewcontent.cgi?article=1440&amp;context=utk_graddiss" TargetMode="External"/><Relationship Id="rId78" Type="http://schemas.openxmlformats.org/officeDocument/2006/relationships/hyperlink" Target="https://trace.tennessee.edu/cgi/viewcontent.cgi?article=1440&amp;context=utk_graddiss" TargetMode="External"/><Relationship Id="rId94" Type="http://schemas.openxmlformats.org/officeDocument/2006/relationships/hyperlink" Target="http://adsabs.harvard.edu/pdf/1989LPSC...19..475W" TargetMode="External"/><Relationship Id="rId99" Type="http://schemas.openxmlformats.org/officeDocument/2006/relationships/hyperlink" Target="http://articles.adsabs.harvard.edu/cgi-bin/nph-iarticle_query?1994AMR.....7....9I&amp;defaultprint=YES&amp;filetype=.pdf" TargetMode="External"/><Relationship Id="rId101" Type="http://schemas.openxmlformats.org/officeDocument/2006/relationships/hyperlink" Target="https://hal.archives-ouvertes.fr/hal-00674908/document" TargetMode="External"/><Relationship Id="rId122" Type="http://schemas.openxmlformats.org/officeDocument/2006/relationships/hyperlink" Target="https://citeseerx.ist.psu.edu/viewdoc/download?doi=10.1.1.474.4985&amp;rep=rep1&amp;type=pdf" TargetMode="External"/><Relationship Id="rId143" Type="http://schemas.openxmlformats.org/officeDocument/2006/relationships/hyperlink" Target="http://articles.adsabs.harvard.edu/pdf/2002M%26PS...37...75G" TargetMode="External"/><Relationship Id="rId148" Type="http://schemas.openxmlformats.org/officeDocument/2006/relationships/hyperlink" Target="https://www.researchgate.net/publication/348799548_Unmixing_Mineral_Abundance_and_Mg_With_Radiative_Transfer_Theory_Modeling_and_Applications" TargetMode="External"/><Relationship Id="rId4" Type="http://schemas.openxmlformats.org/officeDocument/2006/relationships/hyperlink" Target="https://link.springer.com/article/10.1007/BF00373580" TargetMode="External"/><Relationship Id="rId9" Type="http://schemas.openxmlformats.org/officeDocument/2006/relationships/hyperlink" Target="https://www.sciencedirect.com/science/article/abs/pii/0079194675900373" TargetMode="External"/><Relationship Id="rId26" Type="http://schemas.openxmlformats.org/officeDocument/2006/relationships/hyperlink" Target="https://onlinelibrary.wiley.com/doi/pdf/10.1111/j.1945-5100.2010.01061.x" TargetMode="External"/><Relationship Id="rId47" Type="http://schemas.openxmlformats.org/officeDocument/2006/relationships/hyperlink" Target="https://www.sciencedirect.com/science/article/pii/S0019103596955839%20%20%20AND%20%20%20Taki's%20mail" TargetMode="External"/><Relationship Id="rId68" Type="http://schemas.openxmlformats.org/officeDocument/2006/relationships/hyperlink" Target="https://trace.tennessee.edu/cgi/viewcontent.cgi?article=1440&amp;context=utk_graddiss" TargetMode="External"/><Relationship Id="rId89" Type="http://schemas.openxmlformats.org/officeDocument/2006/relationships/hyperlink" Target="http://articles.adsabs.harvard.edu/cgi-bin/nph-iarticle_query?1998AMR....11...49Y&amp;defaultprint=YES&amp;filetype=.pdf" TargetMode="External"/><Relationship Id="rId112" Type="http://schemas.openxmlformats.org/officeDocument/2006/relationships/hyperlink" Target="https://www.jstor.org/stable/pdf/2990353.pdf?refreqid=excelsior%3A18b205a677b4abb7936bcf833bbba947" TargetMode="External"/><Relationship Id="rId133" Type="http://schemas.openxmlformats.org/officeDocument/2006/relationships/hyperlink" Target="https://www.lpi.usra.edu/meetings/lpsc1994/pdf/1453.pdf" TargetMode="External"/><Relationship Id="rId154" Type="http://schemas.openxmlformats.org/officeDocument/2006/relationships/hyperlink" Target="https://onlinelibrary.wiley.com/doi/pdf/10.1111/j.1945-5100.2010.01021.x" TargetMode="External"/><Relationship Id="rId16" Type="http://schemas.openxmlformats.org/officeDocument/2006/relationships/hyperlink" Target="https://academic.oup.com/petrology/article-abstract/61/9/egaa087/5897419?redirectedFrom=fulltext" TargetMode="External"/><Relationship Id="rId37" Type="http://schemas.openxmlformats.org/officeDocument/2006/relationships/hyperlink" Target="https://agupubs.onlinelibrary.wiley.com/doi/full/10.1029/2019JE006011" TargetMode="External"/><Relationship Id="rId58" Type="http://schemas.openxmlformats.org/officeDocument/2006/relationships/hyperlink" Target="https://trace.tennessee.edu/cgi/viewcontent.cgi?article=1440&amp;context=utk_graddiss" TargetMode="External"/><Relationship Id="rId79" Type="http://schemas.openxmlformats.org/officeDocument/2006/relationships/hyperlink" Target="https://trace.tennessee.edu/cgi/viewcontent.cgi?article=1440&amp;context=utk_graddiss" TargetMode="External"/><Relationship Id="rId102" Type="http://schemas.openxmlformats.org/officeDocument/2006/relationships/hyperlink" Target="https://www.jstage.jst.go.jp/article/minerj/9/8/9_8_460/_pdf" TargetMode="External"/><Relationship Id="rId123" Type="http://schemas.openxmlformats.org/officeDocument/2006/relationships/hyperlink" Target="https://citeseerx.ist.psu.edu/viewdoc/download?doi=10.1.1.474.4985&amp;rep=rep1&amp;type=pdf" TargetMode="External"/><Relationship Id="rId144" Type="http://schemas.openxmlformats.org/officeDocument/2006/relationships/hyperlink" Target="http://articles.adsabs.harvard.edu/pdf/2002M%26PS...37...75G" TargetMode="External"/><Relationship Id="rId90" Type="http://schemas.openxmlformats.org/officeDocument/2006/relationships/hyperlink" Target="https://onlinelibrary.wiley.com/doi/epdf/10.1111/maps.13203" TargetMode="External"/><Relationship Id="rId27" Type="http://schemas.openxmlformats.org/officeDocument/2006/relationships/hyperlink" Target="https://onlinelibrary.wiley.com/doi/pdf/10.1111/j.1945-5100.2010.01061.x" TargetMode="External"/><Relationship Id="rId48" Type="http://schemas.openxmlformats.org/officeDocument/2006/relationships/hyperlink" Target="https://www.sciencedirect.com/science/article/pii/S0019103596955839%20%20%20AND%20%20%20Taki's%20mail" TargetMode="External"/><Relationship Id="rId69" Type="http://schemas.openxmlformats.org/officeDocument/2006/relationships/hyperlink" Target="https://trace.tennessee.edu/cgi/viewcontent.cgi?article=1440&amp;context=utk_graddiss" TargetMode="External"/><Relationship Id="rId113" Type="http://schemas.openxmlformats.org/officeDocument/2006/relationships/hyperlink" Target="https://www.jstor.org/stable/pdf/2990353.pdf?refreqid=excelsior%3A18b205a677b4abb7936bcf833bbba947" TargetMode="External"/><Relationship Id="rId134" Type="http://schemas.openxmlformats.org/officeDocument/2006/relationships/hyperlink" Target="https://www.lpi.usra.edu/meetings/lpsc1994/pdf/145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15706"/>
  <sheetViews>
    <sheetView tabSelected="1" zoomScale="70" zoomScaleNormal="70" workbookViewId="0">
      <pane xSplit="1" topLeftCell="B482" activePane="topRight" state="frozen"/>
      <selection pane="topRight" activeCell="B512" sqref="B512"/>
      <selection activeCell="A2" sqref="A2"/>
    </sheetView>
  </sheetViews>
  <sheetFormatPr defaultColWidth="11.42578125" defaultRowHeight="11.85"/>
  <cols>
    <col min="1" max="1" width="15.85546875" style="97" bestFit="1" customWidth="1"/>
    <col min="2" max="2" width="38.85546875" style="98" customWidth="1"/>
    <col min="3" max="3" width="5.140625" style="99" bestFit="1" customWidth="1"/>
    <col min="4" max="4" width="8.5703125" style="99" customWidth="1"/>
    <col min="5" max="5" width="14" style="97" customWidth="1"/>
    <col min="6" max="6" width="13.7109375" style="97" customWidth="1"/>
    <col min="7" max="7" width="21.28515625" style="97" customWidth="1"/>
    <col min="8" max="8" width="28.42578125" style="97" customWidth="1"/>
    <col min="9" max="9" width="7.85546875" style="97" bestFit="1" customWidth="1"/>
    <col min="10" max="10" width="7.140625" style="97" bestFit="1" customWidth="1"/>
    <col min="11" max="11" width="7.85546875" style="97" bestFit="1" customWidth="1"/>
    <col min="12" max="12" width="9.85546875" style="97" bestFit="1" customWidth="1"/>
    <col min="13" max="13" width="35.5703125" style="97" customWidth="1"/>
    <col min="14" max="14" width="49" style="97" customWidth="1"/>
    <col min="15" max="15" width="29.140625" style="97" customWidth="1"/>
    <col min="16" max="16" width="6.7109375" style="97" bestFit="1" customWidth="1"/>
    <col min="17" max="17" width="51.140625" style="100" customWidth="1"/>
    <col min="18" max="18" width="14" style="97" customWidth="1"/>
    <col min="19" max="20" width="16" style="97" customWidth="1"/>
    <col min="21" max="21" width="16" style="100" customWidth="1"/>
    <col min="22" max="22" width="11.42578125" style="97"/>
    <col min="23" max="23" width="11.42578125" style="100"/>
    <col min="24" max="24" width="10.5703125" style="103" bestFit="1" customWidth="1"/>
    <col min="25" max="25" width="10.5703125" style="103" customWidth="1"/>
    <col min="26" max="26" width="10.5703125" style="115" bestFit="1" customWidth="1"/>
    <col min="27" max="28" width="10.5703125" style="103" customWidth="1"/>
    <col min="29" max="29" width="10.5703125" style="115" customWidth="1"/>
    <col min="30" max="31" width="10.5703125" style="103" customWidth="1"/>
    <col min="32" max="32" width="10.5703125" style="115" customWidth="1"/>
    <col min="33" max="33" width="19.7109375" style="97" customWidth="1"/>
    <col min="34" max="34" width="25.42578125" style="97" customWidth="1"/>
    <col min="35" max="36" width="9.140625" style="103"/>
    <col min="37" max="39" width="11.42578125" style="97"/>
    <col min="40" max="47" width="11.42578125" style="104"/>
    <col min="48" max="16384" width="11.42578125" style="97"/>
  </cols>
  <sheetData>
    <row r="1" spans="1:47" ht="12">
      <c r="A1" s="105" t="s">
        <v>0</v>
      </c>
      <c r="B1" s="106" t="s">
        <v>1</v>
      </c>
      <c r="C1" s="107" t="s">
        <v>2</v>
      </c>
      <c r="D1" s="107" t="s">
        <v>3</v>
      </c>
      <c r="E1" s="105" t="s">
        <v>4</v>
      </c>
      <c r="F1" s="105" t="s">
        <v>5</v>
      </c>
      <c r="G1" s="105" t="s">
        <v>6</v>
      </c>
      <c r="H1" s="105" t="s">
        <v>7</v>
      </c>
      <c r="I1" s="105" t="s">
        <v>8</v>
      </c>
      <c r="J1" s="105" t="s">
        <v>9</v>
      </c>
      <c r="K1" s="105" t="s">
        <v>10</v>
      </c>
      <c r="L1" s="105" t="s">
        <v>11</v>
      </c>
      <c r="M1" s="105" t="s">
        <v>12</v>
      </c>
      <c r="N1" s="105" t="s">
        <v>13</v>
      </c>
      <c r="O1" s="105" t="s">
        <v>14</v>
      </c>
      <c r="P1" s="105" t="s">
        <v>15</v>
      </c>
      <c r="Q1" s="108" t="s">
        <v>16</v>
      </c>
      <c r="R1" s="105" t="s">
        <v>17</v>
      </c>
      <c r="S1" s="105" t="s">
        <v>18</v>
      </c>
      <c r="T1" s="105" t="s">
        <v>19</v>
      </c>
      <c r="U1" s="108" t="s">
        <v>20</v>
      </c>
      <c r="V1" s="109" t="s">
        <v>21</v>
      </c>
      <c r="W1" s="110" t="s">
        <v>22</v>
      </c>
      <c r="X1" s="111" t="s">
        <v>23</v>
      </c>
      <c r="Y1" s="111" t="s">
        <v>24</v>
      </c>
      <c r="Z1" s="112" t="s">
        <v>25</v>
      </c>
      <c r="AA1" s="113" t="s">
        <v>23</v>
      </c>
      <c r="AB1" s="113" t="s">
        <v>24</v>
      </c>
      <c r="AC1" s="114" t="s">
        <v>25</v>
      </c>
      <c r="AD1" s="111" t="s">
        <v>26</v>
      </c>
      <c r="AE1" s="111" t="s">
        <v>27</v>
      </c>
      <c r="AF1" s="112" t="s">
        <v>28</v>
      </c>
      <c r="AG1" s="97" t="s">
        <v>29</v>
      </c>
      <c r="AH1" s="97" t="s">
        <v>30</v>
      </c>
      <c r="AI1" s="97">
        <f>71.844</f>
        <v>71.843999999999994</v>
      </c>
      <c r="AJ1" s="97">
        <f>40.304</f>
        <v>40.304000000000002</v>
      </c>
      <c r="AK1" s="97">
        <f>56.0774</f>
        <v>56.077399999999997</v>
      </c>
      <c r="AL1" s="97">
        <f>61.9789/2</f>
        <v>30.989450000000001</v>
      </c>
      <c r="AM1" s="97">
        <f>94.2/2</f>
        <v>47.1</v>
      </c>
      <c r="AN1" s="104">
        <f>4.39/100</f>
        <v>4.3899999999999995E-2</v>
      </c>
      <c r="AO1" s="104">
        <f>3.27/100</f>
        <v>3.27E-2</v>
      </c>
      <c r="AP1" s="104">
        <f>3.95/100</f>
        <v>3.95E-2</v>
      </c>
      <c r="AQ1" s="104">
        <f>3.2/100</f>
        <v>3.2000000000000001E-2</v>
      </c>
      <c r="AR1" s="104">
        <f>2.9/100</f>
        <v>2.8999999999999998E-2</v>
      </c>
      <c r="AS1" s="104">
        <f>2.73/100</f>
        <v>2.7300000000000001E-2</v>
      </c>
      <c r="AT1" s="104">
        <f>2.62/100</f>
        <v>2.6200000000000001E-2</v>
      </c>
      <c r="AU1" s="104">
        <f>2.56/100</f>
        <v>2.5600000000000001E-2</v>
      </c>
    </row>
    <row r="2" spans="1:47" s="33" customFormat="1" ht="12">
      <c r="A2" s="33" t="s">
        <v>31</v>
      </c>
      <c r="B2" s="34" t="s">
        <v>32</v>
      </c>
      <c r="C2" s="35" t="s">
        <v>33</v>
      </c>
      <c r="D2" s="35" t="s">
        <v>34</v>
      </c>
      <c r="E2" s="33" t="s">
        <v>35</v>
      </c>
      <c r="G2" s="33" t="s">
        <v>36</v>
      </c>
      <c r="H2" s="33" t="s">
        <v>37</v>
      </c>
      <c r="J2" s="33">
        <v>0</v>
      </c>
      <c r="K2" s="33">
        <v>125</v>
      </c>
      <c r="L2" s="33" t="s">
        <v>38</v>
      </c>
      <c r="M2" s="33" t="s">
        <v>39</v>
      </c>
      <c r="N2" s="33" t="s">
        <v>40</v>
      </c>
      <c r="O2" s="33" t="s">
        <v>41</v>
      </c>
      <c r="P2" s="33">
        <v>0</v>
      </c>
      <c r="Q2" s="36" t="s">
        <v>42</v>
      </c>
      <c r="R2" s="49">
        <f>51.9/AO2/(51.9/$AO2+22.7/$AP2+7.9/$AQ2+10.1/$AR2)*100</f>
        <v>52.388133631737666</v>
      </c>
      <c r="S2" s="49">
        <f>100 - R2 - U2 - T2</f>
        <v>24.457259245247158</v>
      </c>
      <c r="T2" s="49">
        <f>7.9/AQ2/(51.9/$AO2+22.7/$AP2+7.9/$AQ2+10.1/$AR2)*100</f>
        <v>9.1543964244065137</v>
      </c>
      <c r="U2" s="49">
        <f>10.1/AR2/(51.9/$AO2+22.7/$AP2+7.9/$AQ2+10.1/$AR2)*100</f>
        <v>14.000210698608658</v>
      </c>
      <c r="V2" s="49">
        <f>27.1/$AI$1/(27.1/$AI$1 + 34.9/$AJ$1)*100</f>
        <v>30.343377614253171</v>
      </c>
      <c r="W2" s="64">
        <f>100 - $V2</f>
        <v>69.656622385746829</v>
      </c>
      <c r="X2" s="42">
        <f>16.3/$AI$1/(16.3/$AI$1 + 27.2/$AJ$1 + 0.76/$AK$1)*100</f>
        <v>24.787439842848507</v>
      </c>
      <c r="Y2" s="42">
        <f>100 - $X2 - $Z2</f>
        <v>73.90722659024533</v>
      </c>
      <c r="Z2" s="42">
        <f>0.67/$AK$1/(16.3/$AI$1 + 27.2/$AJ$1 + 0.76/$AK$1)*100</f>
        <v>1.3053335669061759</v>
      </c>
      <c r="AA2" s="42">
        <v>9</v>
      </c>
      <c r="AB2" s="42">
        <f>100 - $AA2 - $AC2</f>
        <v>50</v>
      </c>
      <c r="AC2" s="65">
        <v>41</v>
      </c>
      <c r="AD2" s="42">
        <v>9</v>
      </c>
      <c r="AE2" s="42">
        <f>100 - $AD2 - $AF2</f>
        <v>89</v>
      </c>
      <c r="AF2" s="65">
        <v>2</v>
      </c>
      <c r="AG2" s="33" t="s">
        <v>43</v>
      </c>
      <c r="AH2" s="38" t="s">
        <v>44</v>
      </c>
      <c r="AI2" s="39" t="s">
        <v>45</v>
      </c>
      <c r="AJ2" s="38" t="s">
        <v>46</v>
      </c>
      <c r="AK2" s="38"/>
      <c r="AN2" s="48" t="s">
        <v>47</v>
      </c>
      <c r="AO2" s="48">
        <f>V2*$AN$1 + W2*$AO$1</f>
        <v>3.6098458292796352</v>
      </c>
      <c r="AP2" s="48">
        <f>X2*$AP$1+Y2*$AQ$1+Z2*$AR$1</f>
        <v>3.3819897981206455</v>
      </c>
      <c r="AQ2" s="48">
        <f>AA2*$AP$1+AB2*$AQ$1+AC2*$AR$1</f>
        <v>3.1444999999999999</v>
      </c>
      <c r="AR2" s="48">
        <f>AD2*$AS$1+AE2*$AT$1+AF2*$AU$1</f>
        <v>2.6287000000000003</v>
      </c>
      <c r="AS2" s="48"/>
      <c r="AT2" s="48"/>
      <c r="AU2" s="48"/>
    </row>
    <row r="3" spans="1:47" s="33" customFormat="1" ht="12">
      <c r="A3" s="33" t="s">
        <v>48</v>
      </c>
      <c r="B3" s="34" t="s">
        <v>49</v>
      </c>
      <c r="C3" s="35" t="s">
        <v>33</v>
      </c>
      <c r="D3" s="35" t="s">
        <v>34</v>
      </c>
      <c r="E3" s="33" t="s">
        <v>35</v>
      </c>
      <c r="G3" s="33" t="s">
        <v>36</v>
      </c>
      <c r="H3" s="33" t="s">
        <v>50</v>
      </c>
      <c r="J3" s="33">
        <v>0</v>
      </c>
      <c r="K3" s="33">
        <v>125</v>
      </c>
      <c r="L3" s="33" t="s">
        <v>38</v>
      </c>
      <c r="M3" s="33" t="s">
        <v>39</v>
      </c>
      <c r="N3" s="33" t="s">
        <v>40</v>
      </c>
      <c r="O3" s="33" t="s">
        <v>41</v>
      </c>
      <c r="P3" s="33">
        <v>0</v>
      </c>
      <c r="Q3" s="36" t="s">
        <v>42</v>
      </c>
      <c r="R3" s="49">
        <f>51.9/AO3/(51.9/$AO3+22.7/$AP3+7.9/$AQ3+10.1/$AR3)*100</f>
        <v>52.388133631737666</v>
      </c>
      <c r="S3" s="49">
        <f>100 - R3 - U3 - T3</f>
        <v>24.595875192758136</v>
      </c>
      <c r="T3" s="49">
        <f>7.9/AQ3/(51.9/$AO3+22.7/$AP3+7.9/$AQ3+10.1/$AR3)*100</f>
        <v>9.1543964244065137</v>
      </c>
      <c r="U3" s="49">
        <f>10/AR3/(51.9/$AO3+22.7/$AP3+7.9/$AQ3+10.1/$AR3)*100</f>
        <v>13.861594751097684</v>
      </c>
      <c r="V3" s="49">
        <f>27.1/$AI$1/(27.1/$AI$1 + 34.9/$AJ$1)*100</f>
        <v>30.343377614253171</v>
      </c>
      <c r="W3" s="64">
        <f>100 - $V3</f>
        <v>69.656622385746829</v>
      </c>
      <c r="X3" s="42">
        <f>16.3/$AI$1/(16.3/$AI$1 + 27.2/$AJ$1 + 0.76/$AK$1)*100</f>
        <v>24.787439842848507</v>
      </c>
      <c r="Y3" s="42">
        <f>100 - $X3 - $Z3</f>
        <v>73.90722659024533</v>
      </c>
      <c r="Z3" s="42">
        <f>0.67/$AK$1/(16.3/$AI$1 + 27.2/$AJ$1 + 0.76/$AK$1)*100</f>
        <v>1.3053335669061759</v>
      </c>
      <c r="AA3" s="42">
        <v>9</v>
      </c>
      <c r="AB3" s="42">
        <f>100 - $AA3 - $AC3</f>
        <v>50</v>
      </c>
      <c r="AC3" s="65">
        <v>41</v>
      </c>
      <c r="AD3" s="42">
        <v>9</v>
      </c>
      <c r="AE3" s="42">
        <f>100 - $AD3 - $AF3</f>
        <v>89</v>
      </c>
      <c r="AF3" s="65">
        <v>2</v>
      </c>
      <c r="AG3" s="33" t="s">
        <v>43</v>
      </c>
      <c r="AH3" s="38" t="s">
        <v>44</v>
      </c>
      <c r="AI3" s="39" t="s">
        <v>45</v>
      </c>
      <c r="AJ3" s="38" t="s">
        <v>46</v>
      </c>
      <c r="AK3" s="38"/>
      <c r="AN3" s="48" t="s">
        <v>47</v>
      </c>
      <c r="AO3" s="48">
        <f>V3*$AN$1 + W3*$AO$1</f>
        <v>3.6098458292796352</v>
      </c>
      <c r="AP3" s="48">
        <f>X3*$AP$1+Y3*$AQ$1+Z3*$AR$1</f>
        <v>3.3819897981206455</v>
      </c>
      <c r="AQ3" s="48">
        <f>AA3*$AP$1+AB3*$AQ$1+AC3*$AR$1</f>
        <v>3.1444999999999999</v>
      </c>
      <c r="AR3" s="48">
        <f>AD3*$AS$1+AE3*$AT$1+AF3*$AU$1</f>
        <v>2.6287000000000003</v>
      </c>
      <c r="AS3" s="48"/>
      <c r="AT3" s="48"/>
      <c r="AU3" s="48"/>
    </row>
    <row r="4" spans="1:47" s="33" customFormat="1" ht="12">
      <c r="A4" s="33" t="s">
        <v>51</v>
      </c>
      <c r="B4" s="34" t="s">
        <v>52</v>
      </c>
      <c r="C4" s="35" t="s">
        <v>33</v>
      </c>
      <c r="D4" s="35" t="s">
        <v>34</v>
      </c>
      <c r="E4" s="33" t="s">
        <v>35</v>
      </c>
      <c r="G4" s="33" t="s">
        <v>36</v>
      </c>
      <c r="H4" s="33" t="s">
        <v>53</v>
      </c>
      <c r="J4" s="33">
        <v>0</v>
      </c>
      <c r="K4" s="33">
        <v>125</v>
      </c>
      <c r="L4" s="33" t="s">
        <v>38</v>
      </c>
      <c r="M4" s="33" t="s">
        <v>39</v>
      </c>
      <c r="N4" s="33" t="s">
        <v>54</v>
      </c>
      <c r="O4" s="33" t="s">
        <v>41</v>
      </c>
      <c r="P4" s="33">
        <v>0</v>
      </c>
      <c r="Q4" s="36" t="s">
        <v>42</v>
      </c>
      <c r="R4" s="49">
        <f>51.3/AO4/(51.3/$AO4+20.1/$AP4+7.4/$AQ4+9.5/$AR4)*100</f>
        <v>54.424900720676831</v>
      </c>
      <c r="S4" s="49">
        <f>100 - R4 - U4 - T4</f>
        <v>22.768146432259389</v>
      </c>
      <c r="T4" s="49">
        <f>7.4/AQ4/(51.3/$AO4+20.1/$AP4+7.4/$AQ4+9.5/$AR4)*100</f>
        <v>8.9880944712592843</v>
      </c>
      <c r="U4" s="49">
        <f>9.5/AR4/(51.3/$AO4+20.1/$AP4+7.4/$AQ4+9.5/$AR4)*100</f>
        <v>13.818858375804494</v>
      </c>
      <c r="V4" s="49">
        <f>27/$AI$1/(27/$AI$1 + 35.8/$AJ$1)*100</f>
        <v>29.730645934379091</v>
      </c>
      <c r="W4" s="64">
        <f>100 - $V4</f>
        <v>70.269354065620917</v>
      </c>
      <c r="X4" s="42">
        <f>16/$AI$1/(16/$AI$1 + 27.7/$AJ$1 + 0.89/$AK$1)*100</f>
        <v>24.054023836406639</v>
      </c>
      <c r="Y4" s="42">
        <f>100 - $X4 - $Z4</f>
        <v>73.981392353679681</v>
      </c>
      <c r="Z4" s="65">
        <f>1.02/$AK$1/(16/$AI$1 + 27.7/$AJ$1 + 0.89/$AK$1)*100</f>
        <v>1.9645838099136801</v>
      </c>
      <c r="AA4" s="42">
        <f>6.47/AI$1/(6.47/$AI$1 + 16.4/$AJ$1 + 21.3/$AK$1)*100</f>
        <v>10.271060039299117</v>
      </c>
      <c r="AB4" s="42">
        <f>100 - $AA4 - $AC4</f>
        <v>46.408463430631421</v>
      </c>
      <c r="AC4" s="65">
        <f>21.3/AK$1/(6.47/$AI$1 + 16.4/$AJ$1 + 21.3/$AK$1)*100</f>
        <v>43.320476530069463</v>
      </c>
      <c r="AD4" s="42">
        <v>10.1</v>
      </c>
      <c r="AE4" s="42">
        <f>100 - $AD4 - $AF4</f>
        <v>84.4</v>
      </c>
      <c r="AF4" s="65">
        <v>5.5</v>
      </c>
      <c r="AG4" s="33" t="s">
        <v>43</v>
      </c>
      <c r="AH4" s="38" t="s">
        <v>44</v>
      </c>
      <c r="AI4" s="39" t="s">
        <v>46</v>
      </c>
      <c r="AJ4" s="39" t="s">
        <v>55</v>
      </c>
      <c r="AM4" s="33" t="s">
        <v>56</v>
      </c>
      <c r="AN4" s="48" t="s">
        <v>47</v>
      </c>
      <c r="AO4" s="48">
        <f>V4*$AN$1 + W4*$AO$1</f>
        <v>3.6029832344650456</v>
      </c>
      <c r="AP4" s="48">
        <f>X4*$AP$1+Y4*$AQ$1+Z4*$AR$1</f>
        <v>3.3745114273433088</v>
      </c>
      <c r="AQ4" s="48">
        <f>AA4*$AP$1+AB4*$AQ$1+AC4*$AR$1</f>
        <v>3.147071520704535</v>
      </c>
      <c r="AR4" s="48">
        <f>AD4*$AS$1+AE4*$AT$1+AF4*$AU$1</f>
        <v>2.6278100000000006</v>
      </c>
      <c r="AS4" s="48"/>
      <c r="AT4" s="48"/>
      <c r="AU4" s="48"/>
    </row>
    <row r="5" spans="1:47" s="40" customFormat="1" ht="12">
      <c r="A5" s="33" t="s">
        <v>57</v>
      </c>
      <c r="B5" s="34" t="s">
        <v>58</v>
      </c>
      <c r="C5" s="35" t="s">
        <v>59</v>
      </c>
      <c r="D5" s="35" t="s">
        <v>34</v>
      </c>
      <c r="E5" s="33" t="s">
        <v>35</v>
      </c>
      <c r="F5" s="33"/>
      <c r="G5" s="33" t="s">
        <v>36</v>
      </c>
      <c r="H5" s="33" t="s">
        <v>60</v>
      </c>
      <c r="I5" s="33"/>
      <c r="J5" s="33">
        <v>20</v>
      </c>
      <c r="K5" s="33">
        <v>250</v>
      </c>
      <c r="L5" s="33" t="s">
        <v>38</v>
      </c>
      <c r="M5" s="33" t="s">
        <v>11</v>
      </c>
      <c r="N5" s="33" t="s">
        <v>58</v>
      </c>
      <c r="O5" s="33" t="s">
        <v>61</v>
      </c>
      <c r="P5" s="33">
        <v>0</v>
      </c>
      <c r="Q5" s="36"/>
      <c r="R5" s="49">
        <f>24.4/(24.4+24.6+1.56+10.6)*100</f>
        <v>39.895356442119031</v>
      </c>
      <c r="S5" s="49">
        <f>100 - R5 - U5 - T5</f>
        <v>40.222367560497062</v>
      </c>
      <c r="T5" s="49">
        <f>1.56/(24.4+24.6+1.56+10.6)*100</f>
        <v>2.5506867233485937</v>
      </c>
      <c r="U5" s="49">
        <f>10.6/(24.4+24.6+1.56+10.6)*100</f>
        <v>17.331589274035316</v>
      </c>
      <c r="V5" s="49">
        <v>19.600000000000001</v>
      </c>
      <c r="W5" s="64">
        <f>100 - $V5</f>
        <v>80.400000000000006</v>
      </c>
      <c r="X5" s="42">
        <v>17.2</v>
      </c>
      <c r="Y5" s="42">
        <f>100 - $X5 - $Z5</f>
        <v>81.2</v>
      </c>
      <c r="Z5" s="65">
        <v>1.6</v>
      </c>
      <c r="AA5" s="42">
        <v>6.8</v>
      </c>
      <c r="AB5" s="42">
        <f>100 - $AA5 - $AC5</f>
        <v>48.400000000000006</v>
      </c>
      <c r="AC5" s="65">
        <v>44.8</v>
      </c>
      <c r="AD5" s="42">
        <v>12.7</v>
      </c>
      <c r="AE5" s="42">
        <f>100 - $AD5 - $AF5</f>
        <v>80.7</v>
      </c>
      <c r="AF5" s="65">
        <v>6.6</v>
      </c>
      <c r="AG5" s="33" t="s">
        <v>43</v>
      </c>
      <c r="AH5" s="38" t="s">
        <v>62</v>
      </c>
      <c r="AI5" s="37"/>
      <c r="AJ5" s="37"/>
      <c r="AK5" s="33"/>
      <c r="AL5" s="33"/>
      <c r="AM5" s="33"/>
      <c r="AN5" s="48" t="s">
        <v>63</v>
      </c>
      <c r="AO5" s="48">
        <f>V5*$AN$1 + W5*$AO$1</f>
        <v>3.4895200000000002</v>
      </c>
      <c r="AP5" s="48">
        <f>X5*$AP$1+Y5*$AQ$1+Z5*$AR$1</f>
        <v>3.3242000000000003</v>
      </c>
      <c r="AQ5" s="48">
        <f>AA5*$AP$1+AB5*$AQ$1+AC5*$AR$1</f>
        <v>3.1166</v>
      </c>
      <c r="AR5" s="48">
        <f>AD5*$AS$1+AE5*$AT$1+AF5*$AU$1</f>
        <v>2.6300100000000004</v>
      </c>
      <c r="AS5" s="48"/>
      <c r="AT5" s="84"/>
      <c r="AU5" s="84"/>
    </row>
    <row r="6" spans="1:47" s="33" customFormat="1" ht="12">
      <c r="A6" s="33" t="s">
        <v>64</v>
      </c>
      <c r="B6" s="34" t="s">
        <v>65</v>
      </c>
      <c r="C6" s="35" t="s">
        <v>66</v>
      </c>
      <c r="D6" s="35" t="s">
        <v>34</v>
      </c>
      <c r="E6" s="33" t="s">
        <v>35</v>
      </c>
      <c r="G6" s="33" t="s">
        <v>36</v>
      </c>
      <c r="H6" s="33" t="s">
        <v>50</v>
      </c>
      <c r="J6" s="33">
        <v>0</v>
      </c>
      <c r="K6" s="33">
        <v>150</v>
      </c>
      <c r="L6" s="33" t="s">
        <v>38</v>
      </c>
      <c r="M6" s="33" t="s">
        <v>39</v>
      </c>
      <c r="N6" s="33" t="s">
        <v>67</v>
      </c>
      <c r="O6" s="33" t="s">
        <v>68</v>
      </c>
      <c r="P6" s="33">
        <v>0</v>
      </c>
      <c r="Q6" s="36" t="s">
        <v>69</v>
      </c>
      <c r="R6" s="49">
        <f>51.5/AO6/(51.1/$AO6+23.3/$AP6+7.9/$AQ6+9/$AR6)*100</f>
        <v>53.09070297729096</v>
      </c>
      <c r="S6" s="49">
        <f>100 - R6 - U6 - T6</f>
        <v>25.018369768722224</v>
      </c>
      <c r="T6" s="49">
        <f>7.9/AQ6/(51.1/$AO6+23.3/$AP6+7.9/$AQ6+9/$AR6)*100</f>
        <v>9.2765005432005783</v>
      </c>
      <c r="U6" s="49">
        <f>9/AR6/(51.1/$AO6+23.3/$AP6+7.9/$AQ6+9/$AR6)*100</f>
        <v>12.614426710786239</v>
      </c>
      <c r="V6" s="49">
        <f>0.56/(0.56+1.49)*100</f>
        <v>27.317073170731714</v>
      </c>
      <c r="W6" s="64">
        <f>100 - $V6</f>
        <v>72.682926829268283</v>
      </c>
      <c r="X6" s="42">
        <f>0.51/(0.51+1.51+0.05)*100</f>
        <v>24.637681159420293</v>
      </c>
      <c r="Y6" s="42">
        <f>100 - $X6 - $Z6</f>
        <v>72.946859903381636</v>
      </c>
      <c r="Z6" s="42">
        <f>0.05/(0.51+1.51+0.05)*100</f>
        <v>2.4154589371980681</v>
      </c>
      <c r="AA6" s="42">
        <f>5.93/AI$1/(5.93/$AI$1 + 16.06/$AJ$1 + 21.33/$AK$1)*100</f>
        <v>9.5823065718437377</v>
      </c>
      <c r="AB6" s="42">
        <f>100 - $AA6 - $AC6</f>
        <v>46.259748037852944</v>
      </c>
      <c r="AC6" s="42">
        <f>21.33/AK$1/(5.93/$AI$1 + 16.06/$AJ$1 + 21.33/$AK$1)*100</f>
        <v>44.157945390303325</v>
      </c>
      <c r="AD6" s="42">
        <f>0.41/(0.41+0.12+3.21)*100</f>
        <v>10.962566844919785</v>
      </c>
      <c r="AE6" s="42">
        <f>100 - $AD6 - $AF6</f>
        <v>85.828877005347593</v>
      </c>
      <c r="AF6" s="65">
        <f>0.12/(0.41+0.12+3.21)*100</f>
        <v>3.2085561497326198</v>
      </c>
      <c r="AG6" s="33" t="s">
        <v>43</v>
      </c>
      <c r="AH6" s="38" t="s">
        <v>44</v>
      </c>
      <c r="AI6" s="39" t="s">
        <v>45</v>
      </c>
      <c r="AJ6" s="39" t="s">
        <v>70</v>
      </c>
      <c r="AN6" s="48" t="s">
        <v>47</v>
      </c>
      <c r="AO6" s="48">
        <f>V6*$AN$1 + W6*$AO$1</f>
        <v>3.575951219512195</v>
      </c>
      <c r="AP6" s="48">
        <f>X6*$AP$1+Y6*$AQ$1+Z6*$AR$1</f>
        <v>3.3775362318840578</v>
      </c>
      <c r="AQ6" s="48">
        <f>AA6*$AP$1+AB6*$AQ$1+AC6*$AR$1</f>
        <v>3.1393934631179183</v>
      </c>
      <c r="AR6" s="48">
        <f>AD6*$AS$1+AE6*$AT$1+AF6*$AU$1</f>
        <v>2.6301336898395724</v>
      </c>
      <c r="AS6" s="48"/>
      <c r="AT6" s="48"/>
      <c r="AU6" s="48"/>
    </row>
    <row r="7" spans="1:47" s="33" customFormat="1" ht="12">
      <c r="A7" s="33" t="s">
        <v>71</v>
      </c>
      <c r="B7" s="34" t="s">
        <v>72</v>
      </c>
      <c r="C7" s="35" t="s">
        <v>66</v>
      </c>
      <c r="D7" s="35" t="s">
        <v>34</v>
      </c>
      <c r="E7" s="33" t="s">
        <v>35</v>
      </c>
      <c r="G7" s="33" t="s">
        <v>36</v>
      </c>
      <c r="H7" s="33" t="s">
        <v>50</v>
      </c>
      <c r="J7" s="33">
        <v>0</v>
      </c>
      <c r="K7" s="33">
        <v>150</v>
      </c>
      <c r="L7" s="33" t="s">
        <v>38</v>
      </c>
      <c r="M7" s="33" t="s">
        <v>39</v>
      </c>
      <c r="N7" s="33" t="s">
        <v>40</v>
      </c>
      <c r="O7" s="33" t="s">
        <v>68</v>
      </c>
      <c r="P7" s="33">
        <v>0</v>
      </c>
      <c r="Q7" s="36" t="s">
        <v>69</v>
      </c>
      <c r="R7" s="49">
        <f>51.9/AO7/(51.9/$AO7+22.7/$AP7+7.9/$AQ7+10.1/$AR7)*100</f>
        <v>52.388133631737666</v>
      </c>
      <c r="S7" s="49">
        <f>100 - R7 - U7 - T7</f>
        <v>24.457259245247158</v>
      </c>
      <c r="T7" s="49">
        <f>7.9/AQ7/(51.9/$AO7+22.7/$AP7+7.9/$AQ7+10.1/$AR7)*100</f>
        <v>9.1543964244065137</v>
      </c>
      <c r="U7" s="49">
        <f>10.1/AR7/(51.9/$AO7+22.7/$AP7+7.9/$AQ7+10.1/$AR7)*100</f>
        <v>14.000210698608658</v>
      </c>
      <c r="V7" s="49">
        <f>27.1/$AI$1/(27.1/$AI$1 + 34.9/$AJ$1)*100</f>
        <v>30.343377614253171</v>
      </c>
      <c r="W7" s="64">
        <f>100 - $V7</f>
        <v>69.656622385746829</v>
      </c>
      <c r="X7" s="42">
        <f>16.3/$AI$1/(16.3/$AI$1 + 27.2/$AJ$1 + 0.76/$AK$1)*100</f>
        <v>24.787439842848507</v>
      </c>
      <c r="Y7" s="42">
        <f>100 - $X7 - $Z7</f>
        <v>73.90722659024533</v>
      </c>
      <c r="Z7" s="42">
        <f>0.67/$AK$1/(16.3/$AI$1 + 27.2/$AJ$1 + 0.76/$AK$1)*100</f>
        <v>1.3053335669061759</v>
      </c>
      <c r="AA7" s="42">
        <v>9</v>
      </c>
      <c r="AB7" s="42">
        <f>100 - $AA7 - $AC7</f>
        <v>50</v>
      </c>
      <c r="AC7" s="65">
        <v>41</v>
      </c>
      <c r="AD7" s="42">
        <v>9</v>
      </c>
      <c r="AE7" s="42">
        <f>100 - $AD7 - $AF7</f>
        <v>89</v>
      </c>
      <c r="AF7" s="65">
        <v>2</v>
      </c>
      <c r="AG7" s="33" t="s">
        <v>43</v>
      </c>
      <c r="AH7" s="38" t="s">
        <v>44</v>
      </c>
      <c r="AI7" s="39" t="s">
        <v>45</v>
      </c>
      <c r="AJ7" s="38" t="s">
        <v>46</v>
      </c>
      <c r="AN7" s="48" t="s">
        <v>47</v>
      </c>
      <c r="AO7" s="48">
        <f>V7*$AN$1 + W7*$AO$1</f>
        <v>3.6098458292796352</v>
      </c>
      <c r="AP7" s="48">
        <f>X7*$AP$1+Y7*$AQ$1+Z7*$AR$1</f>
        <v>3.3819897981206455</v>
      </c>
      <c r="AQ7" s="48">
        <f>AA7*$AP$1+AB7*$AQ$1+AC7*$AR$1</f>
        <v>3.1444999999999999</v>
      </c>
      <c r="AR7" s="48">
        <f>AD7*$AS$1+AE7*$AT$1+AF7*$AU$1</f>
        <v>2.6287000000000003</v>
      </c>
      <c r="AS7" s="48"/>
      <c r="AT7" s="48"/>
      <c r="AU7" s="48"/>
    </row>
    <row r="8" spans="1:47" s="33" customFormat="1" ht="12">
      <c r="A8" s="33" t="s">
        <v>73</v>
      </c>
      <c r="B8" s="34" t="s">
        <v>74</v>
      </c>
      <c r="C8" s="35" t="s">
        <v>75</v>
      </c>
      <c r="D8" s="35" t="s">
        <v>34</v>
      </c>
      <c r="E8" s="33" t="s">
        <v>35</v>
      </c>
      <c r="G8" s="33" t="s">
        <v>36</v>
      </c>
      <c r="H8" s="33" t="s">
        <v>53</v>
      </c>
      <c r="J8" s="33">
        <v>0</v>
      </c>
      <c r="K8" s="33">
        <v>250</v>
      </c>
      <c r="L8" s="33" t="s">
        <v>38</v>
      </c>
      <c r="M8" s="33" t="s">
        <v>39</v>
      </c>
      <c r="O8" s="33" t="s">
        <v>76</v>
      </c>
      <c r="P8" s="33">
        <v>0</v>
      </c>
      <c r="Q8" s="36"/>
      <c r="R8" s="49">
        <f>51.89/AO8/(51.89/$AO8+21.53/$AP8+5.29/$AQ8+12.41/$AR8)*100</f>
        <v>52.8883450984871</v>
      </c>
      <c r="S8" s="49">
        <f>100 - R8 - U8 - T8</f>
        <v>23.517584470697514</v>
      </c>
      <c r="T8" s="49">
        <f>5.29/AQ8/(51.89/$AO8+21.53/$AP8+5.29/$AQ8+12.41/$AR8)*100</f>
        <v>6.1935861892537343</v>
      </c>
      <c r="U8" s="49">
        <f>12.41/AR8/(51.89/$AO8+21.53/$AP8+5.29/$AQ8+12.41/$AR8)*100</f>
        <v>17.400484241561653</v>
      </c>
      <c r="V8" s="49">
        <v>31.1</v>
      </c>
      <c r="W8" s="64">
        <f>100 - $V8</f>
        <v>68.900000000000006</v>
      </c>
      <c r="X8" s="42">
        <v>24.7</v>
      </c>
      <c r="Y8" s="42">
        <f>100 - $X8 - $Z8</f>
        <v>72.3</v>
      </c>
      <c r="Z8" s="65">
        <v>3</v>
      </c>
      <c r="AA8" s="42">
        <v>12</v>
      </c>
      <c r="AB8" s="42">
        <f>100 - $AA8 - $AC8</f>
        <v>41.3</v>
      </c>
      <c r="AC8" s="65">
        <v>46.7</v>
      </c>
      <c r="AD8" s="42">
        <v>11.7</v>
      </c>
      <c r="AE8" s="42">
        <f>100 - $AD8 - $AF8</f>
        <v>83.899999999999991</v>
      </c>
      <c r="AF8" s="65">
        <v>4.4000000000000004</v>
      </c>
      <c r="AG8" s="33" t="s">
        <v>43</v>
      </c>
      <c r="AH8" s="39" t="s">
        <v>55</v>
      </c>
      <c r="AI8" s="39"/>
      <c r="AJ8" s="37"/>
      <c r="AN8" s="48" t="s">
        <v>47</v>
      </c>
      <c r="AO8" s="48">
        <f>V8*$AN$1 + W8*$AO$1</f>
        <v>3.6183200000000002</v>
      </c>
      <c r="AP8" s="48">
        <f>X8*$AP$1+Y8*$AQ$1+Z8*$AR$1</f>
        <v>3.3762500000000002</v>
      </c>
      <c r="AQ8" s="48">
        <f>AA8*$AP$1+AB8*$AQ$1+AC8*$AR$1</f>
        <v>3.1498999999999997</v>
      </c>
      <c r="AR8" s="48">
        <f>AD8*$AS$1+AE8*$AT$1+AF8*$AU$1</f>
        <v>2.6302299999999996</v>
      </c>
      <c r="AS8" s="48"/>
      <c r="AT8" s="48"/>
      <c r="AU8" s="48"/>
    </row>
    <row r="9" spans="1:47" s="33" customFormat="1" ht="12">
      <c r="A9" s="33" t="s">
        <v>77</v>
      </c>
      <c r="B9" s="34" t="s">
        <v>78</v>
      </c>
      <c r="C9" s="35" t="s">
        <v>79</v>
      </c>
      <c r="D9" s="35" t="s">
        <v>34</v>
      </c>
      <c r="E9" s="33" t="s">
        <v>35</v>
      </c>
      <c r="G9" s="33" t="s">
        <v>36</v>
      </c>
      <c r="H9" s="33" t="s">
        <v>80</v>
      </c>
      <c r="J9" s="33">
        <v>0</v>
      </c>
      <c r="K9" s="33">
        <v>150</v>
      </c>
      <c r="L9" s="33" t="s">
        <v>38</v>
      </c>
      <c r="M9" s="33" t="s">
        <v>81</v>
      </c>
      <c r="N9" s="33" t="s">
        <v>82</v>
      </c>
      <c r="O9" s="33" t="s">
        <v>83</v>
      </c>
      <c r="P9" s="33">
        <v>0</v>
      </c>
      <c r="Q9" s="36" t="s">
        <v>84</v>
      </c>
      <c r="R9" s="49">
        <f>48.7/(48.7 + 22.2 + 4.4 + 8.7)*100</f>
        <v>57.976190476190467</v>
      </c>
      <c r="S9" s="49">
        <f>100 - R9 - U9 - T9</f>
        <v>26.428571428571441</v>
      </c>
      <c r="T9" s="49">
        <f>4.4/(48.7 + 22.2 + 4.4 + 8.7)*100</f>
        <v>5.2380952380952372</v>
      </c>
      <c r="U9" s="49">
        <f>8.7/(48.7 + 22.2 + 4.4 + 8.7)*100</f>
        <v>10.357142857142856</v>
      </c>
      <c r="V9" s="49">
        <f>0.466/(0.466+1.519)*100</f>
        <v>23.476070528967259</v>
      </c>
      <c r="W9" s="64">
        <f>100 - $V9</f>
        <v>76.523929471032744</v>
      </c>
      <c r="X9" s="42">
        <f>0.398/(0.398+1.551+0.025)*100</f>
        <v>20.162107396149953</v>
      </c>
      <c r="Y9" s="42">
        <f>100 - $X9 - $Z9</f>
        <v>78.571428571428569</v>
      </c>
      <c r="Z9" s="42">
        <f>0.025/(0.398+1.551+0.025)*100</f>
        <v>1.2664640324214795</v>
      </c>
      <c r="AA9" s="42">
        <f>0.143/(0.143+0.904+0.838)*100</f>
        <v>7.5862068965517242</v>
      </c>
      <c r="AB9" s="42">
        <f>100 - $AA9 - $AC9</f>
        <v>47.957559681697603</v>
      </c>
      <c r="AC9" s="42">
        <f>0.838/(0.143+0.904+0.838)*100</f>
        <v>44.456233421750667</v>
      </c>
      <c r="AD9" s="42">
        <v>12</v>
      </c>
      <c r="AE9" s="42">
        <f>100 - $AD9 - $AF9</f>
        <v>84</v>
      </c>
      <c r="AF9" s="42">
        <v>4</v>
      </c>
      <c r="AG9" s="50" t="s">
        <v>43</v>
      </c>
      <c r="AH9" s="41" t="s">
        <v>85</v>
      </c>
      <c r="AI9" s="37"/>
      <c r="AJ9" s="37"/>
      <c r="AM9" s="40" t="s">
        <v>86</v>
      </c>
      <c r="AN9" s="48" t="s">
        <v>87</v>
      </c>
      <c r="AO9" s="48">
        <f>V9*$AN$1 + W9*$AO$1</f>
        <v>3.5329319899244331</v>
      </c>
      <c r="AP9" s="48">
        <f>X9*$AP$1+Y9*$AQ$1+Z9*$AR$1</f>
        <v>3.3474164133738604</v>
      </c>
      <c r="AQ9" s="48">
        <f>AA9*$AP$1+AB9*$AQ$1+AC9*$AR$1</f>
        <v>3.1235278514588858</v>
      </c>
      <c r="AR9" s="48">
        <f>AD9*$AS$1+AE9*$AT$1+AF9*$AU$1</f>
        <v>2.6307999999999998</v>
      </c>
      <c r="AS9" s="48"/>
      <c r="AT9" s="48"/>
      <c r="AU9" s="48"/>
    </row>
    <row r="10" spans="1:47" s="40" customFormat="1" ht="12">
      <c r="A10" s="33" t="s">
        <v>88</v>
      </c>
      <c r="B10" s="34" t="s">
        <v>89</v>
      </c>
      <c r="C10" s="35" t="s">
        <v>79</v>
      </c>
      <c r="D10" s="35" t="s">
        <v>34</v>
      </c>
      <c r="E10" s="33" t="s">
        <v>35</v>
      </c>
      <c r="F10" s="33"/>
      <c r="G10" s="33" t="s">
        <v>36</v>
      </c>
      <c r="H10" s="33" t="s">
        <v>80</v>
      </c>
      <c r="I10" s="33"/>
      <c r="J10" s="33">
        <v>0</v>
      </c>
      <c r="K10" s="33">
        <v>150</v>
      </c>
      <c r="L10" s="33" t="s">
        <v>38</v>
      </c>
      <c r="M10" s="33" t="s">
        <v>81</v>
      </c>
      <c r="N10" s="33" t="s">
        <v>90</v>
      </c>
      <c r="O10" s="33" t="s">
        <v>83</v>
      </c>
      <c r="P10" s="33">
        <v>0</v>
      </c>
      <c r="Q10" s="36" t="s">
        <v>84</v>
      </c>
      <c r="R10" s="49">
        <f>40/AO10/(40/$AO10+22.7/$AP10+8.2/$AQ10+9.4/$AR10)*100</f>
        <v>46.502265801388916</v>
      </c>
      <c r="S10" s="49">
        <f>100 - R10 - U10 - T10</f>
        <v>27.900576364297763</v>
      </c>
      <c r="T10" s="49">
        <f>8.2/AQ10/(40/$AO10+22.7/$AP10+8.2/$AQ10+9.4/$AR10)*100</f>
        <v>10.831794644540658</v>
      </c>
      <c r="U10" s="49">
        <f>9.4/AR10/(40/$AO10+22.7/$AP10+8.2/$AQ10+9.4/$AR10)*100</f>
        <v>14.765363189772662</v>
      </c>
      <c r="V10" s="49">
        <f>0.5/(0.5+1.5)*100</f>
        <v>25</v>
      </c>
      <c r="W10" s="64">
        <f>100 - $V10</f>
        <v>75</v>
      </c>
      <c r="X10" s="42">
        <f>14.3/AI$1/(14.3/$AI$1 + 28.5/$AJ$1 + 0.77/$AK$1)*100</f>
        <v>21.63741005751551</v>
      </c>
      <c r="Y10" s="42">
        <f>100 - $X10 - $Z10</f>
        <v>76.869924088997237</v>
      </c>
      <c r="Z10" s="42">
        <f>0.77/AK$1/(14.3/$AI$1 + 28.5/$AJ$1 + 0.77/$AK$1)*100</f>
        <v>1.4926658534872557</v>
      </c>
      <c r="AA10" s="42">
        <f>0.144/(0.144+0.904+0.835)*100</f>
        <v>7.6473712161444496</v>
      </c>
      <c r="AB10" s="42">
        <f>100 - $AA10 - $AC10</f>
        <v>48.00849707912905</v>
      </c>
      <c r="AC10" s="42">
        <f>0.835/(0.144+0.904+0.835)*100</f>
        <v>44.3441317047265</v>
      </c>
      <c r="AD10" s="42">
        <v>10</v>
      </c>
      <c r="AE10" s="42">
        <f>100 - $AD10 - $AF10</f>
        <v>84</v>
      </c>
      <c r="AF10" s="42">
        <v>6</v>
      </c>
      <c r="AG10" s="42" t="s">
        <v>43</v>
      </c>
      <c r="AH10" s="38" t="s">
        <v>44</v>
      </c>
      <c r="AI10" s="41" t="s">
        <v>85</v>
      </c>
      <c r="AJ10" s="37"/>
      <c r="AK10" s="33"/>
      <c r="AL10" s="33"/>
      <c r="AM10" s="33"/>
      <c r="AN10" s="48" t="s">
        <v>47</v>
      </c>
      <c r="AO10" s="48">
        <f>V10*$AN$1 + W10*$AO$1</f>
        <v>3.55</v>
      </c>
      <c r="AP10" s="48">
        <f>X10*$AP$1+Y10*$AQ$1+Z10*$AR$1</f>
        <v>3.3578025778709044</v>
      </c>
      <c r="AQ10" s="48">
        <f>AA10*$AP$1+AB10*$AQ$1+AC10*$AR$1</f>
        <v>3.1243228890069039</v>
      </c>
      <c r="AR10" s="48">
        <f>AD10*$AS$1+AE10*$AT$1+AF10*$AU$1</f>
        <v>2.6274000000000002</v>
      </c>
      <c r="AS10" s="48"/>
      <c r="AT10" s="84"/>
      <c r="AU10" s="84"/>
    </row>
    <row r="11" spans="1:47" s="40" customFormat="1" ht="12">
      <c r="A11" s="33" t="s">
        <v>91</v>
      </c>
      <c r="B11" s="34" t="s">
        <v>92</v>
      </c>
      <c r="C11" s="35" t="s">
        <v>79</v>
      </c>
      <c r="D11" s="35" t="s">
        <v>34</v>
      </c>
      <c r="E11" s="33" t="s">
        <v>35</v>
      </c>
      <c r="F11" s="33"/>
      <c r="G11" s="33" t="s">
        <v>36</v>
      </c>
      <c r="H11" s="33" t="s">
        <v>93</v>
      </c>
      <c r="I11" s="33"/>
      <c r="J11" s="33">
        <v>0</v>
      </c>
      <c r="K11" s="33">
        <v>150</v>
      </c>
      <c r="L11" s="33" t="s">
        <v>38</v>
      </c>
      <c r="M11" s="33" t="s">
        <v>81</v>
      </c>
      <c r="N11" s="33" t="s">
        <v>94</v>
      </c>
      <c r="O11" s="33" t="s">
        <v>83</v>
      </c>
      <c r="P11" s="33">
        <v>0</v>
      </c>
      <c r="Q11" s="36" t="s">
        <v>84</v>
      </c>
      <c r="R11" s="49">
        <f>35/(35+38+6+8)*100</f>
        <v>40.229885057471265</v>
      </c>
      <c r="S11" s="49">
        <f>100 - R11 - U11 - T11</f>
        <v>43.678160919540232</v>
      </c>
      <c r="T11" s="49">
        <f>6/(35+38+6+8)*100</f>
        <v>6.8965517241379306</v>
      </c>
      <c r="U11" s="49">
        <f>8/(35+38+6+8)*100</f>
        <v>9.1954022988505741</v>
      </c>
      <c r="V11" s="49">
        <v>17.3</v>
      </c>
      <c r="W11" s="64">
        <f>100 - $V11</f>
        <v>82.7</v>
      </c>
      <c r="X11" s="42">
        <v>16.5</v>
      </c>
      <c r="Y11" s="42">
        <f>100 - $X11 - $Z11</f>
        <v>82.2</v>
      </c>
      <c r="Z11" s="42">
        <v>1.3</v>
      </c>
      <c r="AA11" s="42">
        <v>5.7</v>
      </c>
      <c r="AB11" s="42">
        <f>100 - $AA11 - $AC11</f>
        <v>49</v>
      </c>
      <c r="AC11" s="42">
        <v>45.3</v>
      </c>
      <c r="AD11" s="42">
        <v>11.9</v>
      </c>
      <c r="AE11" s="42">
        <f>100 - $AD11 - $AF11</f>
        <v>82.8</v>
      </c>
      <c r="AF11" s="42">
        <v>5.3</v>
      </c>
      <c r="AG11" s="33" t="s">
        <v>43</v>
      </c>
      <c r="AH11" s="39" t="s">
        <v>95</v>
      </c>
      <c r="AI11" s="39" t="s">
        <v>46</v>
      </c>
      <c r="AJ11" s="37"/>
      <c r="AK11" s="33"/>
      <c r="AL11" s="33"/>
      <c r="AM11" s="33"/>
      <c r="AN11" s="48" t="s">
        <v>63</v>
      </c>
      <c r="AO11" s="48">
        <f>V11*$AN$1 + W11*$AO$1</f>
        <v>3.4637600000000002</v>
      </c>
      <c r="AP11" s="48">
        <f>X11*$AP$1+Y11*$AQ$1+Z11*$AR$1</f>
        <v>3.3198500000000006</v>
      </c>
      <c r="AQ11" s="48">
        <f>AA11*$AP$1+AB11*$AQ$1+AC11*$AR$1</f>
        <v>3.1068499999999997</v>
      </c>
      <c r="AR11" s="48">
        <f>AD11*$AS$1+AE11*$AT$1+AF11*$AU$1</f>
        <v>2.6299100000000002</v>
      </c>
      <c r="AS11" s="48"/>
      <c r="AT11" s="84"/>
      <c r="AU11" s="84"/>
    </row>
    <row r="12" spans="1:47" s="40" customFormat="1" ht="12">
      <c r="A12" s="33" t="s">
        <v>96</v>
      </c>
      <c r="B12" s="34" t="s">
        <v>97</v>
      </c>
      <c r="C12" s="35" t="s">
        <v>79</v>
      </c>
      <c r="D12" s="35" t="s">
        <v>34</v>
      </c>
      <c r="E12" s="33" t="s">
        <v>35</v>
      </c>
      <c r="F12" s="33"/>
      <c r="G12" s="33" t="s">
        <v>36</v>
      </c>
      <c r="H12" s="33" t="s">
        <v>98</v>
      </c>
      <c r="I12" s="33"/>
      <c r="J12" s="33">
        <v>0</v>
      </c>
      <c r="K12" s="33">
        <v>150</v>
      </c>
      <c r="L12" s="33" t="s">
        <v>38</v>
      </c>
      <c r="M12" s="33" t="s">
        <v>81</v>
      </c>
      <c r="N12" s="33" t="s">
        <v>99</v>
      </c>
      <c r="O12" s="33" t="s">
        <v>83</v>
      </c>
      <c r="P12" s="33">
        <v>0</v>
      </c>
      <c r="Q12" s="36" t="s">
        <v>84</v>
      </c>
      <c r="R12" s="49">
        <f>34.1/AO12/(34.1/$AO12+27.2/$AP12+5.9/$AQ12+8.4/$AR12)*100</f>
        <v>42.436276553343617</v>
      </c>
      <c r="S12" s="49">
        <f>100 - R12 - U12 - T12</f>
        <v>35.506600741486217</v>
      </c>
      <c r="T12" s="49">
        <f>5.9/AQ12/(34.1/$AO12+27.2/$AP12+5.9/$AQ12+8.4/$AR12)*100</f>
        <v>8.2033207314107912</v>
      </c>
      <c r="U12" s="49">
        <f>8.4/AR12/(34.1/$AO12+27.2/$AP12+5.9/$AQ12+8.4/$AR12)*100</f>
        <v>13.853801973759378</v>
      </c>
      <c r="V12" s="49">
        <f>0.38/(0.38+1.6)*100</f>
        <v>19.191919191919194</v>
      </c>
      <c r="W12" s="64">
        <f>100 - $V12</f>
        <v>80.808080808080803</v>
      </c>
      <c r="X12" s="42">
        <f>11.3/$AI$1/(11.3/$AI$1 + 30.5/$AJ$1 + 0.82/$AK$1)*100</f>
        <v>16.936856052985036</v>
      </c>
      <c r="Y12" s="42">
        <f>100 - $X12 - $Z12</f>
        <v>81.488541797504951</v>
      </c>
      <c r="Z12" s="65">
        <f>0.82/$AK$1/(11.3/$AI$1 + 30.5/$AJ$1 + 0.82/$AK$1)*100</f>
        <v>1.5746021495100095</v>
      </c>
      <c r="AA12" s="42">
        <f>4.44/AI$1/(4.44/$AI$1 + 16.5/$AJ$1 + 21.6/$AK$1)*100</f>
        <v>7.2165637307264916</v>
      </c>
      <c r="AB12" s="42">
        <f>100 - $AA12 - $AC12</f>
        <v>47.805050294899424</v>
      </c>
      <c r="AC12" s="65">
        <f>21.6/AK$1/(4.44/$AI$1 + 16.5/$AJ$1 + 21.6/$AK$1)*100</f>
        <v>44.978385974374085</v>
      </c>
      <c r="AD12" s="42">
        <v>12</v>
      </c>
      <c r="AE12" s="42">
        <f>100 - $AD12 - $AF12</f>
        <v>82</v>
      </c>
      <c r="AF12" s="65">
        <v>6</v>
      </c>
      <c r="AG12" s="33" t="s">
        <v>43</v>
      </c>
      <c r="AH12" s="38" t="s">
        <v>44</v>
      </c>
      <c r="AI12" s="38" t="s">
        <v>100</v>
      </c>
      <c r="AJ12" s="37"/>
      <c r="AK12" s="33"/>
      <c r="AL12" s="33"/>
      <c r="AM12" s="33"/>
      <c r="AN12" s="48" t="s">
        <v>47</v>
      </c>
      <c r="AO12" s="48">
        <f>V12*$AN$1 + W12*$AO$1</f>
        <v>3.4849494949494946</v>
      </c>
      <c r="AP12" s="48">
        <f>X12*$AP$1+Y12*$AQ$1+Z12*$AR$1</f>
        <v>3.3223026139488576</v>
      </c>
      <c r="AQ12" s="48">
        <f>AA12*$AP$1+AB12*$AQ$1+AC12*$AR$1</f>
        <v>3.1191890700573266</v>
      </c>
      <c r="AR12" s="48">
        <f>AD12*$AS$1+AE12*$AT$1+AF12*$AU$1</f>
        <v>2.6295999999999999</v>
      </c>
      <c r="AS12" s="48"/>
      <c r="AT12" s="84"/>
      <c r="AU12" s="84"/>
    </row>
    <row r="13" spans="1:47" s="40" customFormat="1" ht="12">
      <c r="A13" s="33" t="s">
        <v>101</v>
      </c>
      <c r="B13" s="34" t="s">
        <v>102</v>
      </c>
      <c r="C13" s="35" t="s">
        <v>79</v>
      </c>
      <c r="D13" s="35" t="s">
        <v>34</v>
      </c>
      <c r="E13" s="33" t="s">
        <v>35</v>
      </c>
      <c r="F13" s="33"/>
      <c r="G13" s="33" t="s">
        <v>36</v>
      </c>
      <c r="H13" s="33" t="s">
        <v>98</v>
      </c>
      <c r="I13" s="33"/>
      <c r="J13" s="33">
        <v>0</v>
      </c>
      <c r="K13" s="33">
        <v>150</v>
      </c>
      <c r="L13" s="33" t="s">
        <v>38</v>
      </c>
      <c r="M13" s="33" t="s">
        <v>81</v>
      </c>
      <c r="N13" s="33" t="s">
        <v>103</v>
      </c>
      <c r="O13" s="33" t="s">
        <v>83</v>
      </c>
      <c r="P13" s="33">
        <v>0</v>
      </c>
      <c r="Q13" s="36" t="s">
        <v>84</v>
      </c>
      <c r="R13" s="49">
        <f>39.9/AO13/(39.9/$AO13+21.5/$AP13+4.7/$AQ13+9.3/$AR13)*100</f>
        <v>49.859661583937473</v>
      </c>
      <c r="S13" s="49">
        <f>100 - R13 - U13 - T13</f>
        <v>28.178291367892125</v>
      </c>
      <c r="T13" s="49">
        <f>4.7/AQ13/(39.9/$AO13+21.5/$AP13+4.7/$AQ13+9.3/$AR13)*100</f>
        <v>6.5657631458945476</v>
      </c>
      <c r="U13" s="49">
        <f>9.3/AR13/(39.9/$AO13+21.5/$AP13+4.7/$AQ13+9.3/$AR13)*100</f>
        <v>15.396283902275856</v>
      </c>
      <c r="V13" s="49">
        <f>0.38/(0.38+1.6)*100</f>
        <v>19.191919191919194</v>
      </c>
      <c r="W13" s="64">
        <f>100 - $V13</f>
        <v>80.808080808080803</v>
      </c>
      <c r="X13" s="42">
        <f>11.4/$AI$1/(11.4/$AI$1 + 30.9/$AJ$1 + 0.72/$AK$1)*100</f>
        <v>16.913116242931459</v>
      </c>
      <c r="Y13" s="42">
        <f>100 - $X13 - $Z13</f>
        <v>81.718355044940196</v>
      </c>
      <c r="Z13" s="65">
        <f>0.72/$AK$1/(11.4/$AI$1 + 30.9/$AJ$1 + 0.72/$AK$1)*100</f>
        <v>1.368528712128332</v>
      </c>
      <c r="AA13" s="66">
        <v>6.9</v>
      </c>
      <c r="AB13" s="42">
        <f>100 - $AA13 - $AC13</f>
        <v>48.3</v>
      </c>
      <c r="AC13" s="65">
        <v>44.8</v>
      </c>
      <c r="AD13" s="42">
        <v>13.1</v>
      </c>
      <c r="AE13" s="42">
        <f>100 - $AD13 - $AF13</f>
        <v>80.400000000000006</v>
      </c>
      <c r="AF13" s="65">
        <v>6.5</v>
      </c>
      <c r="AG13" s="33" t="s">
        <v>43</v>
      </c>
      <c r="AH13" s="38" t="s">
        <v>44</v>
      </c>
      <c r="AI13" s="39" t="s">
        <v>104</v>
      </c>
      <c r="AK13" s="33"/>
      <c r="AL13" s="33"/>
      <c r="AM13" s="33"/>
      <c r="AN13" s="48" t="s">
        <v>47</v>
      </c>
      <c r="AO13" s="48">
        <f>V13*$AN$1 + W13*$AO$1</f>
        <v>3.4849494949494946</v>
      </c>
      <c r="AP13" s="48">
        <f>X13*$AP$1+Y13*$AQ$1+Z13*$AR$1</f>
        <v>3.3227427856856004</v>
      </c>
      <c r="AQ13" s="48">
        <f>AA13*$AP$1+AB13*$AQ$1+AC13*$AR$1</f>
        <v>3.1173500000000001</v>
      </c>
      <c r="AR13" s="48">
        <f>AD13*$AS$1+AE13*$AT$1+AF13*$AU$1</f>
        <v>2.6305100000000001</v>
      </c>
      <c r="AS13" s="48"/>
      <c r="AT13" s="84"/>
      <c r="AU13" s="84"/>
    </row>
    <row r="14" spans="1:47" s="40" customFormat="1" ht="12">
      <c r="A14" s="33" t="s">
        <v>105</v>
      </c>
      <c r="B14" s="34" t="s">
        <v>106</v>
      </c>
      <c r="C14" s="35" t="s">
        <v>79</v>
      </c>
      <c r="D14" s="35" t="s">
        <v>34</v>
      </c>
      <c r="E14" s="33" t="s">
        <v>35</v>
      </c>
      <c r="F14" s="33"/>
      <c r="G14" s="33" t="s">
        <v>36</v>
      </c>
      <c r="H14" s="33" t="s">
        <v>107</v>
      </c>
      <c r="I14" s="33"/>
      <c r="J14" s="33">
        <v>0</v>
      </c>
      <c r="K14" s="33">
        <v>150</v>
      </c>
      <c r="L14" s="33" t="s">
        <v>38</v>
      </c>
      <c r="M14" s="33" t="s">
        <v>81</v>
      </c>
      <c r="N14" s="33" t="s">
        <v>108</v>
      </c>
      <c r="O14" s="33" t="s">
        <v>83</v>
      </c>
      <c r="P14" s="33">
        <v>0</v>
      </c>
      <c r="Q14" s="36" t="s">
        <v>84</v>
      </c>
      <c r="R14" s="49">
        <f>32.9/AO14/(32.9/$AO14+23.2/$AP14+6.3/$AQ14+9/$AR14)*100</f>
        <v>43.230140030644264</v>
      </c>
      <c r="S14" s="49">
        <f>100 - R14 - U14 - T14</f>
        <v>31.925950377349196</v>
      </c>
      <c r="T14" s="49">
        <f>6.3/AQ14/(32.9/$AO14+23.2/$AP14+6.3/$AQ14+9/$AR14)*100</f>
        <v>9.2198639307314405</v>
      </c>
      <c r="U14" s="49">
        <f>9/AR14/(32.9/$AO14+23.2/$AP14+6.3/$AQ14+9/$AR14)*100</f>
        <v>15.624045661275099</v>
      </c>
      <c r="V14" s="49">
        <f>0.37/(0.37+1.64)*100</f>
        <v>18.407960199004979</v>
      </c>
      <c r="W14" s="64">
        <f>100 - $V14</f>
        <v>81.592039800995025</v>
      </c>
      <c r="X14" s="42">
        <f>11.1/$AI$1/(11.1/$AI$1 + 30.9/$AJ$1 + 0.81/$AK$1)*100</f>
        <v>16.513283261155628</v>
      </c>
      <c r="Y14" s="42">
        <f>100 - $X14 - $Z14</f>
        <v>81.942891611113538</v>
      </c>
      <c r="Z14" s="65">
        <f>0.81/$AK$1/(11.1/$AI$1 + 30.9/$AJ$1 + 0.81/$AK$1)*100</f>
        <v>1.5438251277308204</v>
      </c>
      <c r="AA14" s="42">
        <v>7</v>
      </c>
      <c r="AB14" s="42">
        <f>100 - $AA14 - $AC14</f>
        <v>49.2</v>
      </c>
      <c r="AC14" s="65">
        <v>43.8</v>
      </c>
      <c r="AD14" s="42">
        <v>13</v>
      </c>
      <c r="AE14" s="42">
        <f>100 - $AD14 - $AF14</f>
        <v>81.7</v>
      </c>
      <c r="AF14" s="65">
        <v>5.3</v>
      </c>
      <c r="AG14" s="33" t="s">
        <v>43</v>
      </c>
      <c r="AH14" s="38" t="s">
        <v>44</v>
      </c>
      <c r="AI14" s="39" t="s">
        <v>109</v>
      </c>
      <c r="AJ14" s="37"/>
      <c r="AK14" s="33"/>
      <c r="AL14" s="33"/>
      <c r="AM14" s="33"/>
      <c r="AN14" s="48" t="s">
        <v>47</v>
      </c>
      <c r="AO14" s="48">
        <f>V14*$AN$1 + W14*$AO$1</f>
        <v>3.476169154228856</v>
      </c>
      <c r="AP14" s="48">
        <f>X14*$AP$1+Y14*$AQ$1+Z14*$AR$1</f>
        <v>3.3192181490754744</v>
      </c>
      <c r="AQ14" s="48">
        <f>AA14*$AP$1+AB14*$AQ$1+AC14*$AR$1</f>
        <v>3.1210999999999998</v>
      </c>
      <c r="AR14" s="48">
        <f>AD14*$AS$1+AE14*$AT$1+AF14*$AU$1</f>
        <v>2.6311200000000001</v>
      </c>
      <c r="AS14" s="48"/>
      <c r="AT14" s="84"/>
      <c r="AU14" s="84"/>
    </row>
    <row r="15" spans="1:47" s="40" customFormat="1" ht="12">
      <c r="A15" s="33" t="s">
        <v>110</v>
      </c>
      <c r="B15" s="34" t="s">
        <v>111</v>
      </c>
      <c r="C15" s="35" t="s">
        <v>79</v>
      </c>
      <c r="D15" s="35" t="s">
        <v>34</v>
      </c>
      <c r="E15" s="33" t="s">
        <v>35</v>
      </c>
      <c r="F15" s="33"/>
      <c r="G15" s="33" t="s">
        <v>36</v>
      </c>
      <c r="H15" s="33" t="s">
        <v>80</v>
      </c>
      <c r="I15" s="33"/>
      <c r="J15" s="33">
        <v>0</v>
      </c>
      <c r="K15" s="33">
        <v>150</v>
      </c>
      <c r="L15" s="33" t="s">
        <v>38</v>
      </c>
      <c r="M15" s="33" t="s">
        <v>81</v>
      </c>
      <c r="N15" s="33" t="s">
        <v>112</v>
      </c>
      <c r="O15" s="33" t="s">
        <v>83</v>
      </c>
      <c r="P15" s="33">
        <v>0</v>
      </c>
      <c r="Q15" s="36" t="s">
        <v>84</v>
      </c>
      <c r="R15" s="49">
        <f>42.4/AO15/(42.4/$AO15+21.5/$AP15+7.8/$AQ15+8.9/$AR15)*100</f>
        <v>49.306179639809358</v>
      </c>
      <c r="S15" s="49">
        <f>100 - R15 - U15 - T15</f>
        <v>26.42051988498508</v>
      </c>
      <c r="T15" s="49">
        <f>7.8/AQ15/(42.4/$AO15+21.5/$AP15+7.8/$AQ15+8.9/$AR15)*100</f>
        <v>10.3210000563306</v>
      </c>
      <c r="U15" s="49">
        <f>8.9/AR15/(42.4/$AO15+21.5/$AP15+7.8/$AQ15+8.9/$AR15)*100</f>
        <v>13.952300418874962</v>
      </c>
      <c r="V15" s="49">
        <f>0.49/(0.49+1.52)*100</f>
        <v>24.378109452736322</v>
      </c>
      <c r="W15" s="64">
        <f>100 - $V15</f>
        <v>75.621890547263675</v>
      </c>
      <c r="X15" s="42">
        <f>13.9/$AI$1/(13.9/$AI$1 + 28.9/$AJ$1 + 0.74/$AK$1)*100</f>
        <v>20.945145331364877</v>
      </c>
      <c r="Y15" s="42">
        <f>100 - $X15 - $Z15</f>
        <v>77.626280041990412</v>
      </c>
      <c r="Z15" s="65">
        <f>0.74/$AK$1/(13.9/$AI$1 + 28.9/$AJ$1 + 0.74/$AK$1)*100</f>
        <v>1.4285746266447144</v>
      </c>
      <c r="AA15" s="42">
        <v>6.9</v>
      </c>
      <c r="AB15" s="42">
        <f>100 - $AA15 - $AC15</f>
        <v>47.099999999999994</v>
      </c>
      <c r="AC15" s="65">
        <v>46</v>
      </c>
      <c r="AD15" s="42">
        <v>10.6</v>
      </c>
      <c r="AE15" s="42">
        <f>100 - $AD15 - $AF15</f>
        <v>83.600000000000009</v>
      </c>
      <c r="AF15" s="65">
        <v>5.8</v>
      </c>
      <c r="AG15" s="33" t="s">
        <v>43</v>
      </c>
      <c r="AH15" s="38" t="s">
        <v>44</v>
      </c>
      <c r="AI15" s="39" t="s">
        <v>113</v>
      </c>
      <c r="AJ15" s="37"/>
      <c r="AK15" s="33"/>
      <c r="AL15" s="33"/>
      <c r="AM15" s="33"/>
      <c r="AN15" s="48" t="s">
        <v>47</v>
      </c>
      <c r="AO15" s="48">
        <f>V15*$AN$1 + W15*$AO$1</f>
        <v>3.5430348258706466</v>
      </c>
      <c r="AP15" s="48">
        <f>X15*$AP$1+Y15*$AQ$1+Z15*$AR$1</f>
        <v>3.3528028661053026</v>
      </c>
      <c r="AQ15" s="48">
        <f>AA15*$AP$1+AB15*$AQ$1+AC15*$AR$1</f>
        <v>3.1137499999999996</v>
      </c>
      <c r="AR15" s="48">
        <f>AD15*$AS$1+AE15*$AT$1+AF15*$AU$1</f>
        <v>2.6281800000000004</v>
      </c>
      <c r="AS15" s="48"/>
      <c r="AT15" s="84"/>
      <c r="AU15" s="84"/>
    </row>
    <row r="16" spans="1:47" s="40" customFormat="1" ht="12">
      <c r="A16" s="33" t="s">
        <v>114</v>
      </c>
      <c r="B16" s="34" t="s">
        <v>115</v>
      </c>
      <c r="C16" s="35" t="s">
        <v>79</v>
      </c>
      <c r="D16" s="35" t="s">
        <v>34</v>
      </c>
      <c r="E16" s="33" t="s">
        <v>35</v>
      </c>
      <c r="F16" s="33"/>
      <c r="G16" s="33" t="s">
        <v>36</v>
      </c>
      <c r="H16" s="33" t="s">
        <v>107</v>
      </c>
      <c r="I16" s="33"/>
      <c r="J16" s="33">
        <v>0</v>
      </c>
      <c r="K16" s="33">
        <v>0</v>
      </c>
      <c r="L16" s="33" t="s">
        <v>38</v>
      </c>
      <c r="M16" s="33" t="s">
        <v>81</v>
      </c>
      <c r="N16" s="33" t="s">
        <v>116</v>
      </c>
      <c r="O16" s="33" t="s">
        <v>83</v>
      </c>
      <c r="P16" s="33">
        <v>0</v>
      </c>
      <c r="Q16" s="36" t="s">
        <v>84</v>
      </c>
      <c r="R16" s="49">
        <f>30.1/AO16/(30.1/$AO16+26.5/$AP16+7.2/$AQ16+8.2/$AR16)*100</f>
        <v>39.383625764472455</v>
      </c>
      <c r="S16" s="49">
        <f>100 - R16 - U16 - T16</f>
        <v>36.269735799057003</v>
      </c>
      <c r="T16" s="49">
        <f>7.2/AQ16/(30.1/$AO16+26.5/$AP16+7.2/$AQ16+8.2/$AR16)*100</f>
        <v>10.267301809633922</v>
      </c>
      <c r="U16" s="49">
        <f>8.2/AR16/(30.1/$AO16+26.5/$AP16+7.2/$AQ16+8.2/$AR16)*100</f>
        <v>14.079336626836625</v>
      </c>
      <c r="V16" s="49">
        <f>0.35/(0.35+1.64)*100</f>
        <v>17.587939698492463</v>
      </c>
      <c r="W16" s="64">
        <f>100 - $V16</f>
        <v>82.412060301507537</v>
      </c>
      <c r="X16" s="42">
        <f>10.6/$AI$1/(10.6/$AI$1 + 31.3/$AJ$1 + 0.67/$AK$1)*100</f>
        <v>15.761549259080008</v>
      </c>
      <c r="Y16" s="42">
        <f>100 - $X16 - $Z16</f>
        <v>82.962098704422957</v>
      </c>
      <c r="Z16" s="65">
        <f>0.67/$AK$1/(10.6/$AI$1 + 31.3/$AJ$1 + 0.67/$AK$1)*100</f>
        <v>1.27635203649703</v>
      </c>
      <c r="AA16" s="42">
        <v>10.4</v>
      </c>
      <c r="AB16" s="42">
        <f>100 - $AA16 - $AC16</f>
        <v>57.3</v>
      </c>
      <c r="AC16" s="65">
        <v>32.299999999999997</v>
      </c>
      <c r="AD16" s="42">
        <v>20</v>
      </c>
      <c r="AE16" s="42">
        <f>100 - $AD16 - $AF16</f>
        <v>80</v>
      </c>
      <c r="AF16" s="65">
        <v>0</v>
      </c>
      <c r="AG16" s="33" t="s">
        <v>43</v>
      </c>
      <c r="AH16" s="38" t="s">
        <v>44</v>
      </c>
      <c r="AI16" s="39" t="s">
        <v>100</v>
      </c>
      <c r="AJ16" s="39" t="s">
        <v>117</v>
      </c>
      <c r="AK16" s="33"/>
      <c r="AL16" s="33"/>
      <c r="AM16" s="33"/>
      <c r="AN16" s="48" t="s">
        <v>47</v>
      </c>
      <c r="AO16" s="48">
        <f>V16*$AN$1 + W16*$AO$1</f>
        <v>3.4669849246231159</v>
      </c>
      <c r="AP16" s="48">
        <f>X16*$AP$1+Y16*$AQ$1+Z16*$AR$1</f>
        <v>3.3143825633336088</v>
      </c>
      <c r="AQ16" s="48">
        <f>AA16*$AP$1+AB16*$AQ$1+AC16*$AR$1</f>
        <v>3.1810999999999998</v>
      </c>
      <c r="AR16" s="48">
        <f>AD16*$AS$1+AE16*$AT$1+AF16*$AU$1</f>
        <v>2.6420000000000003</v>
      </c>
      <c r="AS16" s="48"/>
      <c r="AT16" s="84"/>
      <c r="AU16" s="84"/>
    </row>
    <row r="17" spans="1:47" s="33" customFormat="1" ht="12">
      <c r="A17" s="33" t="s">
        <v>118</v>
      </c>
      <c r="B17" s="34" t="s">
        <v>119</v>
      </c>
      <c r="C17" s="35" t="s">
        <v>79</v>
      </c>
      <c r="D17" s="35" t="s">
        <v>34</v>
      </c>
      <c r="E17" s="33" t="s">
        <v>35</v>
      </c>
      <c r="G17" s="33" t="s">
        <v>36</v>
      </c>
      <c r="H17" s="33" t="s">
        <v>120</v>
      </c>
      <c r="J17" s="33">
        <v>0</v>
      </c>
      <c r="K17" s="33">
        <v>150</v>
      </c>
      <c r="L17" s="33" t="s">
        <v>38</v>
      </c>
      <c r="M17" s="33" t="s">
        <v>81</v>
      </c>
      <c r="N17" s="33" t="s">
        <v>121</v>
      </c>
      <c r="O17" s="33" t="s">
        <v>83</v>
      </c>
      <c r="P17" s="33">
        <v>0</v>
      </c>
      <c r="Q17" s="36" t="s">
        <v>84</v>
      </c>
      <c r="R17" s="49">
        <f>41.8/AO17/(41.8/$AO17+23.2/$AP17+8.1/$AQ17+9.3/$AR17)*100</f>
        <v>47.479586617784399</v>
      </c>
      <c r="S17" s="49">
        <f>100 - R17 - U17 - T17</f>
        <v>27.880665711910574</v>
      </c>
      <c r="T17" s="49">
        <f>8.1/AQ17/(41.8/$AO17+23.2/$AP17+8.1/$AQ17+9.3/$AR17)*100</f>
        <v>10.42969034629987</v>
      </c>
      <c r="U17" s="49">
        <f>9.3/AR17/(41.8/$AO17+23.2/$AP17+8.1/$AQ17+9.3/$AR17)*100</f>
        <v>14.210057324005154</v>
      </c>
      <c r="V17" s="49">
        <f>0.5/(0.5+1.52)*100</f>
        <v>24.752475247524753</v>
      </c>
      <c r="W17" s="64">
        <f>100 - $V17</f>
        <v>75.247524752475243</v>
      </c>
      <c r="X17" s="42">
        <f>13.9/$AI$1/(13.9/$AI$1 + 28.8/$AJ$1 + 0.79/$AK$1)*100</f>
        <v>20.981249389568156</v>
      </c>
      <c r="Y17" s="42">
        <f>100 - $X17 - $Z17</f>
        <v>77.491021790062916</v>
      </c>
      <c r="Z17" s="65">
        <f>0.79/$AK$1/(13.9/$AI$1 + 28.8/$AJ$1 + 0.79/$AK$1)*100</f>
        <v>1.5277288203689416</v>
      </c>
      <c r="AA17" s="42">
        <v>8.4</v>
      </c>
      <c r="AB17" s="42">
        <f>100 - $AA17 - $AC17</f>
        <v>46.999999999999993</v>
      </c>
      <c r="AC17" s="65">
        <v>44.6</v>
      </c>
      <c r="AD17" s="42">
        <v>18.600000000000001</v>
      </c>
      <c r="AE17" s="42">
        <f>100 - $AD17 - $AF17</f>
        <v>75.600000000000009</v>
      </c>
      <c r="AF17" s="65">
        <v>5.8</v>
      </c>
      <c r="AG17" s="33" t="s">
        <v>43</v>
      </c>
      <c r="AH17" s="38" t="s">
        <v>44</v>
      </c>
      <c r="AI17" s="39" t="s">
        <v>122</v>
      </c>
      <c r="AJ17" s="37"/>
      <c r="AN17" s="48" t="s">
        <v>47</v>
      </c>
      <c r="AO17" s="48">
        <f>V17*$AN$1 + W17*$AO$1</f>
        <v>3.547227722772277</v>
      </c>
      <c r="AP17" s="48">
        <f>X17*$AP$1+Y17*$AQ$1+Z17*$AR$1</f>
        <v>3.3527761839606547</v>
      </c>
      <c r="AQ17" s="48">
        <f>AA17*$AP$1+AB17*$AQ$1+AC17*$AR$1</f>
        <v>3.1292</v>
      </c>
      <c r="AR17" s="48">
        <f>AD17*$AS$1+AE17*$AT$1+AF17*$AU$1</f>
        <v>2.6369800000000003</v>
      </c>
      <c r="AS17" s="48"/>
      <c r="AT17" s="48"/>
      <c r="AU17" s="48"/>
    </row>
    <row r="18" spans="1:47" s="33" customFormat="1" ht="12">
      <c r="A18" s="33" t="s">
        <v>123</v>
      </c>
      <c r="B18" s="34" t="s">
        <v>115</v>
      </c>
      <c r="C18" s="35" t="s">
        <v>79</v>
      </c>
      <c r="D18" s="35" t="s">
        <v>34</v>
      </c>
      <c r="E18" s="33" t="s">
        <v>35</v>
      </c>
      <c r="G18" s="33" t="s">
        <v>36</v>
      </c>
      <c r="H18" s="33" t="s">
        <v>107</v>
      </c>
      <c r="J18" s="33">
        <v>0</v>
      </c>
      <c r="K18" s="33">
        <v>150</v>
      </c>
      <c r="L18" s="33" t="s">
        <v>38</v>
      </c>
      <c r="M18" s="33" t="s">
        <v>81</v>
      </c>
      <c r="N18" s="33" t="s">
        <v>116</v>
      </c>
      <c r="O18" s="33" t="s">
        <v>83</v>
      </c>
      <c r="P18" s="33">
        <v>0</v>
      </c>
      <c r="Q18" s="36" t="s">
        <v>84</v>
      </c>
      <c r="R18" s="49">
        <f>30.1/AO18/(30.1/$AO18+26.5/$AP18+7.2/$AQ18+8.2/$AR18)*100</f>
        <v>39.383625764472455</v>
      </c>
      <c r="S18" s="49">
        <f>100 - R18 - U18 - T18</f>
        <v>36.269735799057003</v>
      </c>
      <c r="T18" s="49">
        <f>7.2/AQ18/(30.1/$AO18+26.5/$AP18+7.2/$AQ18+8.2/$AR18)*100</f>
        <v>10.267301809633922</v>
      </c>
      <c r="U18" s="49">
        <f>8.2/AR18/(30.1/$AO18+26.5/$AP18+7.2/$AQ18+8.2/$AR18)*100</f>
        <v>14.079336626836625</v>
      </c>
      <c r="V18" s="49">
        <f>0.35/(0.35+1.64)*100</f>
        <v>17.587939698492463</v>
      </c>
      <c r="W18" s="64">
        <f>100 - $V18</f>
        <v>82.412060301507537</v>
      </c>
      <c r="X18" s="42">
        <f>10.6/$AI$1/(10.6/$AI$1 + 31.3/$AJ$1 + 0.67/$AK$1)*100</f>
        <v>15.761549259080008</v>
      </c>
      <c r="Y18" s="42">
        <f>100 - $X18 - $Z18</f>
        <v>82.962098704422957</v>
      </c>
      <c r="Z18" s="65">
        <f>0.67/$AK$1/(10.6/$AI$1 + 31.3/$AJ$1 + 0.67/$AK$1)*100</f>
        <v>1.27635203649703</v>
      </c>
      <c r="AA18" s="42">
        <v>10.4</v>
      </c>
      <c r="AB18" s="42">
        <f>100 - $AA18 - $AC18</f>
        <v>57.3</v>
      </c>
      <c r="AC18" s="65">
        <v>32.299999999999997</v>
      </c>
      <c r="AD18" s="42">
        <v>20</v>
      </c>
      <c r="AE18" s="42">
        <f>100 - $AD18 - $AF18</f>
        <v>80</v>
      </c>
      <c r="AF18" s="65">
        <v>0</v>
      </c>
      <c r="AG18" s="33" t="s">
        <v>43</v>
      </c>
      <c r="AH18" s="38" t="s">
        <v>44</v>
      </c>
      <c r="AI18" s="39" t="s">
        <v>100</v>
      </c>
      <c r="AJ18" s="39" t="s">
        <v>117</v>
      </c>
      <c r="AN18" s="48" t="s">
        <v>47</v>
      </c>
      <c r="AO18" s="48">
        <f>V18*$AN$1 + W18*$AO$1</f>
        <v>3.4669849246231159</v>
      </c>
      <c r="AP18" s="48">
        <f>X18*$AP$1+Y18*$AQ$1+Z18*$AR$1</f>
        <v>3.3143825633336088</v>
      </c>
      <c r="AQ18" s="48">
        <f>AA18*$AP$1+AB18*$AQ$1+AC18*$AR$1</f>
        <v>3.1810999999999998</v>
      </c>
      <c r="AR18" s="48">
        <f>AD18*$AS$1+AE18*$AT$1+AF18*$AU$1</f>
        <v>2.6420000000000003</v>
      </c>
      <c r="AS18" s="48"/>
      <c r="AT18" s="48"/>
      <c r="AU18" s="48"/>
    </row>
    <row r="19" spans="1:47" s="33" customFormat="1" ht="12">
      <c r="A19" s="33" t="s">
        <v>124</v>
      </c>
      <c r="B19" s="34" t="s">
        <v>125</v>
      </c>
      <c r="C19" s="35" t="s">
        <v>79</v>
      </c>
      <c r="D19" s="35" t="s">
        <v>34</v>
      </c>
      <c r="E19" s="33" t="s">
        <v>35</v>
      </c>
      <c r="G19" s="33" t="s">
        <v>36</v>
      </c>
      <c r="H19" s="33" t="s">
        <v>53</v>
      </c>
      <c r="J19" s="33">
        <v>0</v>
      </c>
      <c r="K19" s="33">
        <v>150</v>
      </c>
      <c r="L19" s="33" t="s">
        <v>38</v>
      </c>
      <c r="M19" s="33" t="s">
        <v>81</v>
      </c>
      <c r="N19" s="33" t="s">
        <v>126</v>
      </c>
      <c r="O19" s="33" t="s">
        <v>83</v>
      </c>
      <c r="P19" s="33">
        <v>0</v>
      </c>
      <c r="Q19" s="36" t="s">
        <v>84</v>
      </c>
      <c r="R19" s="49">
        <f>51.3/AO19/(51.3/$AO19+20.1/$AP19+7.4/$AQ19+9.5/$AR19)*100</f>
        <v>54.424900720676831</v>
      </c>
      <c r="S19" s="49">
        <f>100 - R19 - U19 - T19</f>
        <v>22.768146432259389</v>
      </c>
      <c r="T19" s="49">
        <f>7.4/AQ19/(51.3/$AO19+20.1/$AP19+7.4/$AQ19+9.5/$AR19)*100</f>
        <v>8.9880944712592843</v>
      </c>
      <c r="U19" s="49">
        <f>9.5/AR19/(51.3/$AO19+20.1/$AP19+7.4/$AQ19+9.5/$AR19)*100</f>
        <v>13.818858375804494</v>
      </c>
      <c r="V19" s="49">
        <f>27/$AI$1/(27/$AI$1 + 35.8/$AJ$1)*100</f>
        <v>29.730645934379091</v>
      </c>
      <c r="W19" s="64">
        <f>100 - $V19</f>
        <v>70.269354065620917</v>
      </c>
      <c r="X19" s="42">
        <f>16/$AI$1/(16/$AI$1 + 27.7/$AJ$1 + 0.89/$AK$1)*100</f>
        <v>24.054023836406639</v>
      </c>
      <c r="Y19" s="42">
        <f>100 - $X19 - $Z19</f>
        <v>73.981392353679681</v>
      </c>
      <c r="Z19" s="65">
        <f>1.02/$AK$1/(16/$AI$1 + 27.7/$AJ$1 + 0.89/$AK$1)*100</f>
        <v>1.9645838099136801</v>
      </c>
      <c r="AA19" s="42">
        <f>6.47/AI$1/(6.47/$AI$1 + 16.4/$AJ$1 + 21.3/$AK$1)*100</f>
        <v>10.271060039299117</v>
      </c>
      <c r="AB19" s="42">
        <f>100 - $AA19 - $AC19</f>
        <v>46.408463430631421</v>
      </c>
      <c r="AC19" s="65">
        <f>21.3/AK$1/(6.47/$AI$1 + 16.4/$AJ$1 + 21.3/$AK$1)*100</f>
        <v>43.320476530069463</v>
      </c>
      <c r="AD19" s="42">
        <v>10.1</v>
      </c>
      <c r="AE19" s="42">
        <f>100 - $AD19 - $AF19</f>
        <v>84.4</v>
      </c>
      <c r="AF19" s="65">
        <v>5.5</v>
      </c>
      <c r="AG19" s="33" t="s">
        <v>43</v>
      </c>
      <c r="AH19" s="38" t="s">
        <v>44</v>
      </c>
      <c r="AI19" s="39" t="s">
        <v>46</v>
      </c>
      <c r="AJ19" s="39" t="s">
        <v>55</v>
      </c>
      <c r="AM19" s="33" t="s">
        <v>56</v>
      </c>
      <c r="AN19" s="48" t="s">
        <v>47</v>
      </c>
      <c r="AO19" s="48">
        <f>V19*$AN$1 + W19*$AO$1</f>
        <v>3.6029832344650456</v>
      </c>
      <c r="AP19" s="48">
        <f>X19*$AP$1+Y19*$AQ$1+Z19*$AR$1</f>
        <v>3.3745114273433088</v>
      </c>
      <c r="AQ19" s="48">
        <f>AA19*$AP$1+AB19*$AQ$1+AC19*$AR$1</f>
        <v>3.147071520704535</v>
      </c>
      <c r="AR19" s="48">
        <f>AD19*$AS$1+AE19*$AT$1+AF19*$AU$1</f>
        <v>2.6278100000000006</v>
      </c>
      <c r="AS19" s="48"/>
      <c r="AT19" s="48"/>
      <c r="AU19" s="48"/>
    </row>
    <row r="20" spans="1:47" s="43" customFormat="1" ht="12">
      <c r="A20" s="43" t="s">
        <v>127</v>
      </c>
      <c r="B20" s="53" t="s">
        <v>128</v>
      </c>
      <c r="C20" s="54" t="s">
        <v>129</v>
      </c>
      <c r="D20" s="54" t="s">
        <v>34</v>
      </c>
      <c r="E20" s="43" t="s">
        <v>35</v>
      </c>
      <c r="G20" s="43" t="s">
        <v>36</v>
      </c>
      <c r="H20" s="43" t="s">
        <v>120</v>
      </c>
      <c r="J20" s="43">
        <v>0</v>
      </c>
      <c r="K20" s="43">
        <v>0</v>
      </c>
      <c r="L20" s="43" t="s">
        <v>38</v>
      </c>
      <c r="M20" s="43" t="s">
        <v>39</v>
      </c>
      <c r="N20" s="43" t="s">
        <v>130</v>
      </c>
      <c r="O20" s="43" t="s">
        <v>131</v>
      </c>
      <c r="P20" s="43">
        <v>0</v>
      </c>
      <c r="Q20" s="55" t="s">
        <v>132</v>
      </c>
      <c r="R20" s="59">
        <f>41.3/AO20/(41.3/$AO20+26.5/$AP20 + 10.3/$AQ20+10.1/$AR20)*100</f>
        <v>43.721841685752096</v>
      </c>
      <c r="S20" s="59">
        <f>100 - R20 - U20 - T20</f>
        <v>29.594012961333455</v>
      </c>
      <c r="T20" s="59">
        <f>10.3/AQ20/(41.3/$AO20+26.5/$AP20 + 10.3/$AQ20+10.1/$AR20)*100</f>
        <v>12.326569501531933</v>
      </c>
      <c r="U20" s="59">
        <f>10.1/AR20/(41.3/$AO20+26.5/$AP20 + 10.3/$AQ20+10.1/$AR20)*100</f>
        <v>14.357575851382512</v>
      </c>
      <c r="V20" s="63">
        <f>21.76/$AI$1/(21.76/$AI$1 + 38.96/$AJ$1)*100</f>
        <v>23.857491143337139</v>
      </c>
      <c r="W20" s="67">
        <f>100 - $V20</f>
        <v>76.142508856662857</v>
      </c>
      <c r="X20" s="63">
        <f>13.95/$AI$1/(13.95/$AI$1 + 27.93/$AJ$1 + 1.21/$AK$1)*100</f>
        <v>21.367228414369166</v>
      </c>
      <c r="Y20" s="63">
        <f>100 - $X20 - $Z20</f>
        <v>76.258327265790996</v>
      </c>
      <c r="Z20" s="63">
        <f>1.21/$AK$1/(13.95/$AI$1 + 27.93/$AJ$1 + 1.21/$AK$1)*100</f>
        <v>2.3744443198398422</v>
      </c>
      <c r="AA20" s="63">
        <f>5.19/AI$1/(5.19/$AI$1 + 15.68/$AJ$1 + 21.33/$AK$1)*100</f>
        <v>8.5831201491113553</v>
      </c>
      <c r="AB20" s="63">
        <f>100 - $AA20 - $AC20</f>
        <v>46.287426586050699</v>
      </c>
      <c r="AC20" s="63">
        <f>21.3/AK$1/(5.19/$AI$1 + 15.68/$AJ$1 + 21.33/$AK$1)*100</f>
        <v>45.129453264837949</v>
      </c>
      <c r="AD20" s="63">
        <f>(11+17)/2</f>
        <v>14</v>
      </c>
      <c r="AE20" s="63" t="e">
        <f>100 - $AD20 - $AF20</f>
        <v>#VALUE!</v>
      </c>
      <c r="AF20" s="68" t="s">
        <v>133</v>
      </c>
      <c r="AG20" s="43" t="s">
        <v>134</v>
      </c>
      <c r="AH20" s="76" t="s">
        <v>135</v>
      </c>
      <c r="AI20" s="60" t="s">
        <v>136</v>
      </c>
      <c r="AJ20" s="57"/>
      <c r="AN20" s="58" t="s">
        <v>47</v>
      </c>
      <c r="AO20" s="58">
        <f>V20*$AN$1 + W20*$AO$1</f>
        <v>3.5372039008053759</v>
      </c>
      <c r="AP20" s="58">
        <f>X20*$AP$1+Y20*$AQ$1+Z20*$AR$1</f>
        <v>3.3531308801482496</v>
      </c>
      <c r="AQ20" s="58">
        <f>AA20*$AP$1+AB20*$AQ$1+AC20*$AR$1</f>
        <v>3.1289850413238214</v>
      </c>
      <c r="AR20" s="58">
        <f>AD20*$AS$1+(98-AD20)*$AT$1+2*$AU$1</f>
        <v>2.6342000000000003</v>
      </c>
      <c r="AS20" s="58"/>
      <c r="AT20" s="58"/>
      <c r="AU20" s="58"/>
    </row>
    <row r="21" spans="1:47" s="43" customFormat="1" ht="12">
      <c r="A21" s="43" t="s">
        <v>137</v>
      </c>
      <c r="B21" s="53" t="s">
        <v>138</v>
      </c>
      <c r="C21" s="54" t="s">
        <v>129</v>
      </c>
      <c r="D21" s="54" t="s">
        <v>34</v>
      </c>
      <c r="E21" s="43" t="s">
        <v>35</v>
      </c>
      <c r="G21" s="43" t="s">
        <v>36</v>
      </c>
      <c r="H21" s="43" t="s">
        <v>120</v>
      </c>
      <c r="J21" s="43">
        <v>0</v>
      </c>
      <c r="K21" s="43">
        <v>63</v>
      </c>
      <c r="L21" s="43" t="s">
        <v>38</v>
      </c>
      <c r="M21" s="43" t="s">
        <v>39</v>
      </c>
      <c r="N21" s="43" t="s">
        <v>130</v>
      </c>
      <c r="O21" s="43" t="s">
        <v>131</v>
      </c>
      <c r="P21" s="43">
        <v>0</v>
      </c>
      <c r="Q21" s="55" t="s">
        <v>132</v>
      </c>
      <c r="R21" s="59">
        <f>41.3/AO21/(41.3/$AO21+26.5/$AP21 + 10.3/$AQ21+10.1/$AR21)*100</f>
        <v>43.721841685752096</v>
      </c>
      <c r="S21" s="59">
        <f>100 - R21 - U21 - T21</f>
        <v>29.594012961333455</v>
      </c>
      <c r="T21" s="59">
        <f>10.3/AQ21/(41.3/$AO21+26.5/$AP21 + 10.3/$AQ21+10.1/$AR21)*100</f>
        <v>12.326569501531933</v>
      </c>
      <c r="U21" s="59">
        <f>10.1/AR21/(41.3/$AO21+26.5/$AP21 + 10.3/$AQ21+10.1/$AR21)*100</f>
        <v>14.357575851382512</v>
      </c>
      <c r="V21" s="63">
        <f>21.76/$AI$1/(21.76/$AI$1 + 38.96/$AJ$1)*100</f>
        <v>23.857491143337139</v>
      </c>
      <c r="W21" s="67">
        <f>100 - $V21</f>
        <v>76.142508856662857</v>
      </c>
      <c r="X21" s="63">
        <f>13.95/$AI$1/(13.95/$AI$1 + 27.93/$AJ$1 + 1.21/$AK$1)*100</f>
        <v>21.367228414369166</v>
      </c>
      <c r="Y21" s="63">
        <f>100 - $X21 - $Z21</f>
        <v>76.258327265790996</v>
      </c>
      <c r="Z21" s="63">
        <f>1.21/$AK$1/(13.95/$AI$1 + 27.93/$AJ$1 + 1.21/$AK$1)*100</f>
        <v>2.3744443198398422</v>
      </c>
      <c r="AA21" s="63">
        <f>5.19/AI$1/(5.19/$AI$1 + 15.68/$AJ$1 + 21.33/$AK$1)*100</f>
        <v>8.5831201491113553</v>
      </c>
      <c r="AB21" s="63">
        <f>100 - $AA21 - $AC21</f>
        <v>46.287426586050699</v>
      </c>
      <c r="AC21" s="63">
        <f>21.3/AK$1/(5.19/$AI$1 + 15.68/$AJ$1 + 21.33/$AK$1)*100</f>
        <v>45.129453264837949</v>
      </c>
      <c r="AD21" s="63">
        <f>(11+17)/2</f>
        <v>14</v>
      </c>
      <c r="AE21" s="63" t="e">
        <f>100 - $AD21 - $AF21</f>
        <v>#VALUE!</v>
      </c>
      <c r="AF21" s="68" t="s">
        <v>133</v>
      </c>
      <c r="AG21" s="43" t="s">
        <v>139</v>
      </c>
      <c r="AH21" s="56" t="s">
        <v>135</v>
      </c>
      <c r="AI21" s="60" t="s">
        <v>136</v>
      </c>
      <c r="AJ21" s="57"/>
      <c r="AN21" s="58" t="s">
        <v>47</v>
      </c>
      <c r="AO21" s="58">
        <f>V21*$AN$1 + W21*$AO$1</f>
        <v>3.5372039008053759</v>
      </c>
      <c r="AP21" s="58">
        <f>X21*$AP$1+Y21*$AQ$1+Z21*$AR$1</f>
        <v>3.3531308801482496</v>
      </c>
      <c r="AQ21" s="58">
        <f>AA21*$AP$1+AB21*$AQ$1+AC21*$AR$1</f>
        <v>3.1289850413238214</v>
      </c>
      <c r="AR21" s="58">
        <f>AD21*$AS$1+(98-AD21)*$AT$1+2*$AU$1</f>
        <v>2.6342000000000003</v>
      </c>
      <c r="AS21" s="58"/>
      <c r="AT21" s="58"/>
      <c r="AU21" s="58"/>
    </row>
    <row r="22" spans="1:47" s="61" customFormat="1" ht="12">
      <c r="A22" s="43" t="s">
        <v>140</v>
      </c>
      <c r="B22" s="53" t="s">
        <v>141</v>
      </c>
      <c r="C22" s="54" t="s">
        <v>66</v>
      </c>
      <c r="D22" s="54" t="s">
        <v>34</v>
      </c>
      <c r="E22" s="43" t="s">
        <v>35</v>
      </c>
      <c r="F22" s="43"/>
      <c r="G22" s="43" t="s">
        <v>36</v>
      </c>
      <c r="H22" s="43" t="s">
        <v>50</v>
      </c>
      <c r="I22" s="43"/>
      <c r="J22" s="43">
        <v>0</v>
      </c>
      <c r="K22" s="43">
        <v>150</v>
      </c>
      <c r="L22" s="43" t="s">
        <v>38</v>
      </c>
      <c r="M22" s="43" t="s">
        <v>39</v>
      </c>
      <c r="N22" s="43" t="s">
        <v>142</v>
      </c>
      <c r="O22" s="43" t="s">
        <v>68</v>
      </c>
      <c r="P22" s="43">
        <v>0</v>
      </c>
      <c r="Q22" s="55" t="s">
        <v>69</v>
      </c>
      <c r="R22" s="59">
        <f>52.1/AO22/(52.1/$AO22+21.1/$AP22+6.6/$AQ22+9/$AR22)*100</f>
        <v>55.240768544256454</v>
      </c>
      <c r="S22" s="59">
        <f>100 - R22 - U22 - T22</f>
        <v>23.823930111562568</v>
      </c>
      <c r="T22" s="59">
        <f>6.6/AQ22/(52.1/$AO22+21.1/$AP22+6.6/$AQ22+9/$AR22)*100</f>
        <v>7.9714379000655295</v>
      </c>
      <c r="U22" s="59">
        <f>9/AR22/(52.1/$AO22+21.1/$AP22+6.6/$AQ22+9/$AR22)*100</f>
        <v>12.963863444115448</v>
      </c>
      <c r="V22" s="63">
        <f>0.57/(0.57+1.44)*100</f>
        <v>28.35820895522388</v>
      </c>
      <c r="W22" s="67">
        <f>100 - $V22</f>
        <v>71.641791044776113</v>
      </c>
      <c r="X22" s="68">
        <f>15.3/$AI$1/(15.3/$AI$1 + 27.9/$AJ$1 + 0.81/$AK$1)*100</f>
        <v>23.156922599731519</v>
      </c>
      <c r="Y22" s="63">
        <f>100 - $X22 - $Z22</f>
        <v>75.272435906096675</v>
      </c>
      <c r="Z22" s="68">
        <f>0.81/$AK$1/(15.3/$AI$1 + 27.9/$AJ$1 + 0.81/$AK$1)*100</f>
        <v>1.5706414941718161</v>
      </c>
      <c r="AA22" s="63">
        <v>9.5</v>
      </c>
      <c r="AB22" s="63">
        <f>100 - $AA22 - $AC22</f>
        <v>49.9</v>
      </c>
      <c r="AC22" s="68">
        <v>40.6</v>
      </c>
      <c r="AD22" s="63" t="s">
        <v>133</v>
      </c>
      <c r="AE22" s="63" t="e">
        <f>100 - $AD22 - $AF22</f>
        <v>#VALUE!</v>
      </c>
      <c r="AF22" s="68" t="s">
        <v>133</v>
      </c>
      <c r="AG22" s="59" t="s">
        <v>43</v>
      </c>
      <c r="AH22" s="56" t="s">
        <v>44</v>
      </c>
      <c r="AI22" s="60" t="s">
        <v>45</v>
      </c>
      <c r="AJ22" s="57"/>
      <c r="AK22" s="43"/>
      <c r="AL22" s="43"/>
      <c r="AM22" s="43"/>
      <c r="AN22" s="58" t="s">
        <v>47</v>
      </c>
      <c r="AO22" s="58">
        <f>V22*$AN$1 + W22*$AO$1</f>
        <v>3.5876119402985069</v>
      </c>
      <c r="AP22" s="58">
        <f>X22*$AP$1+Y22*$AQ$1+Z22*$AR$1</f>
        <v>3.3689649950154714</v>
      </c>
      <c r="AQ22" s="58">
        <f>AA22*$AP$1+AB22*$AQ$1+AC22*$AR$1</f>
        <v>3.1494499999999999</v>
      </c>
      <c r="AR22" s="58">
        <f>20*$AS$1+78*$AT$1+2*$AU$1</f>
        <v>2.6408</v>
      </c>
      <c r="AS22" s="58"/>
      <c r="AT22" s="85"/>
      <c r="AU22" s="85"/>
    </row>
    <row r="23" spans="1:47" s="61" customFormat="1" ht="12">
      <c r="A23" s="43" t="s">
        <v>143</v>
      </c>
      <c r="B23" s="53" t="s">
        <v>144</v>
      </c>
      <c r="C23" s="54" t="s">
        <v>66</v>
      </c>
      <c r="D23" s="54" t="s">
        <v>34</v>
      </c>
      <c r="E23" s="43" t="s">
        <v>35</v>
      </c>
      <c r="F23" s="43"/>
      <c r="G23" s="43" t="s">
        <v>36</v>
      </c>
      <c r="H23" s="43" t="s">
        <v>145</v>
      </c>
      <c r="I23" s="43"/>
      <c r="J23" s="43">
        <v>0</v>
      </c>
      <c r="K23" s="43">
        <v>150</v>
      </c>
      <c r="L23" s="43" t="s">
        <v>38</v>
      </c>
      <c r="M23" s="43" t="s">
        <v>39</v>
      </c>
      <c r="N23" s="43" t="s">
        <v>146</v>
      </c>
      <c r="O23" s="43" t="s">
        <v>68</v>
      </c>
      <c r="P23" s="43">
        <v>0</v>
      </c>
      <c r="Q23" s="55" t="s">
        <v>69</v>
      </c>
      <c r="R23" s="59">
        <f>47.6/AO23/(47.6/$AO23+24.1/$AP23+9.8/$AQ23+11.2/$AR23)*100</f>
        <v>47.781255112817085</v>
      </c>
      <c r="S23" s="59">
        <f>100 - R23 - U23 - T23</f>
        <v>25.789731481148316</v>
      </c>
      <c r="T23" s="59">
        <f>9.8/AQ23/(47.6/$AO23+24.1/$AP23+9.8/$AQ23+11.2/$AR23)*100</f>
        <v>11.14875244670649</v>
      </c>
      <c r="U23" s="59">
        <f>11.2/AR23/(47.6/$AO23+24.1/$AP23+9.8/$AQ23+11.2/$AR23)*100</f>
        <v>15.280260959328107</v>
      </c>
      <c r="V23" s="59">
        <v>28.5</v>
      </c>
      <c r="W23" s="67">
        <f>100 - $V23</f>
        <v>71.5</v>
      </c>
      <c r="X23" s="63">
        <f>15.1/$AI$1/(15.1/$AI$1 + 27.2/$AJ$1 + 1.2/$AK$1)*100</f>
        <v>23.186956541620042</v>
      </c>
      <c r="Y23" s="63">
        <f>100 - $X23 - $Z23</f>
        <v>74.448659091326164</v>
      </c>
      <c r="Z23" s="68">
        <f>1.2/$AK$1/(15/$AI$1 + 27.2/$AJ$1 + 1.2/$AK$1)*100</f>
        <v>2.3643843670537854</v>
      </c>
      <c r="AA23" s="63">
        <v>10</v>
      </c>
      <c r="AB23" s="63">
        <f>100 - $AA23 - $AC23</f>
        <v>54</v>
      </c>
      <c r="AC23" s="68">
        <v>36</v>
      </c>
      <c r="AD23" s="63" t="s">
        <v>133</v>
      </c>
      <c r="AE23" s="63" t="e">
        <f>100 - $AD23 - $AF23</f>
        <v>#VALUE!</v>
      </c>
      <c r="AF23" s="68" t="s">
        <v>133</v>
      </c>
      <c r="AG23" s="59" t="s">
        <v>43</v>
      </c>
      <c r="AH23" s="56" t="s">
        <v>44</v>
      </c>
      <c r="AI23" s="60" t="s">
        <v>45</v>
      </c>
      <c r="AJ23" s="57"/>
      <c r="AK23" s="43"/>
      <c r="AL23" s="43"/>
      <c r="AM23" s="43"/>
      <c r="AN23" s="58" t="s">
        <v>47</v>
      </c>
      <c r="AO23" s="58">
        <f>V23*$AN$1 + W23*$AO$1</f>
        <v>3.5891999999999999</v>
      </c>
      <c r="AP23" s="58">
        <f>X23*$AP$1+Y23*$AQ$1+Z23*$AR$1</f>
        <v>3.3668090209609889</v>
      </c>
      <c r="AQ23" s="58">
        <f>AA23*$AP$1+AB23*$AQ$1+AC23*$AR$1</f>
        <v>3.1670000000000003</v>
      </c>
      <c r="AR23" s="58">
        <f>20*$AS$1+78*$AT$1+2*$AU$1</f>
        <v>2.6408</v>
      </c>
      <c r="AS23" s="58"/>
      <c r="AT23" s="85"/>
      <c r="AU23" s="85"/>
    </row>
    <row r="24" spans="1:47" s="61" customFormat="1" ht="12">
      <c r="A24" s="43" t="s">
        <v>147</v>
      </c>
      <c r="B24" s="53" t="s">
        <v>148</v>
      </c>
      <c r="C24" s="54" t="s">
        <v>66</v>
      </c>
      <c r="D24" s="54" t="s">
        <v>34</v>
      </c>
      <c r="E24" s="43" t="s">
        <v>35</v>
      </c>
      <c r="F24" s="43"/>
      <c r="G24" s="43" t="s">
        <v>36</v>
      </c>
      <c r="H24" s="43" t="s">
        <v>50</v>
      </c>
      <c r="I24" s="43"/>
      <c r="J24" s="43">
        <v>0</v>
      </c>
      <c r="K24" s="43">
        <v>150</v>
      </c>
      <c r="L24" s="43" t="s">
        <v>38</v>
      </c>
      <c r="M24" s="43" t="s">
        <v>39</v>
      </c>
      <c r="N24" s="43" t="s">
        <v>149</v>
      </c>
      <c r="O24" s="43" t="s">
        <v>68</v>
      </c>
      <c r="P24" s="43">
        <v>684</v>
      </c>
      <c r="Q24" s="55" t="s">
        <v>150</v>
      </c>
      <c r="R24" s="59">
        <f>51/AO24/(51/$AO24+21.9/$AP24+6.8/$AQ24+9.4/$AR24)*100</f>
        <v>53.678738876518764</v>
      </c>
      <c r="S24" s="59">
        <f>100 - R24 - U24 - T24</f>
        <v>24.591185282927235</v>
      </c>
      <c r="T24" s="59">
        <f>6.8/AQ24/(51/$AO24+21.9/$AP24+6.8/$AQ24+9.4/$AR24)*100</f>
        <v>8.2264990337932531</v>
      </c>
      <c r="U24" s="59">
        <f>9.4/AR24/(51/$AO24+21.9/$AP24+6.8/$AQ24+9.4/$AR24)*100</f>
        <v>13.50357680676075</v>
      </c>
      <c r="V24" s="63">
        <f>0.6/(0.6+1.41)*100</f>
        <v>29.850746268656721</v>
      </c>
      <c r="W24" s="67">
        <f>100 - $V24</f>
        <v>70.149253731343279</v>
      </c>
      <c r="X24" s="63">
        <f>16.1/$AI$1/(16.1/$AI$1 + 27.4/$AJ$1 + 0.79/$AK$1)*100</f>
        <v>24.410932387349238</v>
      </c>
      <c r="Y24" s="63">
        <f>100 - $X24 - $Z24</f>
        <v>74.054492263095625</v>
      </c>
      <c r="Z24" s="68">
        <f>0.79/$AK$1/(16.1/$AI$1 + 27.4/$AJ$1 + 0.79/$AK$1)*100</f>
        <v>1.5345753495551386</v>
      </c>
      <c r="AA24" s="63">
        <f>0.175/(0.175+0.903+0.85)*100</f>
        <v>9.0767634854771782</v>
      </c>
      <c r="AB24" s="63">
        <f>100 - $AA24 - $AC24</f>
        <v>46.83609958506225</v>
      </c>
      <c r="AC24" s="63">
        <f>0.85/(0.175+0.903+0.85)*100</f>
        <v>44.087136929460577</v>
      </c>
      <c r="AD24" s="63" t="s">
        <v>133</v>
      </c>
      <c r="AE24" s="63" t="e">
        <f>100 - $AD24 - $AF24</f>
        <v>#VALUE!</v>
      </c>
      <c r="AF24" s="68" t="s">
        <v>133</v>
      </c>
      <c r="AG24" s="59" t="s">
        <v>43</v>
      </c>
      <c r="AH24" s="56" t="s">
        <v>44</v>
      </c>
      <c r="AI24" s="60" t="s">
        <v>151</v>
      </c>
      <c r="AJ24" s="57"/>
      <c r="AK24" s="43"/>
      <c r="AL24" s="43"/>
      <c r="AM24" s="43"/>
      <c r="AN24" s="58" t="s">
        <v>47</v>
      </c>
      <c r="AO24" s="58">
        <f>V24*$AN$1 + W24*$AO$1</f>
        <v>3.6043283582089551</v>
      </c>
      <c r="AP24" s="58">
        <f>X24*$AP$1+Y24*$AQ$1+Z24*$AR$1</f>
        <v>3.3784782668564541</v>
      </c>
      <c r="AQ24" s="58">
        <f>AA24*$AP$1+AB24*$AQ$1+AC24*$AR$1</f>
        <v>3.1358143153526972</v>
      </c>
      <c r="AR24" s="58">
        <f>20*$AS$1+78*$AT$1+2*$AU$1</f>
        <v>2.6408</v>
      </c>
      <c r="AS24" s="58"/>
      <c r="AT24" s="85"/>
      <c r="AU24" s="85"/>
    </row>
    <row r="25" spans="1:47" s="61" customFormat="1" ht="12">
      <c r="A25" s="43" t="s">
        <v>152</v>
      </c>
      <c r="B25" s="53" t="s">
        <v>153</v>
      </c>
      <c r="C25" s="54" t="s">
        <v>154</v>
      </c>
      <c r="D25" s="54" t="s">
        <v>34</v>
      </c>
      <c r="E25" s="43" t="s">
        <v>35</v>
      </c>
      <c r="F25" s="43"/>
      <c r="G25" s="43" t="s">
        <v>36</v>
      </c>
      <c r="H25" s="43" t="s">
        <v>53</v>
      </c>
      <c r="I25" s="43"/>
      <c r="J25" s="43">
        <v>0</v>
      </c>
      <c r="K25" s="43">
        <v>0</v>
      </c>
      <c r="L25" s="43"/>
      <c r="M25" s="43" t="s">
        <v>155</v>
      </c>
      <c r="N25" s="43" t="s">
        <v>156</v>
      </c>
      <c r="O25" s="43" t="s">
        <v>157</v>
      </c>
      <c r="P25" s="43">
        <v>0</v>
      </c>
      <c r="Q25" s="55" t="s">
        <v>158</v>
      </c>
      <c r="R25" s="59">
        <f>51.2/AO25/(51.2/$AO25+19.1/$AP25+6.6/$AQ25+10.1/$AR25)*100</f>
        <v>55.14652987826922</v>
      </c>
      <c r="S25" s="59">
        <f>100 - R25 - U25 - T25</f>
        <v>21.911114426763405</v>
      </c>
      <c r="T25" s="59">
        <f>6.6/AQ25/(51.2/$AO25+19.1/$AP25+6.6/$AQ25+10.1/$AR25)*100</f>
        <v>8.1635427710398432</v>
      </c>
      <c r="U25" s="59">
        <f>10.1/AR25/(51.2/$AO25+19.1/$AP25+6.6/$AQ25+10.1/$AR25)*100</f>
        <v>14.778812923927532</v>
      </c>
      <c r="V25" s="59">
        <f>0.57/(0.57+1.44)*100</f>
        <v>28.35820895522388</v>
      </c>
      <c r="W25" s="67">
        <f>100 - $V25</f>
        <v>71.641791044776113</v>
      </c>
      <c r="X25" s="63">
        <f>15.4/$AI$1/(15.4/$AI$1 + 28.1/$AJ$1 + 0.87/$AK$1)*100</f>
        <v>23.121618003935353</v>
      </c>
      <c r="Y25" s="63">
        <f>100 - $X25 - $Z25</f>
        <v>75.204906381758306</v>
      </c>
      <c r="Z25" s="68">
        <f>0.87/$AK$1/(15.4/$AI$1 + 28.1/$AJ$1 + 0.87/$AK$1)*100</f>
        <v>1.6734756143063405</v>
      </c>
      <c r="AA25" s="63">
        <f>4.96/AI$1/(4.96/$AI$1 + 16.6/$AJ$1 + 22.1/$AK$1)*100</f>
        <v>7.8900532320220913</v>
      </c>
      <c r="AB25" s="63">
        <f>100 - $AA25 - $AC25</f>
        <v>47.070487786087604</v>
      </c>
      <c r="AC25" s="68">
        <f>22.1/AK$1/(4.96/$AI$1 + 16.6/$AJ$1 + 22.1/$AK$1)*100</f>
        <v>45.039458981890299</v>
      </c>
      <c r="AD25" s="63" t="s">
        <v>133</v>
      </c>
      <c r="AE25" s="63" t="e">
        <f>100 - $AD25 - $AF25</f>
        <v>#VALUE!</v>
      </c>
      <c r="AF25" s="68" t="s">
        <v>133</v>
      </c>
      <c r="AG25" s="43" t="s">
        <v>43</v>
      </c>
      <c r="AH25" s="56" t="s">
        <v>44</v>
      </c>
      <c r="AI25" s="57"/>
      <c r="AJ25" s="57"/>
      <c r="AK25" s="43"/>
      <c r="AL25" s="43"/>
      <c r="AM25" s="43"/>
      <c r="AN25" s="58" t="s">
        <v>47</v>
      </c>
      <c r="AO25" s="58">
        <f>V25*$AN$1 + W25*$AO$1</f>
        <v>3.5876119402985069</v>
      </c>
      <c r="AP25" s="58">
        <f>X25*$AP$1+Y25*$AQ$1+Z25*$AR$1</f>
        <v>3.3683917081865964</v>
      </c>
      <c r="AQ25" s="58">
        <f>AA25*$AP$1+AB25*$AQ$1+AC25*$AR$1</f>
        <v>3.1240570222944948</v>
      </c>
      <c r="AR25" s="58">
        <f>20*$AS$1+78*$AT$1+2*$AU$1</f>
        <v>2.6408</v>
      </c>
      <c r="AS25" s="58"/>
      <c r="AT25" s="85"/>
      <c r="AU25" s="85"/>
    </row>
    <row r="26" spans="1:47" s="61" customFormat="1" ht="12">
      <c r="A26" s="43" t="s">
        <v>159</v>
      </c>
      <c r="B26" s="53" t="s">
        <v>160</v>
      </c>
      <c r="C26" s="54" t="s">
        <v>154</v>
      </c>
      <c r="D26" s="54" t="s">
        <v>34</v>
      </c>
      <c r="E26" s="43" t="s">
        <v>35</v>
      </c>
      <c r="F26" s="43"/>
      <c r="G26" s="43" t="s">
        <v>36</v>
      </c>
      <c r="H26" s="43" t="s">
        <v>53</v>
      </c>
      <c r="I26" s="43"/>
      <c r="J26" s="43">
        <v>125</v>
      </c>
      <c r="K26" s="43">
        <v>500</v>
      </c>
      <c r="L26" s="43" t="s">
        <v>38</v>
      </c>
      <c r="M26" s="43" t="s">
        <v>39</v>
      </c>
      <c r="N26" s="43" t="s">
        <v>156</v>
      </c>
      <c r="O26" s="43" t="s">
        <v>157</v>
      </c>
      <c r="P26" s="43">
        <v>0</v>
      </c>
      <c r="Q26" s="55" t="s">
        <v>158</v>
      </c>
      <c r="R26" s="59">
        <f>51.2/AO26/(51.2/$AO26+19.1/$AP26+6.6/$AQ26+10.1/$AR26)*100</f>
        <v>55.14652987826922</v>
      </c>
      <c r="S26" s="59">
        <f>100 - R26 - U26 - T26</f>
        <v>21.911114426763405</v>
      </c>
      <c r="T26" s="59">
        <f>6.6/AQ26/(51.2/$AO26+19.1/$AP26+6.6/$AQ26+10.1/$AR26)*100</f>
        <v>8.1635427710398432</v>
      </c>
      <c r="U26" s="59">
        <f>10.1/AR26/(51.2/$AO26+19.1/$AP26+6.6/$AQ26+10.1/$AR26)*100</f>
        <v>14.778812923927532</v>
      </c>
      <c r="V26" s="59">
        <f>0.57/(0.57+1.44)*100</f>
        <v>28.35820895522388</v>
      </c>
      <c r="W26" s="67">
        <f>100 - $V26</f>
        <v>71.641791044776113</v>
      </c>
      <c r="X26" s="63">
        <f>15.4/$AI$1/(15.4/$AI$1 + 28.1/$AJ$1 + 0.87/$AK$1)*100</f>
        <v>23.121618003935353</v>
      </c>
      <c r="Y26" s="63">
        <f>100 - $X26 - $Z26</f>
        <v>75.204906381758306</v>
      </c>
      <c r="Z26" s="68">
        <f>0.87/$AK$1/(15.4/$AI$1 + 28.1/$AJ$1 + 0.87/$AK$1)*100</f>
        <v>1.6734756143063405</v>
      </c>
      <c r="AA26" s="63">
        <f>4.96/AI$1/(4.96/$AI$1 + 16.6/$AJ$1 + 22.1/$AK$1)*100</f>
        <v>7.8900532320220913</v>
      </c>
      <c r="AB26" s="63">
        <f>100 - $AA26 - $AC26</f>
        <v>47.070487786087604</v>
      </c>
      <c r="AC26" s="68">
        <f>22.1/AK$1/(4.96/$AI$1 + 16.6/$AJ$1 + 22.1/$AK$1)*100</f>
        <v>45.039458981890299</v>
      </c>
      <c r="AD26" s="63" t="s">
        <v>133</v>
      </c>
      <c r="AE26" s="63" t="e">
        <f>100 - $AD26 - $AF26</f>
        <v>#VALUE!</v>
      </c>
      <c r="AF26" s="68" t="s">
        <v>133</v>
      </c>
      <c r="AG26" s="59" t="s">
        <v>43</v>
      </c>
      <c r="AH26" s="56" t="s">
        <v>44</v>
      </c>
      <c r="AI26" s="57"/>
      <c r="AJ26" s="57"/>
      <c r="AK26" s="43"/>
      <c r="AL26" s="43"/>
      <c r="AM26" s="43"/>
      <c r="AN26" s="58" t="s">
        <v>47</v>
      </c>
      <c r="AO26" s="58">
        <f>V26*$AN$1 + W26*$AO$1</f>
        <v>3.5876119402985069</v>
      </c>
      <c r="AP26" s="58">
        <f>X26*$AP$1+Y26*$AQ$1+Z26*$AR$1</f>
        <v>3.3683917081865964</v>
      </c>
      <c r="AQ26" s="58">
        <f>AA26*$AP$1+AB26*$AQ$1+AC26*$AR$1</f>
        <v>3.1240570222944948</v>
      </c>
      <c r="AR26" s="58">
        <f>20*$AS$1+78*$AT$1+2*$AU$1</f>
        <v>2.6408</v>
      </c>
      <c r="AS26" s="58"/>
      <c r="AT26" s="85"/>
      <c r="AU26" s="85"/>
    </row>
    <row r="27" spans="1:47" s="61" customFormat="1" ht="12">
      <c r="A27" s="43" t="s">
        <v>161</v>
      </c>
      <c r="B27" s="53" t="s">
        <v>162</v>
      </c>
      <c r="C27" s="54" t="s">
        <v>154</v>
      </c>
      <c r="D27" s="54" t="s">
        <v>34</v>
      </c>
      <c r="E27" s="43" t="s">
        <v>35</v>
      </c>
      <c r="F27" s="43"/>
      <c r="G27" s="43" t="s">
        <v>36</v>
      </c>
      <c r="H27" s="43" t="s">
        <v>53</v>
      </c>
      <c r="I27" s="43"/>
      <c r="J27" s="43">
        <v>0</v>
      </c>
      <c r="K27" s="43">
        <v>125</v>
      </c>
      <c r="L27" s="43" t="s">
        <v>38</v>
      </c>
      <c r="M27" s="43" t="s">
        <v>39</v>
      </c>
      <c r="N27" s="43" t="s">
        <v>156</v>
      </c>
      <c r="O27" s="43" t="s">
        <v>157</v>
      </c>
      <c r="P27" s="43">
        <v>0</v>
      </c>
      <c r="Q27" s="55" t="s">
        <v>158</v>
      </c>
      <c r="R27" s="59">
        <f>51.2/AO27/(51.2/$AO27+19.1/$AP27+6.6/$AQ27+10.1/$AR27)*100</f>
        <v>55.14652987826922</v>
      </c>
      <c r="S27" s="59">
        <f>100 - R27 - U27 - T27</f>
        <v>21.911114426763405</v>
      </c>
      <c r="T27" s="59">
        <f>6.6/AQ27/(51.2/$AO27+19.1/$AP27+6.6/$AQ27+10.1/$AR27)*100</f>
        <v>8.1635427710398432</v>
      </c>
      <c r="U27" s="59">
        <f>10.1/AR27/(51.2/$AO27+19.1/$AP27+6.6/$AQ27+10.1/$AR27)*100</f>
        <v>14.778812923927532</v>
      </c>
      <c r="V27" s="59">
        <f>0.57/(0.57+1.44)*100</f>
        <v>28.35820895522388</v>
      </c>
      <c r="W27" s="67">
        <f>100 - $V27</f>
        <v>71.641791044776113</v>
      </c>
      <c r="X27" s="63">
        <f>15.4/$AI$1/(15.4/$AI$1 + 28.1/$AJ$1 + 0.87/$AK$1)*100</f>
        <v>23.121618003935353</v>
      </c>
      <c r="Y27" s="63">
        <f>100 - $X27 - $Z27</f>
        <v>75.204906381758306</v>
      </c>
      <c r="Z27" s="68">
        <f>0.87/$AK$1/(15.4/$AI$1 + 28.1/$AJ$1 + 0.87/$AK$1)*100</f>
        <v>1.6734756143063405</v>
      </c>
      <c r="AA27" s="63">
        <f>4.96/AI$1/(4.96/$AI$1 + 16.6/$AJ$1 + 22.1/$AK$1)*100</f>
        <v>7.8900532320220913</v>
      </c>
      <c r="AB27" s="63">
        <f>100 - $AA27 - $AC27</f>
        <v>47.070487786087604</v>
      </c>
      <c r="AC27" s="68">
        <f>22.1/AK$1/(4.96/$AI$1 + 16.6/$AJ$1 + 22.1/$AK$1)*100</f>
        <v>45.039458981890299</v>
      </c>
      <c r="AD27" s="63" t="s">
        <v>133</v>
      </c>
      <c r="AE27" s="63" t="e">
        <f>100 - $AD27 - $AF27</f>
        <v>#VALUE!</v>
      </c>
      <c r="AF27" s="68" t="s">
        <v>133</v>
      </c>
      <c r="AG27" s="43" t="s">
        <v>43</v>
      </c>
      <c r="AH27" s="56" t="s">
        <v>44</v>
      </c>
      <c r="AI27" s="57"/>
      <c r="AJ27" s="57"/>
      <c r="AK27" s="43"/>
      <c r="AL27" s="43"/>
      <c r="AM27" s="43"/>
      <c r="AN27" s="58" t="s">
        <v>47</v>
      </c>
      <c r="AO27" s="58">
        <f>V27*$AN$1 + W27*$AO$1</f>
        <v>3.5876119402985069</v>
      </c>
      <c r="AP27" s="58">
        <f>X27*$AP$1+Y27*$AQ$1+Z27*$AR$1</f>
        <v>3.3683917081865964</v>
      </c>
      <c r="AQ27" s="58">
        <f>AA27*$AP$1+AB27*$AQ$1+AC27*$AR$1</f>
        <v>3.1240570222944948</v>
      </c>
      <c r="AR27" s="58">
        <f>20*$AS$1+78*$AT$1+2*$AU$1</f>
        <v>2.6408</v>
      </c>
      <c r="AS27" s="58"/>
      <c r="AT27" s="85"/>
      <c r="AU27" s="85"/>
    </row>
    <row r="28" spans="1:47" s="61" customFormat="1" ht="12">
      <c r="A28" s="43" t="s">
        <v>163</v>
      </c>
      <c r="B28" s="53" t="s">
        <v>164</v>
      </c>
      <c r="C28" s="54" t="s">
        <v>154</v>
      </c>
      <c r="D28" s="54" t="s">
        <v>34</v>
      </c>
      <c r="E28" s="43" t="s">
        <v>35</v>
      </c>
      <c r="F28" s="43"/>
      <c r="G28" s="43" t="s">
        <v>36</v>
      </c>
      <c r="H28" s="43" t="s">
        <v>50</v>
      </c>
      <c r="I28" s="43"/>
      <c r="J28" s="43">
        <v>125</v>
      </c>
      <c r="K28" s="43">
        <v>500</v>
      </c>
      <c r="L28" s="43" t="s">
        <v>38</v>
      </c>
      <c r="M28" s="43" t="s">
        <v>39</v>
      </c>
      <c r="N28" s="43" t="s">
        <v>165</v>
      </c>
      <c r="O28" s="43" t="s">
        <v>166</v>
      </c>
      <c r="P28" s="43">
        <v>0</v>
      </c>
      <c r="Q28" s="55" t="s">
        <v>167</v>
      </c>
      <c r="R28" s="59">
        <f>51/AO28/(51/$AO28+21.9/$AP28+6.8/$AQ28+9.4/$AR28)*100</f>
        <v>53.678738876518764</v>
      </c>
      <c r="S28" s="59">
        <f>100 - R28 - U28 - T28</f>
        <v>24.591185282927235</v>
      </c>
      <c r="T28" s="59">
        <f>6.8/AQ28/(51/$AO28+21.9/$AP28+6.8/$AQ28+9.4/$AR28)*100</f>
        <v>8.2264990337932531</v>
      </c>
      <c r="U28" s="59">
        <f>9.4/AR28/(51/$AO28+21.9/$AP28+6.8/$AQ28+9.4/$AR28)*100</f>
        <v>13.50357680676075</v>
      </c>
      <c r="V28" s="63">
        <f>0.6/(0.6+1.41)*100</f>
        <v>29.850746268656721</v>
      </c>
      <c r="W28" s="67">
        <f>100 - $V28</f>
        <v>70.149253731343279</v>
      </c>
      <c r="X28" s="63">
        <f>16.1/$AI$1/(16.1/$AI$1 + 27.4/$AJ$1 + 0.79/$AK$1)*100</f>
        <v>24.410932387349238</v>
      </c>
      <c r="Y28" s="63">
        <f>100 - $X28 - $Z28</f>
        <v>74.054492263095625</v>
      </c>
      <c r="Z28" s="68">
        <f>0.79/$AK$1/(16.1/$AI$1 + 27.4/$AJ$1 + 0.79/$AK$1)*100</f>
        <v>1.5345753495551386</v>
      </c>
      <c r="AA28" s="63">
        <f>0.175/(0.175+0.903+0.85)*100</f>
        <v>9.0767634854771782</v>
      </c>
      <c r="AB28" s="63">
        <f>100 - $AA28 - $AC28</f>
        <v>46.83609958506225</v>
      </c>
      <c r="AC28" s="63">
        <f>0.85/(0.175+0.903+0.85)*100</f>
        <v>44.087136929460577</v>
      </c>
      <c r="AD28" s="63" t="s">
        <v>133</v>
      </c>
      <c r="AE28" s="63" t="e">
        <f>100 - $AD28 - $AF28</f>
        <v>#VALUE!</v>
      </c>
      <c r="AF28" s="68" t="s">
        <v>133</v>
      </c>
      <c r="AG28" s="69" t="s">
        <v>43</v>
      </c>
      <c r="AH28" s="56" t="s">
        <v>44</v>
      </c>
      <c r="AI28" s="60" t="s">
        <v>151</v>
      </c>
      <c r="AJ28" s="57"/>
      <c r="AK28" s="43"/>
      <c r="AL28" s="43"/>
      <c r="AM28" s="43"/>
      <c r="AN28" s="58" t="s">
        <v>47</v>
      </c>
      <c r="AO28" s="58">
        <f>V28*$AN$1 + W28*$AO$1</f>
        <v>3.6043283582089551</v>
      </c>
      <c r="AP28" s="58">
        <f>X28*$AP$1+Y28*$AQ$1+Z28*$AR$1</f>
        <v>3.3784782668564541</v>
      </c>
      <c r="AQ28" s="58">
        <f>AA28*$AP$1+AB28*$AQ$1+AC28*$AR$1</f>
        <v>3.1358143153526972</v>
      </c>
      <c r="AR28" s="58">
        <f>20*$AS$1+78*$AT$1+2*$AU$1</f>
        <v>2.6408</v>
      </c>
      <c r="AS28" s="58"/>
      <c r="AT28" s="85"/>
      <c r="AU28" s="85"/>
    </row>
    <row r="29" spans="1:47" s="43" customFormat="1" ht="12">
      <c r="A29" s="43" t="s">
        <v>168</v>
      </c>
      <c r="B29" s="53" t="s">
        <v>169</v>
      </c>
      <c r="C29" s="54" t="s">
        <v>154</v>
      </c>
      <c r="D29" s="54" t="s">
        <v>34</v>
      </c>
      <c r="E29" s="43" t="s">
        <v>35</v>
      </c>
      <c r="G29" s="43" t="s">
        <v>36</v>
      </c>
      <c r="H29" s="43" t="s">
        <v>50</v>
      </c>
      <c r="J29" s="43">
        <v>0</v>
      </c>
      <c r="K29" s="43">
        <v>125</v>
      </c>
      <c r="L29" s="43" t="s">
        <v>38</v>
      </c>
      <c r="M29" s="43" t="s">
        <v>39</v>
      </c>
      <c r="N29" s="43" t="s">
        <v>165</v>
      </c>
      <c r="O29" s="43" t="s">
        <v>166</v>
      </c>
      <c r="P29" s="43">
        <v>0</v>
      </c>
      <c r="Q29" s="55" t="s">
        <v>167</v>
      </c>
      <c r="R29" s="59">
        <f>51/AO29/(51/$AO29+21.9/$AP29+6.8/$AQ29+9.4/$AR29)*100</f>
        <v>53.678738876518764</v>
      </c>
      <c r="S29" s="59">
        <f>100 - R29 - U29 - T29</f>
        <v>24.591185282927235</v>
      </c>
      <c r="T29" s="59">
        <f>6.8/AQ29/(51/$AO29+21.9/$AP29+6.8/$AQ29+9.4/$AR29)*100</f>
        <v>8.2264990337932531</v>
      </c>
      <c r="U29" s="59">
        <f>9.4/AR29/(51/$AO29+21.9/$AP29+6.8/$AQ29+9.4/$AR29)*100</f>
        <v>13.50357680676075</v>
      </c>
      <c r="V29" s="63">
        <f>0.6/(0.6+1.41)*100</f>
        <v>29.850746268656721</v>
      </c>
      <c r="W29" s="67">
        <f>100 - $V29</f>
        <v>70.149253731343279</v>
      </c>
      <c r="X29" s="63">
        <f>16.1/$AI$1/(16.1/$AI$1 + 27.4/$AJ$1 + 0.79/$AK$1)*100</f>
        <v>24.410932387349238</v>
      </c>
      <c r="Y29" s="63">
        <f>100 - $X29 - $Z29</f>
        <v>74.054492263095625</v>
      </c>
      <c r="Z29" s="68">
        <f>0.79/$AK$1/(16.1/$AI$1 + 27.4/$AJ$1 + 0.79/$AK$1)*100</f>
        <v>1.5345753495551386</v>
      </c>
      <c r="AA29" s="63">
        <f>0.175/(0.175+0.903+0.85)*100</f>
        <v>9.0767634854771782</v>
      </c>
      <c r="AB29" s="63">
        <f>100 - $AA29 - $AC29</f>
        <v>46.83609958506225</v>
      </c>
      <c r="AC29" s="63">
        <f>0.85/(0.175+0.903+0.85)*100</f>
        <v>44.087136929460577</v>
      </c>
      <c r="AD29" s="63" t="s">
        <v>133</v>
      </c>
      <c r="AE29" s="63" t="e">
        <f>100 - $AD29 - $AF29</f>
        <v>#VALUE!</v>
      </c>
      <c r="AF29" s="68" t="s">
        <v>133</v>
      </c>
      <c r="AG29" s="43" t="s">
        <v>43</v>
      </c>
      <c r="AH29" s="56" t="s">
        <v>44</v>
      </c>
      <c r="AI29" s="60" t="s">
        <v>151</v>
      </c>
      <c r="AJ29" s="57"/>
      <c r="AN29" s="58" t="s">
        <v>47</v>
      </c>
      <c r="AO29" s="58">
        <f>V29*$AN$1 + W29*$AO$1</f>
        <v>3.6043283582089551</v>
      </c>
      <c r="AP29" s="58">
        <f>X29*$AP$1+Y29*$AQ$1+Z29*$AR$1</f>
        <v>3.3784782668564541</v>
      </c>
      <c r="AQ29" s="58">
        <f>AA29*$AP$1+AB29*$AQ$1+AC29*$AR$1</f>
        <v>3.1358143153526972</v>
      </c>
      <c r="AR29" s="58">
        <f>20*$AS$1+78*$AT$1+2*$AU$1</f>
        <v>2.6408</v>
      </c>
      <c r="AS29" s="58"/>
      <c r="AT29" s="58"/>
      <c r="AU29" s="58"/>
    </row>
    <row r="30" spans="1:47" s="61" customFormat="1" ht="12">
      <c r="A30" s="43" t="s">
        <v>170</v>
      </c>
      <c r="B30" s="53" t="s">
        <v>128</v>
      </c>
      <c r="C30" s="54" t="s">
        <v>129</v>
      </c>
      <c r="D30" s="54" t="s">
        <v>34</v>
      </c>
      <c r="E30" s="43" t="s">
        <v>35</v>
      </c>
      <c r="F30" s="43"/>
      <c r="G30" s="43" t="s">
        <v>36</v>
      </c>
      <c r="H30" s="43" t="s">
        <v>120</v>
      </c>
      <c r="I30" s="43"/>
      <c r="J30" s="43">
        <v>0</v>
      </c>
      <c r="K30" s="43">
        <v>250</v>
      </c>
      <c r="L30" s="43" t="s">
        <v>38</v>
      </c>
      <c r="M30" s="43" t="s">
        <v>11</v>
      </c>
      <c r="N30" s="43" t="s">
        <v>130</v>
      </c>
      <c r="O30" s="43" t="s">
        <v>171</v>
      </c>
      <c r="P30" s="43">
        <v>0</v>
      </c>
      <c r="Q30" s="43" t="s">
        <v>172</v>
      </c>
      <c r="R30" s="59">
        <f>41.3/AO30/(41.3/$AO30+26.5/$AP30 + 10.3/$AQ30+10.1/$AR30)*100</f>
        <v>43.737536054669164</v>
      </c>
      <c r="S30" s="59">
        <f>100 - R30 - U30 - T30</f>
        <v>29.60463601240459</v>
      </c>
      <c r="T30" s="59">
        <f>10.3/AQ30/(41.3/$AO30+26.5/$AP30 + 10.3/$AQ30+10.1/$AR30)*100</f>
        <v>12.330994240330206</v>
      </c>
      <c r="U30" s="59">
        <f>10.1/AR30/(41.3/$AO30+26.5/$AP30 + 10.3/$AQ30+10.1/$AR30)*100</f>
        <v>14.326833692596038</v>
      </c>
      <c r="V30" s="63">
        <f>21.76/$AI$1/(21.76/$AI$1 + 38.96/$AJ$1)*100</f>
        <v>23.857491143337139</v>
      </c>
      <c r="W30" s="67">
        <f>100 - $V30</f>
        <v>76.142508856662857</v>
      </c>
      <c r="X30" s="63">
        <f>13.95/$AI$1/(13.95/$AI$1 + 27.93/$AJ$1 + 1.21/$AK$1)*100</f>
        <v>21.367228414369166</v>
      </c>
      <c r="Y30" s="63">
        <f>100 - $X30 - $Z30</f>
        <v>76.258327265790996</v>
      </c>
      <c r="Z30" s="63">
        <f>1.21/$AK$1/(13.95/$AI$1 + 27.93/$AJ$1 + 1.21/$AK$1)*100</f>
        <v>2.3744443198398422</v>
      </c>
      <c r="AA30" s="63">
        <f>5.19/AI$1/(5.19/$AI$1 + 15.68/$AJ$1 + 21.33/$AK$1)*100</f>
        <v>8.5831201491113553</v>
      </c>
      <c r="AB30" s="63">
        <f>100 - $AA30 - $AC30</f>
        <v>46.287426586050699</v>
      </c>
      <c r="AC30" s="63">
        <f>21.3/AK$1/(5.19/$AI$1 + 15.68/$AJ$1 + 21.33/$AK$1)*100</f>
        <v>45.129453264837949</v>
      </c>
      <c r="AD30" s="63">
        <f>(11+17)/2</f>
        <v>14</v>
      </c>
      <c r="AE30" s="63" t="e">
        <f>100 - $AD30 - $AF30</f>
        <v>#VALUE!</v>
      </c>
      <c r="AF30" s="68" t="s">
        <v>133</v>
      </c>
      <c r="AG30" s="43" t="s">
        <v>139</v>
      </c>
      <c r="AH30" s="76" t="s">
        <v>135</v>
      </c>
      <c r="AI30" s="60" t="s">
        <v>136</v>
      </c>
      <c r="AJ30" s="57"/>
      <c r="AK30" s="43"/>
      <c r="AL30" s="43"/>
      <c r="AM30" s="43"/>
      <c r="AN30" s="58" t="s">
        <v>47</v>
      </c>
      <c r="AO30" s="58">
        <f>V30*$AN$1 + W30*$AO$1</f>
        <v>3.5372039008053759</v>
      </c>
      <c r="AP30" s="58">
        <f>X30*$AP$1+Y30*$AQ$1+Z30*$AR$1</f>
        <v>3.3531308801482496</v>
      </c>
      <c r="AQ30" s="58">
        <f>AA30*$AP$1+AB30*$AQ$1+AC30*$AR$1</f>
        <v>3.1289850413238214</v>
      </c>
      <c r="AR30" s="58">
        <f>20*$AS$1+78*$AT$1+2*$AU$1</f>
        <v>2.6408</v>
      </c>
      <c r="AS30" s="58"/>
      <c r="AT30" s="85"/>
      <c r="AU30" s="85"/>
    </row>
    <row r="31" spans="1:47" s="61" customFormat="1" ht="12">
      <c r="A31" s="43" t="s">
        <v>173</v>
      </c>
      <c r="B31" s="53" t="s">
        <v>174</v>
      </c>
      <c r="C31" s="54" t="s">
        <v>129</v>
      </c>
      <c r="D31" s="54" t="s">
        <v>34</v>
      </c>
      <c r="E31" s="43" t="s">
        <v>35</v>
      </c>
      <c r="F31" s="43"/>
      <c r="G31" s="43" t="s">
        <v>36</v>
      </c>
      <c r="H31" s="43" t="s">
        <v>120</v>
      </c>
      <c r="I31" s="43"/>
      <c r="J31" s="43">
        <v>45</v>
      </c>
      <c r="K31" s="43">
        <v>63</v>
      </c>
      <c r="L31" s="43" t="s">
        <v>38</v>
      </c>
      <c r="M31" s="43" t="s">
        <v>11</v>
      </c>
      <c r="N31" s="43" t="s">
        <v>130</v>
      </c>
      <c r="O31" s="43" t="s">
        <v>171</v>
      </c>
      <c r="P31" s="43">
        <v>0</v>
      </c>
      <c r="Q31" s="55" t="s">
        <v>172</v>
      </c>
      <c r="R31" s="59">
        <f>41.3/AO31/(41.3/$AO31+26.5/$AP31 + 10.3/$AQ31+10.1/$AR31)*100</f>
        <v>43.721841685752096</v>
      </c>
      <c r="S31" s="59">
        <f>100 - R31 - U31 - T31</f>
        <v>29.594012961333455</v>
      </c>
      <c r="T31" s="59">
        <f>10.3/AQ31/(41.3/$AO31+26.5/$AP31 + 10.3/$AQ31+10.1/$AR31)*100</f>
        <v>12.326569501531933</v>
      </c>
      <c r="U31" s="59">
        <f>10.1/AR31/(41.3/$AO31+26.5/$AP31 + 10.3/$AQ31+10.1/$AR31)*100</f>
        <v>14.357575851382512</v>
      </c>
      <c r="V31" s="63">
        <f>21.76/$AI$1/(21.76/$AI$1 + 38.96/$AJ$1)*100</f>
        <v>23.857491143337139</v>
      </c>
      <c r="W31" s="67">
        <f>100 - $V31</f>
        <v>76.142508856662857</v>
      </c>
      <c r="X31" s="63">
        <f>13.95/$AI$1/(13.95/$AI$1 + 27.93/$AJ$1 + 1.21/$AK$1)*100</f>
        <v>21.367228414369166</v>
      </c>
      <c r="Y31" s="63">
        <f>100 - $X31 - $Z31</f>
        <v>76.258327265790996</v>
      </c>
      <c r="Z31" s="63">
        <f>1.21/$AK$1/(13.95/$AI$1 + 27.93/$AJ$1 + 1.21/$AK$1)*100</f>
        <v>2.3744443198398422</v>
      </c>
      <c r="AA31" s="63">
        <f>5.19/AI$1/(5.19/$AI$1 + 15.68/$AJ$1 + 21.33/$AK$1)*100</f>
        <v>8.5831201491113553</v>
      </c>
      <c r="AB31" s="63">
        <f>100 - $AA31 - $AC31</f>
        <v>46.287426586050699</v>
      </c>
      <c r="AC31" s="63">
        <f>21.3/AK$1/(5.19/$AI$1 + 15.68/$AJ$1 + 21.33/$AK$1)*100</f>
        <v>45.129453264837949</v>
      </c>
      <c r="AD31" s="63">
        <f>(11+17)/2</f>
        <v>14</v>
      </c>
      <c r="AE31" s="63" t="e">
        <f>100 - $AD31 - $AF31</f>
        <v>#VALUE!</v>
      </c>
      <c r="AF31" s="68" t="s">
        <v>133</v>
      </c>
      <c r="AG31" s="43" t="s">
        <v>139</v>
      </c>
      <c r="AH31" s="76" t="s">
        <v>135</v>
      </c>
      <c r="AI31" s="60" t="s">
        <v>136</v>
      </c>
      <c r="AJ31" s="57"/>
      <c r="AK31" s="43"/>
      <c r="AL31" s="43"/>
      <c r="AM31" s="43"/>
      <c r="AN31" s="58" t="s">
        <v>47</v>
      </c>
      <c r="AO31" s="58">
        <f>V31*$AN$1 + W31*$AO$1</f>
        <v>3.5372039008053759</v>
      </c>
      <c r="AP31" s="58">
        <f>X31*$AP$1+Y31*$AQ$1+Z31*$AR$1</f>
        <v>3.3531308801482496</v>
      </c>
      <c r="AQ31" s="58">
        <f>AA31*$AP$1+AB31*$AQ$1+AC31*$AR$1</f>
        <v>3.1289850413238214</v>
      </c>
      <c r="AR31" s="58">
        <f>AD31*$AS$1+(98-AD31)*$AT$1+2*$AU$1</f>
        <v>2.6342000000000003</v>
      </c>
      <c r="AS31" s="58"/>
      <c r="AT31" s="85"/>
      <c r="AU31" s="85"/>
    </row>
    <row r="32" spans="1:47" s="61" customFormat="1" ht="12">
      <c r="A32" s="43" t="s">
        <v>175</v>
      </c>
      <c r="B32" s="53" t="s">
        <v>176</v>
      </c>
      <c r="C32" s="54" t="s">
        <v>129</v>
      </c>
      <c r="D32" s="54" t="s">
        <v>34</v>
      </c>
      <c r="E32" s="43" t="s">
        <v>35</v>
      </c>
      <c r="F32" s="43"/>
      <c r="G32" s="43" t="s">
        <v>36</v>
      </c>
      <c r="H32" s="43" t="s">
        <v>120</v>
      </c>
      <c r="I32" s="43"/>
      <c r="J32" s="43">
        <v>0</v>
      </c>
      <c r="K32" s="43">
        <v>63</v>
      </c>
      <c r="L32" s="43" t="s">
        <v>38</v>
      </c>
      <c r="M32" s="43" t="s">
        <v>11</v>
      </c>
      <c r="N32" s="43" t="s">
        <v>130</v>
      </c>
      <c r="O32" s="43" t="s">
        <v>171</v>
      </c>
      <c r="P32" s="43">
        <v>0</v>
      </c>
      <c r="Q32" s="55" t="s">
        <v>172</v>
      </c>
      <c r="R32" s="59">
        <f>41.3/AO32/(41.3/$AO32+26.5/$AP32 + 10.3/$AQ32+10.1/$AR32)*100</f>
        <v>43.721841685752096</v>
      </c>
      <c r="S32" s="59">
        <f>100 - R32 - U32 - T32</f>
        <v>29.594012961333455</v>
      </c>
      <c r="T32" s="59">
        <f>10.3/AQ32/(41.3/$AO32+26.5/$AP32 + 10.3/$AQ32+10.1/$AR32)*100</f>
        <v>12.326569501531933</v>
      </c>
      <c r="U32" s="59">
        <f>10.1/AR32/(41.3/$AO32+26.5/$AP32 + 10.3/$AQ32+10.1/$AR32)*100</f>
        <v>14.357575851382512</v>
      </c>
      <c r="V32" s="63">
        <f>21.76/$AI$1/(21.76/$AI$1 + 38.96/$AJ$1)*100</f>
        <v>23.857491143337139</v>
      </c>
      <c r="W32" s="67">
        <f>100 - $V32</f>
        <v>76.142508856662857</v>
      </c>
      <c r="X32" s="63">
        <f>13.95/$AI$1/(13.95/$AI$1 + 27.93/$AJ$1 + 1.21/$AK$1)*100</f>
        <v>21.367228414369166</v>
      </c>
      <c r="Y32" s="63">
        <f>100 - $X32 - $Z32</f>
        <v>76.258327265790996</v>
      </c>
      <c r="Z32" s="63">
        <f>1.21/$AK$1/(13.95/$AI$1 + 27.93/$AJ$1 + 1.21/$AK$1)*100</f>
        <v>2.3744443198398422</v>
      </c>
      <c r="AA32" s="63">
        <f>5.19/AI$1/(5.19/$AI$1 + 15.68/$AJ$1 + 21.33/$AK$1)*100</f>
        <v>8.5831201491113553</v>
      </c>
      <c r="AB32" s="63">
        <f>100 - $AA32 - $AC32</f>
        <v>46.287426586050699</v>
      </c>
      <c r="AC32" s="63">
        <f>21.3/AK$1/(5.19/$AI$1 + 15.68/$AJ$1 + 21.33/$AK$1)*100</f>
        <v>45.129453264837949</v>
      </c>
      <c r="AD32" s="63">
        <f>(11+17)/2</f>
        <v>14</v>
      </c>
      <c r="AE32" s="63" t="e">
        <f>100 - $AD32 - $AF32</f>
        <v>#VALUE!</v>
      </c>
      <c r="AF32" s="68" t="s">
        <v>133</v>
      </c>
      <c r="AG32" s="43" t="s">
        <v>139</v>
      </c>
      <c r="AH32" s="56" t="s">
        <v>135</v>
      </c>
      <c r="AI32" s="60" t="s">
        <v>136</v>
      </c>
      <c r="AJ32" s="57"/>
      <c r="AK32" s="43"/>
      <c r="AL32" s="43"/>
      <c r="AM32" s="43"/>
      <c r="AN32" s="58" t="s">
        <v>47</v>
      </c>
      <c r="AO32" s="58">
        <f>V32*$AN$1 + W32*$AO$1</f>
        <v>3.5372039008053759</v>
      </c>
      <c r="AP32" s="58">
        <f>X32*$AP$1+Y32*$AQ$1+Z32*$AR$1</f>
        <v>3.3531308801482496</v>
      </c>
      <c r="AQ32" s="58">
        <f>AA32*$AP$1+AB32*$AQ$1+AC32*$AR$1</f>
        <v>3.1289850413238214</v>
      </c>
      <c r="AR32" s="58">
        <f>AD32*$AS$1+(98-AD32)*$AT$1+2*$AU$1</f>
        <v>2.6342000000000003</v>
      </c>
      <c r="AS32" s="58"/>
      <c r="AT32" s="85"/>
      <c r="AU32" s="85"/>
    </row>
    <row r="33" spans="1:47" s="61" customFormat="1" ht="12">
      <c r="A33" s="43" t="s">
        <v>177</v>
      </c>
      <c r="B33" s="53" t="s">
        <v>178</v>
      </c>
      <c r="C33" s="54" t="s">
        <v>129</v>
      </c>
      <c r="D33" s="54" t="s">
        <v>34</v>
      </c>
      <c r="E33" s="43" t="s">
        <v>35</v>
      </c>
      <c r="F33" s="43"/>
      <c r="G33" s="43" t="s">
        <v>36</v>
      </c>
      <c r="H33" s="43" t="s">
        <v>120</v>
      </c>
      <c r="I33" s="43"/>
      <c r="J33" s="43">
        <v>0</v>
      </c>
      <c r="K33" s="43">
        <v>25</v>
      </c>
      <c r="L33" s="43" t="s">
        <v>38</v>
      </c>
      <c r="M33" s="43" t="s">
        <v>11</v>
      </c>
      <c r="N33" s="43" t="s">
        <v>130</v>
      </c>
      <c r="O33" s="43" t="s">
        <v>171</v>
      </c>
      <c r="P33" s="43">
        <v>0</v>
      </c>
      <c r="Q33" s="43" t="s">
        <v>172</v>
      </c>
      <c r="R33" s="59">
        <f>41.3/AO33/(41.3/$AO33+26.5/$AP33 + 10.3/$AQ33+10.1/$AR33)*100</f>
        <v>43.721841685752096</v>
      </c>
      <c r="S33" s="59">
        <f>100 - R33 - U33 - T33</f>
        <v>29.594012961333455</v>
      </c>
      <c r="T33" s="59">
        <f>10.3/AQ33/(41.3/$AO33+26.5/$AP33 + 10.3/$AQ33+10.1/$AR33)*100</f>
        <v>12.326569501531933</v>
      </c>
      <c r="U33" s="59">
        <f>10.1/AR33/(41.3/$AO33+26.5/$AP33 + 10.3/$AQ33+10.1/$AR33)*100</f>
        <v>14.357575851382512</v>
      </c>
      <c r="V33" s="63">
        <f>21.76/$AI$1/(21.76/$AI$1 + 38.96/$AJ$1)*100</f>
        <v>23.857491143337139</v>
      </c>
      <c r="W33" s="67">
        <f>100 - $V33</f>
        <v>76.142508856662857</v>
      </c>
      <c r="X33" s="63">
        <f>13.95/$AI$1/(13.95/$AI$1 + 27.93/$AJ$1 + 1.21/$AK$1)*100</f>
        <v>21.367228414369166</v>
      </c>
      <c r="Y33" s="63">
        <f>100 - $X33 - $Z33</f>
        <v>76.258327265790996</v>
      </c>
      <c r="Z33" s="63">
        <f>1.21/$AK$1/(13.95/$AI$1 + 27.93/$AJ$1 + 1.21/$AK$1)*100</f>
        <v>2.3744443198398422</v>
      </c>
      <c r="AA33" s="63">
        <f>5.19/AI$1/(5.19/$AI$1 + 15.68/$AJ$1 + 21.33/$AK$1)*100</f>
        <v>8.5831201491113553</v>
      </c>
      <c r="AB33" s="63">
        <f>100 - $AA33 - $AC33</f>
        <v>46.287426586050699</v>
      </c>
      <c r="AC33" s="63">
        <f>21.3/AK$1/(5.19/$AI$1 + 15.68/$AJ$1 + 21.33/$AK$1)*100</f>
        <v>45.129453264837949</v>
      </c>
      <c r="AD33" s="63">
        <f>(11+17)/2</f>
        <v>14</v>
      </c>
      <c r="AE33" s="63" t="e">
        <f>100 - $AD33 - $AF33</f>
        <v>#VALUE!</v>
      </c>
      <c r="AF33" s="68" t="s">
        <v>133</v>
      </c>
      <c r="AG33" s="43" t="s">
        <v>139</v>
      </c>
      <c r="AH33" s="76" t="s">
        <v>135</v>
      </c>
      <c r="AI33" s="60" t="s">
        <v>136</v>
      </c>
      <c r="AJ33" s="57"/>
      <c r="AK33" s="43"/>
      <c r="AL33" s="43"/>
      <c r="AM33" s="43"/>
      <c r="AN33" s="58" t="s">
        <v>47</v>
      </c>
      <c r="AO33" s="58">
        <f>V33*$AN$1 + W33*$AO$1</f>
        <v>3.5372039008053759</v>
      </c>
      <c r="AP33" s="58">
        <f>X33*$AP$1+Y33*$AQ$1+Z33*$AR$1</f>
        <v>3.3531308801482496</v>
      </c>
      <c r="AQ33" s="58">
        <f>AA33*$AP$1+AB33*$AQ$1+AC33*$AR$1</f>
        <v>3.1289850413238214</v>
      </c>
      <c r="AR33" s="58">
        <f>AD33*$AS$1+(98-AD33)*$AT$1+2*$AU$1</f>
        <v>2.6342000000000003</v>
      </c>
      <c r="AS33" s="58"/>
      <c r="AT33" s="85"/>
      <c r="AU33" s="85"/>
    </row>
    <row r="34" spans="1:47" s="61" customFormat="1" ht="12">
      <c r="A34" s="43" t="s">
        <v>179</v>
      </c>
      <c r="B34" s="53" t="s">
        <v>180</v>
      </c>
      <c r="C34" s="54" t="s">
        <v>129</v>
      </c>
      <c r="D34" s="54" t="s">
        <v>34</v>
      </c>
      <c r="E34" s="43" t="s">
        <v>35</v>
      </c>
      <c r="F34" s="43"/>
      <c r="G34" s="43" t="s">
        <v>36</v>
      </c>
      <c r="H34" s="43" t="s">
        <v>120</v>
      </c>
      <c r="I34" s="43"/>
      <c r="J34" s="43">
        <v>25</v>
      </c>
      <c r="K34" s="43">
        <v>45</v>
      </c>
      <c r="L34" s="43" t="s">
        <v>38</v>
      </c>
      <c r="M34" s="43" t="s">
        <v>11</v>
      </c>
      <c r="N34" s="43" t="s">
        <v>130</v>
      </c>
      <c r="O34" s="43" t="s">
        <v>171</v>
      </c>
      <c r="P34" s="43">
        <v>0</v>
      </c>
      <c r="Q34" s="55" t="s">
        <v>172</v>
      </c>
      <c r="R34" s="59">
        <f>41.3/AO34/(41.3/$AO34+26.5/$AP34 + 10.3/$AQ34+10.1/$AR34)*100</f>
        <v>43.721841685752096</v>
      </c>
      <c r="S34" s="59">
        <f>100 - R34 - U34 - T34</f>
        <v>29.594012961333455</v>
      </c>
      <c r="T34" s="59">
        <f>10.3/AQ34/(41.3/$AO34+26.5/$AP34 + 10.3/$AQ34+10.1/$AR34)*100</f>
        <v>12.326569501531933</v>
      </c>
      <c r="U34" s="59">
        <f>10.1/AR34/(41.3/$AO34+26.5/$AP34 + 10.3/$AQ34+10.1/$AR34)*100</f>
        <v>14.357575851382512</v>
      </c>
      <c r="V34" s="63">
        <f>21.76/$AI$1/(21.76/$AI$1 + 38.96/$AJ$1)*100</f>
        <v>23.857491143337139</v>
      </c>
      <c r="W34" s="67">
        <f>100 - $V34</f>
        <v>76.142508856662857</v>
      </c>
      <c r="X34" s="63">
        <f>13.95/$AI$1/(13.95/$AI$1 + 27.93/$AJ$1 + 1.21/$AK$1)*100</f>
        <v>21.367228414369166</v>
      </c>
      <c r="Y34" s="63">
        <f>100 - $X34 - $Z34</f>
        <v>76.258327265790996</v>
      </c>
      <c r="Z34" s="63">
        <f>1.21/$AK$1/(13.95/$AI$1 + 27.93/$AJ$1 + 1.21/$AK$1)*100</f>
        <v>2.3744443198398422</v>
      </c>
      <c r="AA34" s="63">
        <f>5.19/AI$1/(5.19/$AI$1 + 15.68/$AJ$1 + 21.33/$AK$1)*100</f>
        <v>8.5831201491113553</v>
      </c>
      <c r="AB34" s="63">
        <f>100 - $AA34 - $AC34</f>
        <v>46.287426586050699</v>
      </c>
      <c r="AC34" s="63">
        <f>21.3/AK$1/(5.19/$AI$1 + 15.68/$AJ$1 + 21.33/$AK$1)*100</f>
        <v>45.129453264837949</v>
      </c>
      <c r="AD34" s="63">
        <f>(11+17)/2</f>
        <v>14</v>
      </c>
      <c r="AE34" s="63" t="e">
        <f>100 - $AD34 - $AF34</f>
        <v>#VALUE!</v>
      </c>
      <c r="AF34" s="68" t="s">
        <v>133</v>
      </c>
      <c r="AG34" s="43" t="s">
        <v>139</v>
      </c>
      <c r="AH34" s="76" t="s">
        <v>135</v>
      </c>
      <c r="AI34" s="60" t="s">
        <v>136</v>
      </c>
      <c r="AJ34" s="57"/>
      <c r="AK34" s="43"/>
      <c r="AL34" s="43"/>
      <c r="AM34" s="43"/>
      <c r="AN34" s="58" t="s">
        <v>47</v>
      </c>
      <c r="AO34" s="58">
        <f>V34*$AN$1 + W34*$AO$1</f>
        <v>3.5372039008053759</v>
      </c>
      <c r="AP34" s="58">
        <f>X34*$AP$1+Y34*$AQ$1+Z34*$AR$1</f>
        <v>3.3531308801482496</v>
      </c>
      <c r="AQ34" s="58">
        <f>AA34*$AP$1+AB34*$AQ$1+AC34*$AR$1</f>
        <v>3.1289850413238214</v>
      </c>
      <c r="AR34" s="58">
        <f>AD34*$AS$1+(98-AD34)*$AT$1+2*$AU$1</f>
        <v>2.6342000000000003</v>
      </c>
      <c r="AS34" s="58"/>
      <c r="AT34" s="85"/>
      <c r="AU34" s="85"/>
    </row>
    <row r="35" spans="1:47" s="61" customFormat="1" ht="12">
      <c r="A35" s="43" t="s">
        <v>181</v>
      </c>
      <c r="B35" s="53" t="s">
        <v>182</v>
      </c>
      <c r="C35" s="54" t="s">
        <v>129</v>
      </c>
      <c r="D35" s="54" t="s">
        <v>34</v>
      </c>
      <c r="E35" s="43" t="s">
        <v>35</v>
      </c>
      <c r="F35" s="43"/>
      <c r="G35" s="43" t="s">
        <v>36</v>
      </c>
      <c r="H35" s="43" t="s">
        <v>80</v>
      </c>
      <c r="I35" s="43"/>
      <c r="J35" s="43">
        <v>0</v>
      </c>
      <c r="K35" s="43">
        <v>0</v>
      </c>
      <c r="L35" s="43" t="s">
        <v>38</v>
      </c>
      <c r="M35" s="43" t="s">
        <v>11</v>
      </c>
      <c r="N35" s="43" t="s">
        <v>183</v>
      </c>
      <c r="O35" s="43" t="s">
        <v>131</v>
      </c>
      <c r="P35" s="43">
        <v>0</v>
      </c>
      <c r="Q35" s="55" t="s">
        <v>184</v>
      </c>
      <c r="R35" s="59">
        <f>43.9/AO35/(43.9/$AO35+21.9/$AP35+7.6/$AQ35+10.2/$AR35)*100</f>
        <v>49.118547219614832</v>
      </c>
      <c r="S35" s="59">
        <f>100 - R35 - U35 - T35</f>
        <v>26.699702183600067</v>
      </c>
      <c r="T35" s="59">
        <f>7/AQ35/(43.9/$AO35+21.9/$AP35+7.6/$AQ35+10.2/$AR35)*100</f>
        <v>8.8642332347077826</v>
      </c>
      <c r="U35" s="59">
        <f>10.2/AR35/(43.9/$AO35+21.9/$AP35+7.6/$AQ35+10.2/$AR35)*100</f>
        <v>15.317517362077314</v>
      </c>
      <c r="V35" s="59">
        <f>0.49/(0.49+1.51)*100</f>
        <v>24.5</v>
      </c>
      <c r="W35" s="67">
        <f>100 - $V35</f>
        <v>75.5</v>
      </c>
      <c r="X35" s="63">
        <f>13.8/$AI$1/(13.8/$AI$1 + 29.2/$AJ$1 + 1.04/$AK$1)*100</f>
        <v>20.540928970889567</v>
      </c>
      <c r="Y35" s="63">
        <f>100 - $X35 - $Z35</f>
        <v>77.475823287849337</v>
      </c>
      <c r="Z35" s="68">
        <f>1.04/$AK$1/(13.8/$AI$1 + 29.2/$AJ$1 + 1.04/$AK$1)*100</f>
        <v>1.9832477412610996</v>
      </c>
      <c r="AA35" s="63">
        <f>5.14/AI$1/(5.14/$AI$1 + 16.9/$AJ$1 + 21.1/$AK$1)*100</f>
        <v>8.2507232184707853</v>
      </c>
      <c r="AB35" s="63">
        <f>100 - $AA35 - $AC35</f>
        <v>48.356845008779928</v>
      </c>
      <c r="AC35" s="68">
        <f>21.1/AK$1/(5.14/$AI$1 + 16.9/$AJ$1 + 21.1/$AK$1)*100</f>
        <v>43.392431772749291</v>
      </c>
      <c r="AD35" s="63" t="s">
        <v>133</v>
      </c>
      <c r="AE35" s="63" t="e">
        <f>100 - $AD35 - $AF35</f>
        <v>#VALUE!</v>
      </c>
      <c r="AF35" s="68" t="s">
        <v>133</v>
      </c>
      <c r="AG35" s="43" t="s">
        <v>43</v>
      </c>
      <c r="AH35" s="56" t="s">
        <v>44</v>
      </c>
      <c r="AI35" s="57"/>
      <c r="AJ35" s="57"/>
      <c r="AK35" s="43"/>
      <c r="AL35" s="43"/>
      <c r="AM35" s="43"/>
      <c r="AN35" s="58" t="s">
        <v>47</v>
      </c>
      <c r="AO35" s="58">
        <f>V35*$AN$1 + W35*$AO$1</f>
        <v>3.5444</v>
      </c>
      <c r="AP35" s="58">
        <f>X35*$AP$1+Y35*$AQ$1+Z35*$AR$1</f>
        <v>3.3481072240578889</v>
      </c>
      <c r="AQ35" s="58">
        <f>AA35*$AP$1+AB35*$AQ$1+AC35*$AR$1</f>
        <v>3.1317031288202832</v>
      </c>
      <c r="AR35" s="58">
        <f>20*$AS$1+78*$AT$1+2*$AU$1</f>
        <v>2.6408</v>
      </c>
      <c r="AS35" s="58"/>
      <c r="AT35" s="85"/>
      <c r="AU35" s="85"/>
    </row>
    <row r="36" spans="1:47" s="43" customFormat="1" ht="12">
      <c r="A36" s="43" t="s">
        <v>185</v>
      </c>
      <c r="B36" s="53" t="s">
        <v>186</v>
      </c>
      <c r="C36" s="54" t="s">
        <v>79</v>
      </c>
      <c r="D36" s="54" t="s">
        <v>34</v>
      </c>
      <c r="E36" s="43" t="s">
        <v>35</v>
      </c>
      <c r="G36" s="43" t="s">
        <v>36</v>
      </c>
      <c r="H36" s="43" t="s">
        <v>53</v>
      </c>
      <c r="J36" s="43">
        <v>0</v>
      </c>
      <c r="K36" s="43">
        <v>150</v>
      </c>
      <c r="L36" s="43" t="s">
        <v>38</v>
      </c>
      <c r="M36" s="43" t="s">
        <v>81</v>
      </c>
      <c r="N36" s="43" t="s">
        <v>187</v>
      </c>
      <c r="O36" s="43" t="s">
        <v>83</v>
      </c>
      <c r="P36" s="43">
        <v>0</v>
      </c>
      <c r="Q36" s="55" t="s">
        <v>84</v>
      </c>
      <c r="R36" s="59">
        <f>50.4/AO36/(50.4/$AO36+18.6/$AP36+7.5/$AQ36+10.8/$AR36)*100</f>
        <v>53.833757426989578</v>
      </c>
      <c r="S36" s="59">
        <f>100 - R36 - U36 - T36</f>
        <v>21.217981783552791</v>
      </c>
      <c r="T36" s="59">
        <f>7.5/AQ36/(50.4/$AO36+18.6/$AP36+7.5/$AQ36+10.8/$AR36)*100</f>
        <v>9.1791344652928579</v>
      </c>
      <c r="U36" s="59">
        <f>10.8/AR36/(50.4/$AO36+18.6/$AP36+7.5/$AQ36+10.8/$AR36)*100</f>
        <v>15.769126324164775</v>
      </c>
      <c r="V36" s="59">
        <f>0.61/(0.61+1.4)*100</f>
        <v>30.348258706467661</v>
      </c>
      <c r="W36" s="67">
        <f>100 - $V36</f>
        <v>69.651741293532339</v>
      </c>
      <c r="X36" s="63">
        <f>16.5/$AI$1/(16.5/$AI$1 + 27.3/$AJ$1 + 1.04/$AK$1)*100</f>
        <v>24.813488985981337</v>
      </c>
      <c r="Y36" s="63">
        <f>100 - $X36 - $Z36</f>
        <v>73.182777954141571</v>
      </c>
      <c r="Z36" s="68">
        <f>1.04/$AK$1/(16.5/$AI$1 + 27.3/$AJ$1 + 1.04/$AK$1)*100</f>
        <v>2.0037330598770864</v>
      </c>
      <c r="AA36" s="63">
        <f>6.51/AI$1/(6.51/$AI$1 + 16.3/$AJ$1 + 20.7/$AK$1)*100</f>
        <v>10.485527531680665</v>
      </c>
      <c r="AB36" s="63">
        <f>100 - $AA36 - $AC36</f>
        <v>46.799288966728717</v>
      </c>
      <c r="AC36" s="68">
        <f>20.7/AK$1/(6.51/$AI$1 + 16.3/$AJ$1 + 20.7/$AK$1)*100</f>
        <v>42.715183501590623</v>
      </c>
      <c r="AD36" s="63" t="s">
        <v>133</v>
      </c>
      <c r="AE36" s="63" t="e">
        <f>100 - $AD36 - $AF36</f>
        <v>#VALUE!</v>
      </c>
      <c r="AF36" s="68" t="s">
        <v>133</v>
      </c>
      <c r="AG36" s="43" t="s">
        <v>43</v>
      </c>
      <c r="AH36" s="56" t="s">
        <v>44</v>
      </c>
      <c r="AI36" s="57"/>
      <c r="AJ36" s="57"/>
      <c r="AN36" s="58" t="s">
        <v>47</v>
      </c>
      <c r="AO36" s="58">
        <f>V36*$AN$1 + W36*$AO$1</f>
        <v>3.6099004975124376</v>
      </c>
      <c r="AP36" s="58">
        <f>X36*$AP$1+Y36*$AQ$1+Z36*$AR$1</f>
        <v>3.3800899682152288</v>
      </c>
      <c r="AQ36" s="58">
        <f>AA36*$AP$1+AB36*$AQ$1+AC36*$AR$1</f>
        <v>3.150495905982833</v>
      </c>
      <c r="AR36" s="58">
        <f>20*$AS$1+78*$AT$1+2*$AU$1</f>
        <v>2.6408</v>
      </c>
      <c r="AS36" s="58"/>
      <c r="AT36" s="58"/>
      <c r="AU36" s="58"/>
    </row>
    <row r="37" spans="1:47" s="43" customFormat="1" ht="12">
      <c r="A37" s="43" t="s">
        <v>188</v>
      </c>
      <c r="B37" s="53" t="s">
        <v>189</v>
      </c>
      <c r="C37" s="54" t="s">
        <v>79</v>
      </c>
      <c r="D37" s="54" t="s">
        <v>34</v>
      </c>
      <c r="E37" s="43" t="s">
        <v>35</v>
      </c>
      <c r="G37" s="43" t="s">
        <v>36</v>
      </c>
      <c r="H37" s="43" t="s">
        <v>145</v>
      </c>
      <c r="J37" s="43">
        <v>0</v>
      </c>
      <c r="K37" s="43">
        <v>150</v>
      </c>
      <c r="L37" s="43" t="s">
        <v>38</v>
      </c>
      <c r="M37" s="43" t="s">
        <v>81</v>
      </c>
      <c r="O37" s="43" t="s">
        <v>83</v>
      </c>
      <c r="P37" s="43">
        <v>0</v>
      </c>
      <c r="Q37" s="55" t="s">
        <v>84</v>
      </c>
      <c r="R37" s="59">
        <f>50.5/AO37/(50.5/$AO37+22/$AP37+6.4/$AQ37+8.8/$AR37)*100</f>
        <v>54.212101510460244</v>
      </c>
      <c r="S37" s="59">
        <f>100 - R37 - U37 - T37</f>
        <v>25.114845476086192</v>
      </c>
      <c r="T37" s="59">
        <f>6.4/AQ37/(50.5/$AO37+22/$AP37+6.4/$AQ37+8.8/$AR37)*100</f>
        <v>7.845625071152651</v>
      </c>
      <c r="U37" s="59">
        <f>8.8/AR37/(50.5/$AO37+22/$AP37+6.4/$AQ37+8.8/$AR37)*100</f>
        <v>12.827427942300918</v>
      </c>
      <c r="V37" s="59">
        <f>0.571/(0.571+1.454)*100</f>
        <v>28.197530864197528</v>
      </c>
      <c r="W37" s="67">
        <f>100 - $V37</f>
        <v>71.802469135802468</v>
      </c>
      <c r="X37" s="63">
        <f>0.465/(0.465+1.508+0.02)*100</f>
        <v>23.331660812844955</v>
      </c>
      <c r="Y37" s="63">
        <f>100 - $X37 - $Z37</f>
        <v>75.664826894129448</v>
      </c>
      <c r="Z37" s="63">
        <f>0.02/(0.465+1.508+0.02)*100</f>
        <v>1.0035122930255895</v>
      </c>
      <c r="AA37" s="63">
        <f>0.171/(0.171+0.931+0.809)*100</f>
        <v>8.9481946624803772</v>
      </c>
      <c r="AB37" s="63">
        <f>100 - $AA37 - $AC37</f>
        <v>48.717948717948715</v>
      </c>
      <c r="AC37" s="63">
        <f>0.809/(0.171+0.931+0.809)*100</f>
        <v>42.333856619570909</v>
      </c>
      <c r="AD37" s="63" t="s">
        <v>133</v>
      </c>
      <c r="AE37" s="63" t="e">
        <f>100 - $AD37 - $AF37</f>
        <v>#VALUE!</v>
      </c>
      <c r="AF37" s="68" t="s">
        <v>133</v>
      </c>
      <c r="AG37" s="43" t="s">
        <v>43</v>
      </c>
      <c r="AH37" s="56" t="s">
        <v>44</v>
      </c>
      <c r="AI37" s="60" t="s">
        <v>151</v>
      </c>
      <c r="AJ37" s="57"/>
      <c r="AN37" s="58" t="s">
        <v>47</v>
      </c>
      <c r="AO37" s="58">
        <f>V37*$AN$1 + W37*$AO$1</f>
        <v>3.5858123456790123</v>
      </c>
      <c r="AP37" s="58">
        <f>X37*$AP$1+Y37*$AQ$1+Z37*$AR$1</f>
        <v>3.3719769192172602</v>
      </c>
      <c r="AQ37" s="58">
        <f>AA37*$AP$1+AB37*$AQ$1+AC37*$AR$1</f>
        <v>3.1401098901098905</v>
      </c>
      <c r="AR37" s="58">
        <f>20*$AS$1+78*$AT$1+2*$AU$1</f>
        <v>2.6408</v>
      </c>
      <c r="AS37" s="58"/>
      <c r="AT37" s="58"/>
      <c r="AU37" s="58"/>
    </row>
    <row r="38" spans="1:47" s="43" customFormat="1" ht="12">
      <c r="A38" s="43" t="s">
        <v>190</v>
      </c>
      <c r="B38" s="53" t="s">
        <v>191</v>
      </c>
      <c r="C38" s="54" t="s">
        <v>79</v>
      </c>
      <c r="D38" s="54" t="s">
        <v>34</v>
      </c>
      <c r="E38" s="43" t="s">
        <v>35</v>
      </c>
      <c r="G38" s="43" t="s">
        <v>36</v>
      </c>
      <c r="H38" s="43" t="s">
        <v>53</v>
      </c>
      <c r="J38" s="43">
        <v>0</v>
      </c>
      <c r="K38" s="43">
        <v>75</v>
      </c>
      <c r="L38" s="43" t="s">
        <v>38</v>
      </c>
      <c r="M38" s="43" t="s">
        <v>81</v>
      </c>
      <c r="N38" s="43" t="s">
        <v>192</v>
      </c>
      <c r="O38" s="43" t="s">
        <v>83</v>
      </c>
      <c r="P38" s="43">
        <v>0</v>
      </c>
      <c r="Q38" s="55" t="s">
        <v>84</v>
      </c>
      <c r="R38" s="59">
        <f>57.2/AO38/(57.2/$AO38+17.6/$AP38+8.2/$AQ38+9.4/$AR38)*100</f>
        <v>58.1813152722913</v>
      </c>
      <c r="S38" s="59">
        <f>100 - R38 - U38 - T38</f>
        <v>19.137847545450438</v>
      </c>
      <c r="T38" s="59">
        <f>8.2/AQ38/(57.2/$AO38+17.6/$AP38+8.2/$AQ38+9.4/$AR38)*100</f>
        <v>9.5767955916529139</v>
      </c>
      <c r="U38" s="59">
        <f>9.4/AR38/(57.2/$AO38+17.6/$AP38+8.2/$AQ38+9.4/$AR38)*100</f>
        <v>13.104041590605348</v>
      </c>
      <c r="V38" s="59">
        <f>0.63/(0.63+1.39)*100</f>
        <v>31.188118811881189</v>
      </c>
      <c r="W38" s="67">
        <f>100 - $V38</f>
        <v>68.811881188118804</v>
      </c>
      <c r="X38" s="63">
        <f>17/$AI$1/(17/$AI$1 + 26.9/$AJ$1 + 1.12/$AK$1)*100</f>
        <v>25.607977941372251</v>
      </c>
      <c r="Y38" s="63">
        <f>100 - $X38 - $Z38</f>
        <v>72.23056295421938</v>
      </c>
      <c r="Z38" s="68">
        <f>1.12/$AK$1/(17/$AI$1 + 26.9/$AJ$1 + 1.12/$AK$1)*100</f>
        <v>2.1614591044083626</v>
      </c>
      <c r="AA38" s="63">
        <f>6.76/AI$1/(6.76/$AI$1 + 16.3/$AJ$1 + 21/$AK$1)*100</f>
        <v>10.7780746665092</v>
      </c>
      <c r="AB38" s="63">
        <f>100 - $AA38 - $AC38</f>
        <v>46.325962405955856</v>
      </c>
      <c r="AC38" s="68">
        <f>21/AK$1/(6.76/$AI$1 + 16.3/$AJ$1 + 21/$AK$1)*100</f>
        <v>42.895962927534946</v>
      </c>
      <c r="AD38" s="63" t="s">
        <v>133</v>
      </c>
      <c r="AE38" s="63" t="e">
        <f>100 - $AD38 - $AF38</f>
        <v>#VALUE!</v>
      </c>
      <c r="AF38" s="68" t="s">
        <v>133</v>
      </c>
      <c r="AG38" s="43" t="s">
        <v>43</v>
      </c>
      <c r="AH38" s="56" t="s">
        <v>44</v>
      </c>
      <c r="AI38" s="57"/>
      <c r="AJ38" s="57"/>
      <c r="AN38" s="58" t="s">
        <v>47</v>
      </c>
      <c r="AO38" s="58">
        <f>V38*$AN$1 + W38*$AO$1</f>
        <v>3.6193069306930687</v>
      </c>
      <c r="AP38" s="58">
        <f>X38*$AP$1+Y38*$AQ$1+Z38*$AR$1</f>
        <v>3.3855754572470667</v>
      </c>
      <c r="AQ38" s="58">
        <f>AA38*$AP$1+AB38*$AQ$1+AC38*$AR$1</f>
        <v>3.152147671216214</v>
      </c>
      <c r="AR38" s="58">
        <f>20*$AS$1+78*$AT$1+2*$AU$1</f>
        <v>2.6408</v>
      </c>
      <c r="AS38" s="58"/>
      <c r="AT38" s="58"/>
      <c r="AU38" s="58"/>
    </row>
    <row r="39" spans="1:47" s="43" customFormat="1" ht="12">
      <c r="A39" s="43" t="s">
        <v>193</v>
      </c>
      <c r="B39" s="53" t="s">
        <v>194</v>
      </c>
      <c r="C39" s="54" t="s">
        <v>79</v>
      </c>
      <c r="D39" s="54" t="s">
        <v>34</v>
      </c>
      <c r="E39" s="43" t="s">
        <v>35</v>
      </c>
      <c r="G39" s="43" t="s">
        <v>36</v>
      </c>
      <c r="H39" s="43" t="s">
        <v>53</v>
      </c>
      <c r="J39" s="43">
        <v>0</v>
      </c>
      <c r="K39" s="43">
        <v>150</v>
      </c>
      <c r="L39" s="43" t="s">
        <v>38</v>
      </c>
      <c r="M39" s="43" t="s">
        <v>81</v>
      </c>
      <c r="N39" s="43" t="s">
        <v>195</v>
      </c>
      <c r="O39" s="43" t="s">
        <v>83</v>
      </c>
      <c r="P39" s="43">
        <v>0</v>
      </c>
      <c r="Q39" s="55" t="s">
        <v>84</v>
      </c>
      <c r="R39" s="59">
        <f>51.2/AO39/(51.2/$AO39+19.1/$AP39+6.6/$AQ39+10.1/$AR39)*100</f>
        <v>55.14652987826922</v>
      </c>
      <c r="S39" s="59">
        <f>100 - R39 - U39 - T39</f>
        <v>21.911114426763405</v>
      </c>
      <c r="T39" s="59">
        <f>6.6/AQ39/(51.2/$AO39+19.1/$AP39+6.6/$AQ39+10.1/$AR39)*100</f>
        <v>8.1635427710398432</v>
      </c>
      <c r="U39" s="59">
        <f>10.1/AR39/(51.2/$AO39+19.1/$AP39+6.6/$AQ39+10.1/$AR39)*100</f>
        <v>14.778812923927532</v>
      </c>
      <c r="V39" s="59">
        <f>0.57/(0.57+1.44)*100</f>
        <v>28.35820895522388</v>
      </c>
      <c r="W39" s="67">
        <f>100 - $V39</f>
        <v>71.641791044776113</v>
      </c>
      <c r="X39" s="63">
        <f>15.4/$AI$1/(15.4/$AI$1 + 28.1/$AJ$1 + 0.87/$AK$1)*100</f>
        <v>23.121618003935353</v>
      </c>
      <c r="Y39" s="63">
        <f>100 - $X39 - $Z39</f>
        <v>75.204906381758306</v>
      </c>
      <c r="Z39" s="68">
        <f>0.87/$AK$1/(15.4/$AI$1 + 28.1/$AJ$1 + 0.87/$AK$1)*100</f>
        <v>1.6734756143063405</v>
      </c>
      <c r="AA39" s="63">
        <f>4.96/AI$1/(4.96/$AI$1 + 16.6/$AJ$1 + 22.1/$AK$1)*100</f>
        <v>7.8900532320220913</v>
      </c>
      <c r="AB39" s="63">
        <f>100 - $AA39 - $AC39</f>
        <v>47.070487786087604</v>
      </c>
      <c r="AC39" s="68">
        <f>22.1/AK$1/(4.96/$AI$1 + 16.6/$AJ$1 + 22.1/$AK$1)*100</f>
        <v>45.039458981890299</v>
      </c>
      <c r="AD39" s="63" t="s">
        <v>133</v>
      </c>
      <c r="AE39" s="63" t="e">
        <f>100 - $AD39 - $AF39</f>
        <v>#VALUE!</v>
      </c>
      <c r="AF39" s="68" t="s">
        <v>133</v>
      </c>
      <c r="AG39" s="43" t="s">
        <v>43</v>
      </c>
      <c r="AH39" s="56" t="s">
        <v>44</v>
      </c>
      <c r="AI39" s="57"/>
      <c r="AJ39" s="57"/>
      <c r="AN39" s="58" t="s">
        <v>47</v>
      </c>
      <c r="AO39" s="58">
        <f>V39*$AN$1 + W39*$AO$1</f>
        <v>3.5876119402985069</v>
      </c>
      <c r="AP39" s="58">
        <f>X39*$AP$1+Y39*$AQ$1+Z39*$AR$1</f>
        <v>3.3683917081865964</v>
      </c>
      <c r="AQ39" s="58">
        <f>AA39*$AP$1+AB39*$AQ$1+AC39*$AR$1</f>
        <v>3.1240570222944948</v>
      </c>
      <c r="AR39" s="58">
        <f>20*$AS$1+78*$AT$1+2*$AU$1</f>
        <v>2.6408</v>
      </c>
      <c r="AS39" s="58"/>
      <c r="AT39" s="58"/>
      <c r="AU39" s="58"/>
    </row>
    <row r="40" spans="1:47" s="43" customFormat="1" ht="12">
      <c r="A40" s="43" t="s">
        <v>196</v>
      </c>
      <c r="B40" s="53" t="s">
        <v>197</v>
      </c>
      <c r="C40" s="54" t="s">
        <v>79</v>
      </c>
      <c r="D40" s="54" t="s">
        <v>34</v>
      </c>
      <c r="E40" s="43" t="s">
        <v>35</v>
      </c>
      <c r="G40" s="43" t="s">
        <v>36</v>
      </c>
      <c r="H40" s="43" t="s">
        <v>198</v>
      </c>
      <c r="J40" s="43">
        <v>0</v>
      </c>
      <c r="K40" s="43">
        <v>150</v>
      </c>
      <c r="L40" s="43" t="s">
        <v>38</v>
      </c>
      <c r="M40" s="43" t="s">
        <v>81</v>
      </c>
      <c r="N40" s="43" t="s">
        <v>199</v>
      </c>
      <c r="O40" s="43" t="s">
        <v>83</v>
      </c>
      <c r="P40" s="43">
        <v>0</v>
      </c>
      <c r="Q40" s="55" t="s">
        <v>84</v>
      </c>
      <c r="R40" s="59">
        <f>38.4/AO40/(38.4/$AO40+23.9/$AP40+8.1/$AQ40+9.3/$AR40)*100</f>
        <v>45.090134348067181</v>
      </c>
      <c r="S40" s="59">
        <f>100 - R40 - U40 - T40</f>
        <v>29.623850335087354</v>
      </c>
      <c r="T40" s="59">
        <f>8.1/AQ40/(38.4/$AO40+23.9/$AP40+8.1/$AQ40+9.3/$AR40)*100</f>
        <v>10.703942371861281</v>
      </c>
      <c r="U40" s="59">
        <f>9.3/AR40/(38.4/$AO40+23.9/$AP40+8.1/$AQ40+9.3/$AR40)*100</f>
        <v>14.582072944984182</v>
      </c>
      <c r="V40" s="59">
        <f>0.46/(0.46+1.55)*100</f>
        <v>22.885572139303481</v>
      </c>
      <c r="W40" s="67">
        <f>100 - $V40</f>
        <v>77.114427860696523</v>
      </c>
      <c r="X40" s="63">
        <f>13/$AI$1/(13/$AI$1 + 29.8/$AJ$1 + 0.8/$AK$1)*100</f>
        <v>19.361086022966052</v>
      </c>
      <c r="Y40" s="63">
        <f>100 - $X40 - $Z40</f>
        <v>79.11247662795904</v>
      </c>
      <c r="Z40" s="68">
        <f>0.8/$AK$1/(13/$AI$1 + 29.8/$AJ$1 + 0.8/$AK$1)*100</f>
        <v>1.5264373490749166</v>
      </c>
      <c r="AA40" s="63">
        <f>4.8/$AI$1/(4.8/$AI$1 + 17.6/$AJ$1 + 20.1/$AK$1)*100</f>
        <v>7.7514124466479579</v>
      </c>
      <c r="AB40" s="63">
        <f>100 - $AA40 - $AC40</f>
        <v>50.663434845066945</v>
      </c>
      <c r="AC40" s="68">
        <f>20.1/$AK$1/(4.8/$AI$1 + 17.6/$AJ$1 + 20.1/$AK$1)*100</f>
        <v>41.585152708285094</v>
      </c>
      <c r="AD40" s="63" t="s">
        <v>133</v>
      </c>
      <c r="AE40" s="63" t="e">
        <f>100 - $AD40 - $AF40</f>
        <v>#VALUE!</v>
      </c>
      <c r="AF40" s="68" t="s">
        <v>133</v>
      </c>
      <c r="AG40" s="43" t="s">
        <v>43</v>
      </c>
      <c r="AH40" s="56" t="s">
        <v>44</v>
      </c>
      <c r="AI40" s="60" t="s">
        <v>151</v>
      </c>
      <c r="AJ40" s="57"/>
      <c r="AN40" s="58" t="s">
        <v>47</v>
      </c>
      <c r="AO40" s="58">
        <f>V40*$AN$1 + W40*$AO$1</f>
        <v>3.5263184079601988</v>
      </c>
      <c r="AP40" s="58">
        <f>X40*$AP$1+Y40*$AQ$1+Z40*$AR$1</f>
        <v>3.3406288331250211</v>
      </c>
      <c r="AQ40" s="58">
        <f>AA40*$AP$1+AB40*$AQ$1+AC40*$AR$1</f>
        <v>3.1333801352250044</v>
      </c>
      <c r="AR40" s="58">
        <f>20*$AS$1+78*$AT$1+2*$AU$1</f>
        <v>2.6408</v>
      </c>
      <c r="AS40" s="58"/>
      <c r="AT40" s="58"/>
      <c r="AU40" s="58"/>
    </row>
    <row r="41" spans="1:47" s="43" customFormat="1" ht="12">
      <c r="A41" s="43" t="s">
        <v>200</v>
      </c>
      <c r="B41" s="53" t="s">
        <v>201</v>
      </c>
      <c r="C41" s="54" t="s">
        <v>79</v>
      </c>
      <c r="D41" s="54" t="s">
        <v>34</v>
      </c>
      <c r="E41" s="43" t="s">
        <v>35</v>
      </c>
      <c r="G41" s="43" t="s">
        <v>36</v>
      </c>
      <c r="H41" s="43" t="s">
        <v>80</v>
      </c>
      <c r="J41" s="43">
        <v>0</v>
      </c>
      <c r="K41" s="43">
        <v>150</v>
      </c>
      <c r="L41" s="43" t="s">
        <v>38</v>
      </c>
      <c r="M41" s="43" t="s">
        <v>81</v>
      </c>
      <c r="N41" s="43" t="s">
        <v>202</v>
      </c>
      <c r="O41" s="43" t="s">
        <v>83</v>
      </c>
      <c r="P41" s="43">
        <v>0</v>
      </c>
      <c r="Q41" s="55" t="s">
        <v>84</v>
      </c>
      <c r="R41" s="59">
        <f>41.6/AO41/(41.6/$AO41+26.1/$AP41+5.15/$AQ41+9.55/$AR41)*100</f>
        <v>47.301193463731749</v>
      </c>
      <c r="S41" s="59">
        <f>100 - R41 - U41 - T41</f>
        <v>31.411461013187051</v>
      </c>
      <c r="T41" s="59">
        <f>5.15/AQ41/(41.6/$AO41+26.1/$AP41+5.15/$AQ41+9.55/$AR41)*100</f>
        <v>6.6509716422241194</v>
      </c>
      <c r="U41" s="59">
        <f>9.55/AR41/(41.6/$AO41+26.1/$AP41+5.15/$AQ41+9.55/$AR41)*100</f>
        <v>14.636373880857079</v>
      </c>
      <c r="V41" s="59">
        <f>0.496/(0.496+1.505)*100</f>
        <v>24.787606196901553</v>
      </c>
      <c r="W41" s="67">
        <f>100 - $V41</f>
        <v>75.21239380309845</v>
      </c>
      <c r="X41" s="63">
        <f>0.417/(0.417+1.552+0.031)*100</f>
        <v>20.849999999999998</v>
      </c>
      <c r="Y41" s="63">
        <f>100 - $X41 - $Z41</f>
        <v>77.600000000000009</v>
      </c>
      <c r="Z41" s="63">
        <f>0.031/(0.417+1.552+0.031)*100</f>
        <v>1.55</v>
      </c>
      <c r="AA41" s="63">
        <f>0.147/(0.147+0.915+0.857)*100</f>
        <v>7.6602397081813436</v>
      </c>
      <c r="AB41" s="63">
        <f>100 - $AA41 - $AC41</f>
        <v>47.681083897863481</v>
      </c>
      <c r="AC41" s="63">
        <f>0.857/(0.147+0.915+0.857)*100</f>
        <v>44.658676393955183</v>
      </c>
      <c r="AD41" s="63">
        <v>12</v>
      </c>
      <c r="AE41" s="63" t="e">
        <f>100 - $AD41 - $AF41</f>
        <v>#VALUE!</v>
      </c>
      <c r="AF41" s="68" t="s">
        <v>133</v>
      </c>
      <c r="AG41" s="62" t="s">
        <v>43</v>
      </c>
      <c r="AH41" s="60" t="s">
        <v>151</v>
      </c>
      <c r="AI41" s="60" t="s">
        <v>203</v>
      </c>
      <c r="AN41" s="58" t="s">
        <v>47</v>
      </c>
      <c r="AO41" s="58">
        <f>V41*$AN$1 + W41*$AO$1</f>
        <v>3.5476211894052971</v>
      </c>
      <c r="AP41" s="58">
        <f>X41*$AP$1+Y41*$AQ$1+Z41*$AR$1</f>
        <v>3.3517250000000005</v>
      </c>
      <c r="AQ41" s="58">
        <f>AA41*$AP$1+AB41*$AQ$1+AC41*$AR$1</f>
        <v>3.1234757686294947</v>
      </c>
      <c r="AR41" s="58">
        <f>AD41*$AS$1+(98-AD41)*$AT$1+2*$AU$1</f>
        <v>2.6320000000000001</v>
      </c>
      <c r="AS41" s="58"/>
      <c r="AT41" s="58"/>
      <c r="AU41" s="58"/>
    </row>
    <row r="42" spans="1:47" s="43" customFormat="1" ht="12">
      <c r="A42" s="43" t="s">
        <v>204</v>
      </c>
      <c r="B42" s="53" t="s">
        <v>205</v>
      </c>
      <c r="C42" s="54" t="s">
        <v>79</v>
      </c>
      <c r="D42" s="54" t="s">
        <v>34</v>
      </c>
      <c r="E42" s="43" t="s">
        <v>35</v>
      </c>
      <c r="G42" s="43" t="s">
        <v>36</v>
      </c>
      <c r="H42" s="43" t="s">
        <v>107</v>
      </c>
      <c r="J42" s="43">
        <v>0</v>
      </c>
      <c r="K42" s="43">
        <v>150</v>
      </c>
      <c r="L42" s="43" t="s">
        <v>38</v>
      </c>
      <c r="M42" s="43" t="s">
        <v>81</v>
      </c>
      <c r="N42" s="43" t="s">
        <v>206</v>
      </c>
      <c r="O42" s="43" t="s">
        <v>83</v>
      </c>
      <c r="P42" s="43">
        <v>0</v>
      </c>
      <c r="Q42" s="55" t="s">
        <v>84</v>
      </c>
      <c r="R42" s="59">
        <f>34.4/AO42/(34.4/$AO42+24.8/$AP42+6/$AQ42+9.2/$AR42)*100</f>
        <v>43.334896084837474</v>
      </c>
      <c r="S42" s="59">
        <f>100 - R42 - U42 - T42</f>
        <v>32.854741756656601</v>
      </c>
      <c r="T42" s="59">
        <f>6/AQ42/(34.4/$AO42+24.8/$AP42+6/$AQ42+9.2/$AR42)*100</f>
        <v>8.4862254217373891</v>
      </c>
      <c r="U42" s="59">
        <f>9.2/AR42/(34.4/$AO42+24.8/$AP42+6/$AQ42+9.2/$AR42)*100</f>
        <v>15.324136736768537</v>
      </c>
      <c r="V42" s="59">
        <v>19.8</v>
      </c>
      <c r="W42" s="67">
        <f>100 - $V42</f>
        <v>80.2</v>
      </c>
      <c r="X42" s="63">
        <v>16.600000000000001</v>
      </c>
      <c r="Y42" s="63">
        <f>100 - $X42 - $Z42</f>
        <v>82</v>
      </c>
      <c r="Z42" s="68">
        <v>1.4</v>
      </c>
      <c r="AA42" s="63">
        <v>6.2</v>
      </c>
      <c r="AB42" s="63">
        <f>100 - $AA42 - $AC42</f>
        <v>48.3</v>
      </c>
      <c r="AC42" s="68">
        <v>45.5</v>
      </c>
      <c r="AD42" s="63" t="s">
        <v>133</v>
      </c>
      <c r="AE42" s="63" t="e">
        <f>100 - $AD42 - $AF42</f>
        <v>#VALUE!</v>
      </c>
      <c r="AF42" s="68" t="s">
        <v>133</v>
      </c>
      <c r="AG42" s="43" t="s">
        <v>207</v>
      </c>
      <c r="AH42" s="56" t="s">
        <v>44</v>
      </c>
      <c r="AI42" s="60" t="s">
        <v>208</v>
      </c>
      <c r="AJ42" s="57"/>
      <c r="AN42" s="58" t="s">
        <v>47</v>
      </c>
      <c r="AO42" s="58">
        <f>V42*$AN$1 + W42*$AO$1</f>
        <v>3.4917599999999998</v>
      </c>
      <c r="AP42" s="58">
        <f>X42*$AP$1+Y42*$AQ$1+Z42*$AR$1</f>
        <v>3.3203</v>
      </c>
      <c r="AQ42" s="58">
        <f>AA42*$AP$1+AB42*$AQ$1+AC42*$AR$1</f>
        <v>3.1099999999999994</v>
      </c>
      <c r="AR42" s="58">
        <f>20*$AS$1+78*$AT$1+2*$AU$1</f>
        <v>2.6408</v>
      </c>
      <c r="AS42" s="58"/>
      <c r="AT42" s="58"/>
      <c r="AU42" s="58"/>
    </row>
    <row r="43" spans="1:47" s="43" customFormat="1" ht="12">
      <c r="A43" s="43" t="s">
        <v>209</v>
      </c>
      <c r="B43" s="53" t="s">
        <v>210</v>
      </c>
      <c r="C43" s="54" t="s">
        <v>79</v>
      </c>
      <c r="D43" s="54" t="s">
        <v>34</v>
      </c>
      <c r="E43" s="43" t="s">
        <v>35</v>
      </c>
      <c r="G43" s="43" t="s">
        <v>36</v>
      </c>
      <c r="H43" s="43" t="s">
        <v>98</v>
      </c>
      <c r="J43" s="43">
        <v>0</v>
      </c>
      <c r="K43" s="43">
        <v>150</v>
      </c>
      <c r="L43" s="43" t="s">
        <v>38</v>
      </c>
      <c r="M43" s="43" t="s">
        <v>81</v>
      </c>
      <c r="N43" s="43" t="s">
        <v>211</v>
      </c>
      <c r="O43" s="43" t="s">
        <v>83</v>
      </c>
      <c r="P43" s="43">
        <v>0</v>
      </c>
      <c r="Q43" s="55" t="s">
        <v>84</v>
      </c>
      <c r="R43" s="59">
        <f>34.3/AO43/(34.3/$AO43+25.3/$AP43+6.3/$AQ43+9.1/$AR43)*100</f>
        <v>42.949481289008553</v>
      </c>
      <c r="S43" s="59">
        <f>100 - R43 - U43 - T43</f>
        <v>33.187452604332194</v>
      </c>
      <c r="T43" s="59">
        <f>6.3/AQ43/(34.3/$AO43+25.3/$AP43+6.3/$AQ43+9.1/$AR43)*100</f>
        <v>8.8503013804986352</v>
      </c>
      <c r="U43" s="59">
        <f>9.1/AR43/(34.3/$AO43+25.3/$AP43+6.3/$AQ43+9.1/$AR43)*100</f>
        <v>15.012764726160619</v>
      </c>
      <c r="V43" s="59">
        <f>0.37/(0.37+1.61)*100</f>
        <v>18.686868686868689</v>
      </c>
      <c r="W43" s="67">
        <f>100 - $V43</f>
        <v>81.313131313131308</v>
      </c>
      <c r="X43" s="63">
        <f>11.3/$AI$1/(11.3/$AI$1 + 31.1/$AJ$1 + 0.71/$AK$1)*100</f>
        <v>16.704360394544182</v>
      </c>
      <c r="Y43" s="63">
        <f>100 - $X43 - $Z43</f>
        <v>81.950979899167123</v>
      </c>
      <c r="Z43" s="68">
        <f>0.71/$AK$1/(11.3/$AI$1 + 31.1/$AJ$1 + 0.71/$AK$1)*100</f>
        <v>1.3446597062886925</v>
      </c>
      <c r="AA43" s="63">
        <f>3.42/AI$1/(3.42/$AI$1 + 17.2/$AJ$1 + 23/$AK$1)*100</f>
        <v>5.3818827606022692</v>
      </c>
      <c r="AB43" s="63">
        <f>100 - $AA43 - $AC43</f>
        <v>48.247956922902027</v>
      </c>
      <c r="AC43" s="68">
        <f>23/AK$1/(3.42/$AI$1 + 17.2/$AJ$1 + 23/$AK$1)*100</f>
        <v>46.370160316495706</v>
      </c>
      <c r="AD43" s="63" t="s">
        <v>133</v>
      </c>
      <c r="AE43" s="63" t="e">
        <f>100 - $AD43 - $AF43</f>
        <v>#VALUE!</v>
      </c>
      <c r="AF43" s="68" t="s">
        <v>133</v>
      </c>
      <c r="AG43" s="43" t="s">
        <v>43</v>
      </c>
      <c r="AH43" s="56" t="s">
        <v>44</v>
      </c>
      <c r="AI43" s="57"/>
      <c r="AJ43" s="57"/>
      <c r="AN43" s="58" t="s">
        <v>47</v>
      </c>
      <c r="AO43" s="58">
        <f>V43*$AN$1 + W43*$AO$1</f>
        <v>3.4792929292929289</v>
      </c>
      <c r="AP43" s="58">
        <f>X43*$AP$1+Y43*$AQ$1+Z43*$AR$1</f>
        <v>3.3212487238402151</v>
      </c>
      <c r="AQ43" s="58">
        <f>AA43*$AP$1+AB43*$AQ$1+AC43*$AR$1</f>
        <v>3.1012536397550301</v>
      </c>
      <c r="AR43" s="58">
        <f>20*$AS$1+78*$AT$1+2*$AU$1</f>
        <v>2.6408</v>
      </c>
      <c r="AS43" s="58"/>
      <c r="AT43" s="58"/>
      <c r="AU43" s="58"/>
    </row>
    <row r="44" spans="1:47" s="43" customFormat="1" ht="12">
      <c r="A44" s="43" t="s">
        <v>212</v>
      </c>
      <c r="B44" s="53" t="s">
        <v>213</v>
      </c>
      <c r="C44" s="54" t="s">
        <v>79</v>
      </c>
      <c r="D44" s="54" t="s">
        <v>34</v>
      </c>
      <c r="E44" s="43" t="s">
        <v>35</v>
      </c>
      <c r="G44" s="43" t="s">
        <v>36</v>
      </c>
      <c r="H44" s="43" t="s">
        <v>80</v>
      </c>
      <c r="J44" s="43">
        <v>0</v>
      </c>
      <c r="K44" s="43">
        <v>150</v>
      </c>
      <c r="L44" s="43" t="s">
        <v>38</v>
      </c>
      <c r="M44" s="43" t="s">
        <v>81</v>
      </c>
      <c r="N44" s="43" t="s">
        <v>214</v>
      </c>
      <c r="O44" s="43" t="s">
        <v>83</v>
      </c>
      <c r="P44" s="43">
        <v>0</v>
      </c>
      <c r="Q44" s="55" t="s">
        <v>84</v>
      </c>
      <c r="R44" s="59">
        <f>43.4/AO44/(43.4/$AO44+22.5/$AP44+7.8/$AQ44+8.9/$AR44)*100</f>
        <v>49.305852785605794</v>
      </c>
      <c r="S44" s="59">
        <f>100 - R44 - U44 - T44</f>
        <v>27.049001734936738</v>
      </c>
      <c r="T44" s="59">
        <f>7.8/AQ44/(43.4/$AO44+22.5/$AP44+7.8/$AQ44+8.9/$AR44)*100</f>
        <v>10.058221635791062</v>
      </c>
      <c r="U44" s="59">
        <f>8.9/AR44/(43.4/$AO44+22.5/$AP44+7.8/$AQ44+8.9/$AR44)*100</f>
        <v>13.586923843666405</v>
      </c>
      <c r="V44" s="59">
        <f>0.5/(0.5+1.51)*100</f>
        <v>24.875621890547269</v>
      </c>
      <c r="W44" s="67">
        <f>100 - $V44</f>
        <v>75.124378109452735</v>
      </c>
      <c r="X44" s="63">
        <f>14.2/$AI$1/(14.2/$AI$1 + 28.6/$AJ$1 + 1.11/$AK$1)*100</f>
        <v>21.320332276801654</v>
      </c>
      <c r="Y44" s="63">
        <f>100 - $X44 - $Z44</f>
        <v>76.544503725740341</v>
      </c>
      <c r="Z44" s="68">
        <f>1.11/$AK$1/(14.2/$AI$1 + 28.6/$AJ$1 + 1.11/$AK$1)*100</f>
        <v>2.1351639974580126</v>
      </c>
      <c r="AA44" s="63">
        <f>5.05/AI$1/(5.05/$AI$1 + 16.7/$AJ$1 + 21.9/$AK$1)*100</f>
        <v>8.0316833381864825</v>
      </c>
      <c r="AB44" s="63">
        <f>100 - $AA44 - $AC44</f>
        <v>47.344989487827071</v>
      </c>
      <c r="AC44" s="68">
        <f>21.9/AK$1/(5.05/$AI$1 + 16.7/$AJ$1 + 21.9/$AK$1)*100</f>
        <v>44.623327173986446</v>
      </c>
      <c r="AD44" s="63" t="s">
        <v>133</v>
      </c>
      <c r="AE44" s="63" t="e">
        <f>100 - $AD44 - $AF44</f>
        <v>#VALUE!</v>
      </c>
      <c r="AF44" s="68" t="s">
        <v>133</v>
      </c>
      <c r="AG44" s="43" t="s">
        <v>43</v>
      </c>
      <c r="AH44" s="56" t="s">
        <v>44</v>
      </c>
      <c r="AI44" s="57"/>
      <c r="AJ44" s="57"/>
      <c r="AN44" s="58" t="s">
        <v>47</v>
      </c>
      <c r="AO44" s="58">
        <f>V44*$AN$1 + W44*$AO$1</f>
        <v>3.5486069651741294</v>
      </c>
      <c r="AP44" s="58">
        <f>X44*$AP$1+Y44*$AQ$1+Z44*$AR$1</f>
        <v>3.3534970000836388</v>
      </c>
      <c r="AQ44" s="58">
        <f>AA44*$AP$1+AB44*$AQ$1+AC44*$AR$1</f>
        <v>3.1263676435144392</v>
      </c>
      <c r="AR44" s="58">
        <f>20*$AS$1+78*$AT$1+2*$AU$1</f>
        <v>2.6408</v>
      </c>
      <c r="AS44" s="58"/>
      <c r="AT44" s="58"/>
      <c r="AU44" s="58"/>
    </row>
    <row r="45" spans="1:47" s="43" customFormat="1" ht="12">
      <c r="A45" s="43" t="s">
        <v>215</v>
      </c>
      <c r="B45" s="53" t="s">
        <v>216</v>
      </c>
      <c r="C45" s="54" t="s">
        <v>79</v>
      </c>
      <c r="D45" s="54" t="s">
        <v>34</v>
      </c>
      <c r="E45" s="43" t="s">
        <v>35</v>
      </c>
      <c r="G45" s="43" t="s">
        <v>36</v>
      </c>
      <c r="H45" s="43" t="s">
        <v>80</v>
      </c>
      <c r="J45" s="43">
        <v>0</v>
      </c>
      <c r="K45" s="43">
        <v>150</v>
      </c>
      <c r="L45" s="43" t="s">
        <v>38</v>
      </c>
      <c r="M45" s="43" t="s">
        <v>81</v>
      </c>
      <c r="N45" s="43" t="s">
        <v>217</v>
      </c>
      <c r="O45" s="43" t="s">
        <v>83</v>
      </c>
      <c r="P45" s="43">
        <v>0</v>
      </c>
      <c r="Q45" s="55" t="s">
        <v>84</v>
      </c>
      <c r="R45" s="59">
        <f>43.9/AO45/(43.9/$AO45+21.9/$AP45+7.6/$AQ45+10.2/$AR45)*100</f>
        <v>49.118547219614832</v>
      </c>
      <c r="S45" s="59">
        <f>100 - R45 - U45 - T45</f>
        <v>26.699702183600067</v>
      </c>
      <c r="T45" s="59">
        <f>7/AQ45/(43.9/$AO45+21.9/$AP45+7.6/$AQ45+10.2/$AR45)*100</f>
        <v>8.8642332347077826</v>
      </c>
      <c r="U45" s="59">
        <f>10.2/AR45/(43.9/$AO45+21.9/$AP45+7.6/$AQ45+10.2/$AR45)*100</f>
        <v>15.317517362077314</v>
      </c>
      <c r="V45" s="59">
        <f>0.49/(0.49+1.51)*100</f>
        <v>24.5</v>
      </c>
      <c r="W45" s="67">
        <f>100 - $V45</f>
        <v>75.5</v>
      </c>
      <c r="X45" s="63">
        <f>13.8/$AI$1/(13.8/$AI$1 + 29.2/$AJ$1 + 1.04/$AK$1)*100</f>
        <v>20.540928970889567</v>
      </c>
      <c r="Y45" s="63">
        <f>100 - $X45 - $Z45</f>
        <v>77.475823287849337</v>
      </c>
      <c r="Z45" s="68">
        <f>1.04/$AK$1/(13.8/$AI$1 + 29.2/$AJ$1 + 1.04/$AK$1)*100</f>
        <v>1.9832477412610996</v>
      </c>
      <c r="AA45" s="63">
        <f>5.14/AI$1/(5.14/$AI$1 + 16.9/$AJ$1 + 21.1/$AK$1)*100</f>
        <v>8.2507232184707853</v>
      </c>
      <c r="AB45" s="63">
        <f>100 - $AA45 - $AC45</f>
        <v>48.356845008779928</v>
      </c>
      <c r="AC45" s="68">
        <f>21.1/AK$1/(5.14/$AI$1 + 16.9/$AJ$1 + 21.1/$AK$1)*100</f>
        <v>43.392431772749291</v>
      </c>
      <c r="AD45" s="63" t="s">
        <v>133</v>
      </c>
      <c r="AE45" s="63" t="e">
        <f>100 - $AD45 - $AF45</f>
        <v>#VALUE!</v>
      </c>
      <c r="AF45" s="68" t="s">
        <v>133</v>
      </c>
      <c r="AG45" s="43" t="s">
        <v>43</v>
      </c>
      <c r="AH45" s="56" t="s">
        <v>44</v>
      </c>
      <c r="AI45" s="56"/>
      <c r="AJ45" s="57"/>
      <c r="AN45" s="58" t="s">
        <v>47</v>
      </c>
      <c r="AO45" s="58">
        <f>V45*$AN$1 + W45*$AO$1</f>
        <v>3.5444</v>
      </c>
      <c r="AP45" s="58">
        <f>X45*$AP$1+Y45*$AQ$1+Z45*$AR$1</f>
        <v>3.3481072240578889</v>
      </c>
      <c r="AQ45" s="58">
        <f>AA45*$AP$1+AB45*$AQ$1+AC45*$AR$1</f>
        <v>3.1317031288202832</v>
      </c>
      <c r="AR45" s="58">
        <f>20*$AS$1+78*$AT$1+2*$AU$1</f>
        <v>2.6408</v>
      </c>
      <c r="AS45" s="58"/>
      <c r="AT45" s="58"/>
      <c r="AU45" s="58"/>
    </row>
    <row r="46" spans="1:47" s="43" customFormat="1" ht="12">
      <c r="A46" s="43" t="s">
        <v>218</v>
      </c>
      <c r="B46" s="53" t="s">
        <v>219</v>
      </c>
      <c r="C46" s="54" t="s">
        <v>79</v>
      </c>
      <c r="D46" s="54" t="s">
        <v>34</v>
      </c>
      <c r="E46" s="43" t="s">
        <v>35</v>
      </c>
      <c r="G46" s="43" t="s">
        <v>36</v>
      </c>
      <c r="H46" s="43" t="s">
        <v>80</v>
      </c>
      <c r="J46" s="43">
        <v>0</v>
      </c>
      <c r="K46" s="43">
        <v>150</v>
      </c>
      <c r="L46" s="43" t="s">
        <v>38</v>
      </c>
      <c r="M46" s="43" t="s">
        <v>81</v>
      </c>
      <c r="N46" s="43" t="s">
        <v>220</v>
      </c>
      <c r="O46" s="43" t="s">
        <v>83</v>
      </c>
      <c r="P46" s="43">
        <v>0</v>
      </c>
      <c r="Q46" s="55" t="s">
        <v>84</v>
      </c>
      <c r="R46" s="59">
        <f>43.4/AO46/(43.4/$AO46+20.1/$AP46+8.2/$AQ46+9.3/$AR46)*100</f>
        <v>50.201912128621416</v>
      </c>
      <c r="S46" s="59">
        <f>100 - R46 - U46 - T46</f>
        <v>24.295264349328342</v>
      </c>
      <c r="T46" s="59">
        <f>8.2/AQ46/(43.4/$AO46+20.1/$AP46+8.2/$AQ46+9.3/$AR46)*100</f>
        <v>10.753865092921492</v>
      </c>
      <c r="U46" s="59">
        <f>9.5/AR46/(43.4/$AO46+20.1/$AP46+8.2/$AQ46+9.3/$AR46)*100</f>
        <v>14.748958429128747</v>
      </c>
      <c r="V46" s="59">
        <f>0.49/(0.49+1.51)*100</f>
        <v>24.5</v>
      </c>
      <c r="W46" s="67">
        <f>100 - $V46</f>
        <v>75.5</v>
      </c>
      <c r="X46" s="63">
        <f>13.6/$AI$1/(13.6/$AI$1 + 28.9/$AJ$1 + 0.85/$AK$1)*100</f>
        <v>20.542331353096476</v>
      </c>
      <c r="Y46" s="63">
        <f>100 - $X46 - $Z46</f>
        <v>77.812795607885292</v>
      </c>
      <c r="Z46" s="68">
        <f>0.85/$AK$1/(13.6/$AI$1 + 28.9/$AJ$1 + 0.85/$AK$1)*100</f>
        <v>1.6448730390182398</v>
      </c>
      <c r="AA46" s="63">
        <f>4.97/AI$1/(4.97/$AI$1 + 16.7/$AJ$1 + 21.7/$AK$1)*100</f>
        <v>7.9469453234536678</v>
      </c>
      <c r="AB46" s="63">
        <f>100 - $AA46 - $AC46</f>
        <v>47.599529665907461</v>
      </c>
      <c r="AC46" s="68">
        <f>21.7/AK$1/(4.97/$AI$1 + 16.7/$AJ$1 + 21.7/$AK$1)*100</f>
        <v>44.453525010638877</v>
      </c>
      <c r="AD46" s="63" t="s">
        <v>133</v>
      </c>
      <c r="AE46" s="63" t="e">
        <f>100 - $AD46 - $AF46</f>
        <v>#VALUE!</v>
      </c>
      <c r="AF46" s="68" t="s">
        <v>133</v>
      </c>
      <c r="AG46" s="43" t="s">
        <v>43</v>
      </c>
      <c r="AH46" s="56" t="s">
        <v>44</v>
      </c>
      <c r="AI46" s="57"/>
      <c r="AJ46" s="57"/>
      <c r="AN46" s="58" t="s">
        <v>47</v>
      </c>
      <c r="AO46" s="58">
        <f>V46*$AN$1 + W46*$AO$1</f>
        <v>3.5444</v>
      </c>
      <c r="AP46" s="58">
        <f>X46*$AP$1+Y46*$AQ$1+Z46*$AR$1</f>
        <v>3.349132866031169</v>
      </c>
      <c r="AQ46" s="58">
        <f>AA46*$AP$1+AB46*$AQ$1+AC46*$AR$1</f>
        <v>3.1262415148939859</v>
      </c>
      <c r="AR46" s="58">
        <f>20*$AS$1+78*$AT$1+2*$AU$1</f>
        <v>2.6408</v>
      </c>
      <c r="AS46" s="58"/>
      <c r="AT46" s="58"/>
      <c r="AU46" s="58"/>
    </row>
    <row r="47" spans="1:47" s="116" customFormat="1" ht="12">
      <c r="A47" s="116" t="s">
        <v>221</v>
      </c>
      <c r="B47" s="117" t="s">
        <v>222</v>
      </c>
      <c r="C47" s="118" t="s">
        <v>223</v>
      </c>
      <c r="D47" s="118" t="s">
        <v>224</v>
      </c>
      <c r="E47" s="116" t="s">
        <v>35</v>
      </c>
      <c r="G47" s="116" t="s">
        <v>225</v>
      </c>
      <c r="H47" s="116" t="s">
        <v>226</v>
      </c>
      <c r="J47" s="116">
        <v>0</v>
      </c>
      <c r="K47" s="116">
        <v>0</v>
      </c>
      <c r="M47" s="116" t="s">
        <v>227</v>
      </c>
      <c r="N47" s="116" t="s">
        <v>228</v>
      </c>
      <c r="O47" s="116" t="s">
        <v>229</v>
      </c>
      <c r="P47" s="116">
        <v>0</v>
      </c>
      <c r="Q47" s="119" t="s">
        <v>230</v>
      </c>
      <c r="R47" s="120">
        <f>52/(52+26+11+10)*100</f>
        <v>52.525252525252533</v>
      </c>
      <c r="S47" s="120">
        <f>100 - R47 - U47 - T47</f>
        <v>26.262626262626259</v>
      </c>
      <c r="T47" s="120">
        <f>11/(52+26+11+10)*100</f>
        <v>11.111111111111111</v>
      </c>
      <c r="U47" s="121">
        <f>10/(52+26+11+10)*100</f>
        <v>10.1010101010101</v>
      </c>
      <c r="V47" s="120">
        <f>(25+30)/2</f>
        <v>27.5</v>
      </c>
      <c r="W47" s="121">
        <f>100 - $V47</f>
        <v>72.5</v>
      </c>
      <c r="X47" s="120">
        <v>23</v>
      </c>
      <c r="Y47" s="122">
        <f>100 - $X47 - $Z47</f>
        <v>70</v>
      </c>
      <c r="Z47" s="123">
        <v>7</v>
      </c>
      <c r="AA47" s="122">
        <f>(14.3+13.4)/2</f>
        <v>13.850000000000001</v>
      </c>
      <c r="AB47" s="122">
        <f>100 - $AA47 - $AC47</f>
        <v>51.250000000000007</v>
      </c>
      <c r="AC47" s="123">
        <f>(34+35.8)/2</f>
        <v>34.9</v>
      </c>
      <c r="AD47" s="122">
        <f>(50+55)/2</f>
        <v>52.5</v>
      </c>
      <c r="AE47" s="122">
        <f>100 - $AD47 - $AF47</f>
        <v>46</v>
      </c>
      <c r="AF47" s="123">
        <f>(1+2)/2</f>
        <v>1.5</v>
      </c>
      <c r="AG47" s="116" t="s">
        <v>231</v>
      </c>
      <c r="AH47" s="124" t="s">
        <v>232</v>
      </c>
      <c r="AI47" s="125" t="s">
        <v>233</v>
      </c>
      <c r="AJ47" s="125" t="s">
        <v>234</v>
      </c>
      <c r="AN47" s="126" t="s">
        <v>235</v>
      </c>
      <c r="AO47" s="126">
        <f>V47*$AN$1 + W47*$AO$1</f>
        <v>3.5780000000000003</v>
      </c>
      <c r="AP47" s="126">
        <f>X47*$AP$1+Y47*$AQ$1+Z47*$AR$1</f>
        <v>3.3515000000000001</v>
      </c>
      <c r="AQ47" s="126">
        <f>AA47*$AP$1+AB47*$AQ$1+AC47*$AR$1</f>
        <v>3.1991750000000003</v>
      </c>
      <c r="AR47" s="126">
        <f>AD47*$AS$1+AE47*$AT$1+AF47*$AU$1</f>
        <v>2.6768500000000004</v>
      </c>
      <c r="AS47" s="126"/>
      <c r="AT47" s="127"/>
      <c r="AU47" s="127"/>
    </row>
    <row r="48" spans="1:47" s="128" customFormat="1" ht="12">
      <c r="A48" s="116" t="s">
        <v>236</v>
      </c>
      <c r="B48" s="117" t="s">
        <v>222</v>
      </c>
      <c r="C48" s="118" t="s">
        <v>223</v>
      </c>
      <c r="D48" s="118" t="s">
        <v>224</v>
      </c>
      <c r="E48" s="116" t="s">
        <v>35</v>
      </c>
      <c r="F48" s="116"/>
      <c r="G48" s="116" t="s">
        <v>225</v>
      </c>
      <c r="H48" s="116" t="s">
        <v>226</v>
      </c>
      <c r="I48" s="116"/>
      <c r="J48" s="116">
        <v>0</v>
      </c>
      <c r="K48" s="116">
        <v>0</v>
      </c>
      <c r="L48" s="116"/>
      <c r="M48" s="116" t="s">
        <v>227</v>
      </c>
      <c r="N48" s="116" t="s">
        <v>228</v>
      </c>
      <c r="O48" s="116" t="s">
        <v>229</v>
      </c>
      <c r="P48" s="116">
        <v>0</v>
      </c>
      <c r="Q48" s="119" t="s">
        <v>237</v>
      </c>
      <c r="R48" s="120">
        <f>52/(52+26+11+10)*100</f>
        <v>52.525252525252533</v>
      </c>
      <c r="S48" s="120">
        <f>100 - R48 - U48 - T48</f>
        <v>26.262626262626259</v>
      </c>
      <c r="T48" s="120">
        <f>11/(52+26+11+10)*100</f>
        <v>11.111111111111111</v>
      </c>
      <c r="U48" s="121">
        <f>10/(52+26+11+10)*100</f>
        <v>10.1010101010101</v>
      </c>
      <c r="V48" s="120">
        <f>(25+30)/2</f>
        <v>27.5</v>
      </c>
      <c r="W48" s="121">
        <f>100 - $V48</f>
        <v>72.5</v>
      </c>
      <c r="X48" s="120">
        <v>23</v>
      </c>
      <c r="Y48" s="122">
        <f>100 - $X48 - $Z48</f>
        <v>70</v>
      </c>
      <c r="Z48" s="123">
        <v>7</v>
      </c>
      <c r="AA48" s="122">
        <f>(14.3+13.4)/2</f>
        <v>13.850000000000001</v>
      </c>
      <c r="AB48" s="122">
        <f>100 - $AA48 - $AC48</f>
        <v>51.250000000000007</v>
      </c>
      <c r="AC48" s="123">
        <f>(34+35.8)/2</f>
        <v>34.9</v>
      </c>
      <c r="AD48" s="122">
        <f>(50+55)/2</f>
        <v>52.5</v>
      </c>
      <c r="AE48" s="122">
        <f>100 - $AD48 - $AF48</f>
        <v>46</v>
      </c>
      <c r="AF48" s="123">
        <f>(1+2)/2</f>
        <v>1.5</v>
      </c>
      <c r="AG48" s="116" t="s">
        <v>43</v>
      </c>
      <c r="AH48" s="124" t="s">
        <v>232</v>
      </c>
      <c r="AI48" s="125" t="s">
        <v>233</v>
      </c>
      <c r="AJ48" s="125" t="s">
        <v>234</v>
      </c>
      <c r="AK48" s="116"/>
      <c r="AL48" s="116"/>
      <c r="AM48" s="116"/>
      <c r="AN48" s="126" t="s">
        <v>235</v>
      </c>
      <c r="AO48" s="126">
        <f>V48*$AN$1 + W48*$AO$1</f>
        <v>3.5780000000000003</v>
      </c>
      <c r="AP48" s="126">
        <f>X48*$AP$1+Y48*$AQ$1+Z48*$AR$1</f>
        <v>3.3515000000000001</v>
      </c>
      <c r="AQ48" s="126">
        <f>AA48*$AP$1+AB48*$AQ$1+AC48*$AR$1</f>
        <v>3.1991750000000003</v>
      </c>
      <c r="AR48" s="126">
        <f>AD48*$AS$1+AE48*$AT$1+AF48*$AU$1</f>
        <v>2.6768500000000004</v>
      </c>
      <c r="AS48" s="126"/>
      <c r="AT48" s="126"/>
      <c r="AU48" s="126"/>
    </row>
    <row r="49" spans="1:47" s="116" customFormat="1" ht="12">
      <c r="A49" s="116" t="s">
        <v>238</v>
      </c>
      <c r="B49" s="117" t="s">
        <v>222</v>
      </c>
      <c r="C49" s="118" t="s">
        <v>223</v>
      </c>
      <c r="D49" s="118" t="s">
        <v>224</v>
      </c>
      <c r="E49" s="116" t="s">
        <v>35</v>
      </c>
      <c r="G49" s="116" t="s">
        <v>225</v>
      </c>
      <c r="H49" s="116" t="s">
        <v>226</v>
      </c>
      <c r="J49" s="116">
        <v>0</v>
      </c>
      <c r="K49" s="116">
        <v>0</v>
      </c>
      <c r="M49" s="116" t="s">
        <v>227</v>
      </c>
      <c r="N49" s="116" t="s">
        <v>228</v>
      </c>
      <c r="O49" s="116" t="s">
        <v>229</v>
      </c>
      <c r="P49" s="116">
        <v>0</v>
      </c>
      <c r="Q49" s="119" t="s">
        <v>239</v>
      </c>
      <c r="R49" s="120">
        <f>52/(52+26+11+10)*100</f>
        <v>52.525252525252533</v>
      </c>
      <c r="S49" s="120">
        <f>100 - R49 - U49 - T49</f>
        <v>26.262626262626259</v>
      </c>
      <c r="T49" s="120">
        <f>11/(52+26+11+10)*100</f>
        <v>11.111111111111111</v>
      </c>
      <c r="U49" s="121">
        <f>10/(52+26+11+10)*100</f>
        <v>10.1010101010101</v>
      </c>
      <c r="V49" s="120">
        <f>(25+30)/2</f>
        <v>27.5</v>
      </c>
      <c r="W49" s="121">
        <f>100 - $V49</f>
        <v>72.5</v>
      </c>
      <c r="X49" s="120">
        <v>23</v>
      </c>
      <c r="Y49" s="122">
        <f>100 - $X49 - $Z49</f>
        <v>70</v>
      </c>
      <c r="Z49" s="123">
        <v>7</v>
      </c>
      <c r="AA49" s="122">
        <f>(14.3+13.4)/2</f>
        <v>13.850000000000001</v>
      </c>
      <c r="AB49" s="122">
        <f>100 - $AA49 - $AC49</f>
        <v>51.250000000000007</v>
      </c>
      <c r="AC49" s="123">
        <f>(34+35.8)/2</f>
        <v>34.9</v>
      </c>
      <c r="AD49" s="122">
        <f>(50+55)/2</f>
        <v>52.5</v>
      </c>
      <c r="AE49" s="122">
        <f>100 - $AD49 - $AF49</f>
        <v>46</v>
      </c>
      <c r="AF49" s="123">
        <f>(1+2)/2</f>
        <v>1.5</v>
      </c>
      <c r="AG49" s="116" t="s">
        <v>43</v>
      </c>
      <c r="AH49" s="124" t="s">
        <v>232</v>
      </c>
      <c r="AI49" s="125" t="s">
        <v>233</v>
      </c>
      <c r="AJ49" s="125" t="s">
        <v>234</v>
      </c>
      <c r="AN49" s="126" t="s">
        <v>235</v>
      </c>
      <c r="AO49" s="126">
        <f>V49*$AN$1 + W49*$AO$1</f>
        <v>3.5780000000000003</v>
      </c>
      <c r="AP49" s="126">
        <f>X49*$AP$1+Y49*$AQ$1+Z49*$AR$1</f>
        <v>3.3515000000000001</v>
      </c>
      <c r="AQ49" s="126">
        <f>AA49*$AP$1+AB49*$AQ$1+AC49*$AR$1</f>
        <v>3.1991750000000003</v>
      </c>
      <c r="AR49" s="126">
        <f>AD49*$AS$1+AE49*$AT$1+AF49*$AU$1</f>
        <v>2.6768500000000004</v>
      </c>
      <c r="AS49" s="126"/>
      <c r="AT49" s="126"/>
      <c r="AU49" s="126"/>
    </row>
    <row r="50" spans="1:47" s="116" customFormat="1" ht="12">
      <c r="A50" s="116" t="s">
        <v>240</v>
      </c>
      <c r="B50" s="117" t="s">
        <v>241</v>
      </c>
      <c r="C50" s="118" t="s">
        <v>223</v>
      </c>
      <c r="D50" s="118" t="s">
        <v>224</v>
      </c>
      <c r="E50" s="116" t="s">
        <v>35</v>
      </c>
      <c r="G50" s="116" t="s">
        <v>225</v>
      </c>
      <c r="H50" s="116" t="s">
        <v>242</v>
      </c>
      <c r="J50" s="116">
        <v>0</v>
      </c>
      <c r="K50" s="116">
        <v>100</v>
      </c>
      <c r="L50" s="116" t="s">
        <v>38</v>
      </c>
      <c r="M50" s="116" t="s">
        <v>11</v>
      </c>
      <c r="N50" s="116" t="s">
        <v>243</v>
      </c>
      <c r="O50" s="116" t="s">
        <v>244</v>
      </c>
      <c r="P50" s="116">
        <v>0</v>
      </c>
      <c r="Q50" s="119"/>
      <c r="R50" s="120">
        <f>12.8/(12.8+0+75.5+6.8)*100</f>
        <v>13.459516298633019</v>
      </c>
      <c r="S50" s="120">
        <f>100 - R50 - U50 - T50</f>
        <v>0</v>
      </c>
      <c r="T50" s="120">
        <f>75.5/(12.8+0+75.5+6.8)*100</f>
        <v>79.390115667718192</v>
      </c>
      <c r="U50" s="121">
        <f>6.8/(12.8+0+75.5+6.8)*100</f>
        <v>7.1503680336487907</v>
      </c>
      <c r="V50" s="120">
        <v>69</v>
      </c>
      <c r="W50" s="121">
        <f>100 - $V50</f>
        <v>31</v>
      </c>
      <c r="X50" s="122">
        <v>0</v>
      </c>
      <c r="Y50" s="122">
        <v>0</v>
      </c>
      <c r="Z50" s="123">
        <v>0</v>
      </c>
      <c r="AA50" s="122">
        <v>24</v>
      </c>
      <c r="AB50" s="122">
        <f>100 - $AA50 - $AC50</f>
        <v>37</v>
      </c>
      <c r="AC50" s="123">
        <v>39</v>
      </c>
      <c r="AD50" s="122">
        <v>31.8</v>
      </c>
      <c r="AE50" s="122">
        <f>100 - $AD50 - $AF50</f>
        <v>62.6</v>
      </c>
      <c r="AF50" s="123">
        <v>5.6</v>
      </c>
      <c r="AG50" s="116" t="s">
        <v>231</v>
      </c>
      <c r="AH50" s="129" t="s">
        <v>245</v>
      </c>
      <c r="AI50" s="130"/>
      <c r="AJ50" s="130"/>
      <c r="AN50" s="126" t="s">
        <v>63</v>
      </c>
      <c r="AO50" s="126">
        <f>V50*$AN$1 + W50*$AO$1</f>
        <v>4.0427999999999997</v>
      </c>
      <c r="AP50" s="126">
        <v>1</v>
      </c>
      <c r="AQ50" s="126">
        <f>AA50*$AP$1+AB50*$AQ$1+AC50*$AR$1</f>
        <v>3.2629999999999999</v>
      </c>
      <c r="AR50" s="126">
        <f>AD50*$AS$1+AE50*$AT$1+AF50*$AU$1</f>
        <v>2.6516199999999999</v>
      </c>
      <c r="AS50" s="126"/>
      <c r="AT50" s="126"/>
      <c r="AU50" s="126"/>
    </row>
    <row r="51" spans="1:47" s="116" customFormat="1" ht="12">
      <c r="A51" s="116" t="s">
        <v>246</v>
      </c>
      <c r="B51" s="117" t="s">
        <v>247</v>
      </c>
      <c r="C51" s="118" t="s">
        <v>129</v>
      </c>
      <c r="D51" s="118" t="s">
        <v>34</v>
      </c>
      <c r="E51" s="116" t="s">
        <v>35</v>
      </c>
      <c r="G51" s="116" t="s">
        <v>248</v>
      </c>
      <c r="H51" s="116" t="s">
        <v>249</v>
      </c>
      <c r="J51" s="116">
        <v>0</v>
      </c>
      <c r="K51" s="116">
        <v>0</v>
      </c>
      <c r="M51" s="116" t="s">
        <v>250</v>
      </c>
      <c r="N51" s="116" t="s">
        <v>251</v>
      </c>
      <c r="P51" s="116">
        <v>0</v>
      </c>
      <c r="Q51" s="119"/>
      <c r="R51" s="120">
        <f>48.7/(48.7+44.1+1.9+0)*100</f>
        <v>51.425554382259762</v>
      </c>
      <c r="S51" s="120">
        <f>100 - R51 - U51 - T51</f>
        <v>46.568109820485752</v>
      </c>
      <c r="T51" s="120">
        <f>1.9/(48.7+44.1+1.9+0)*100</f>
        <v>2.0063357972544873</v>
      </c>
      <c r="U51" s="121">
        <f>0/(48.7+44.1+1.9+0)*100</f>
        <v>0</v>
      </c>
      <c r="V51" s="120">
        <v>14</v>
      </c>
      <c r="W51" s="121">
        <f>100 - $V51</f>
        <v>86</v>
      </c>
      <c r="X51" s="122">
        <v>12.8</v>
      </c>
      <c r="Y51" s="122">
        <f>100 - $X51 - $Z51</f>
        <v>83.9</v>
      </c>
      <c r="Z51" s="123">
        <v>3.3</v>
      </c>
      <c r="AA51" s="122">
        <v>6.5</v>
      </c>
      <c r="AB51" s="122">
        <f>100 - $AA51 - $AC51</f>
        <v>51.2</v>
      </c>
      <c r="AC51" s="123">
        <v>42.3</v>
      </c>
      <c r="AD51" s="122">
        <v>0</v>
      </c>
      <c r="AE51" s="122">
        <v>0</v>
      </c>
      <c r="AF51" s="123">
        <v>0</v>
      </c>
      <c r="AG51" s="116" t="s">
        <v>43</v>
      </c>
      <c r="AH51" s="125" t="s">
        <v>252</v>
      </c>
      <c r="AI51" s="125" t="s">
        <v>253</v>
      </c>
      <c r="AJ51" s="125"/>
      <c r="AN51" s="126" t="s">
        <v>63</v>
      </c>
      <c r="AO51" s="126">
        <f>V51*$AN$1 + W51*$AO$1</f>
        <v>3.4267999999999996</v>
      </c>
      <c r="AP51" s="126">
        <f>X51*$AP$1+Y51*$AQ$1+Z51*$AR$1</f>
        <v>3.2861000000000002</v>
      </c>
      <c r="AQ51" s="126">
        <f>AA51*$AP$1+AB51*$AQ$1+AC51*$AR$1</f>
        <v>3.1218500000000002</v>
      </c>
      <c r="AR51" s="126">
        <v>1</v>
      </c>
      <c r="AS51" s="126"/>
      <c r="AT51" s="126"/>
      <c r="AU51" s="126"/>
    </row>
    <row r="52" spans="1:47" s="116" customFormat="1" ht="12">
      <c r="A52" s="116" t="s">
        <v>254</v>
      </c>
      <c r="B52" s="117" t="s">
        <v>255</v>
      </c>
      <c r="C52" s="118" t="s">
        <v>154</v>
      </c>
      <c r="D52" s="118" t="s">
        <v>34</v>
      </c>
      <c r="E52" s="116" t="s">
        <v>35</v>
      </c>
      <c r="G52" s="116" t="s">
        <v>248</v>
      </c>
      <c r="H52" s="116" t="s">
        <v>249</v>
      </c>
      <c r="J52" s="116">
        <v>0</v>
      </c>
      <c r="K52" s="116">
        <v>0</v>
      </c>
      <c r="M52" s="116" t="s">
        <v>250</v>
      </c>
      <c r="N52" s="116" t="s">
        <v>256</v>
      </c>
      <c r="O52" s="116" t="s">
        <v>257</v>
      </c>
      <c r="P52" s="116">
        <v>0</v>
      </c>
      <c r="Q52" s="119"/>
      <c r="R52" s="120">
        <f>71.9/(71.9+9.7+4.7+0)*100</f>
        <v>83.314020857473921</v>
      </c>
      <c r="S52" s="120">
        <f>100 - R52 - U52 - T52</f>
        <v>11.239860950173821</v>
      </c>
      <c r="T52" s="120">
        <f>4.7/(71.9+9.7+4.7+0)*100</f>
        <v>5.4461181923522588</v>
      </c>
      <c r="U52" s="120">
        <f>0/(71.9+9.7+4.7+0)*100</f>
        <v>0</v>
      </c>
      <c r="V52" s="120">
        <f>7.59/$AI$1/(7.59/$AI$1+50.8/$AJ$1)*100</f>
        <v>7.7335602369528118</v>
      </c>
      <c r="W52" s="121">
        <f>100 - $V52</f>
        <v>92.266439763047188</v>
      </c>
      <c r="X52" s="122">
        <v>13.7</v>
      </c>
      <c r="Y52" s="122">
        <f>100 - $X52 - $Z52</f>
        <v>83.7</v>
      </c>
      <c r="Z52" s="123">
        <v>2.6</v>
      </c>
      <c r="AA52" s="122">
        <v>6.48</v>
      </c>
      <c r="AB52" s="122">
        <f>100 - $AA52 - $AC52</f>
        <v>51.419999999999995</v>
      </c>
      <c r="AC52" s="123">
        <v>42.1</v>
      </c>
      <c r="AD52" s="122">
        <v>0</v>
      </c>
      <c r="AE52" s="122">
        <v>0</v>
      </c>
      <c r="AF52" s="123">
        <v>0</v>
      </c>
      <c r="AG52" s="116" t="s">
        <v>43</v>
      </c>
      <c r="AH52" s="129" t="s">
        <v>253</v>
      </c>
      <c r="AI52" s="130"/>
      <c r="AJ52" s="130"/>
      <c r="AN52" s="126" t="s">
        <v>63</v>
      </c>
      <c r="AO52" s="126">
        <f>V52*$AN$1 + W52*$AO$1</f>
        <v>3.3566158746538717</v>
      </c>
      <c r="AP52" s="126">
        <f>X52*$AP$1+Y52*$AQ$1+Z52*$AR$1</f>
        <v>3.2949500000000005</v>
      </c>
      <c r="AQ52" s="126">
        <f>AA52*$AP$1+AB52*$AQ$1+AC52*$AR$1</f>
        <v>3.1222999999999996</v>
      </c>
      <c r="AR52" s="126">
        <v>1</v>
      </c>
      <c r="AS52" s="126"/>
      <c r="AT52" s="126"/>
      <c r="AU52" s="126"/>
    </row>
    <row r="53" spans="1:47" s="116" customFormat="1" ht="12">
      <c r="A53" s="116" t="s">
        <v>258</v>
      </c>
      <c r="B53" s="117" t="s">
        <v>259</v>
      </c>
      <c r="C53" s="118" t="s">
        <v>154</v>
      </c>
      <c r="D53" s="118" t="s">
        <v>34</v>
      </c>
      <c r="E53" s="116" t="s">
        <v>35</v>
      </c>
      <c r="G53" s="116" t="s">
        <v>248</v>
      </c>
      <c r="H53" s="116" t="s">
        <v>260</v>
      </c>
      <c r="J53" s="116">
        <v>0</v>
      </c>
      <c r="K53" s="116">
        <v>25</v>
      </c>
      <c r="L53" s="116" t="s">
        <v>38</v>
      </c>
      <c r="M53" s="116" t="s">
        <v>11</v>
      </c>
      <c r="N53" s="116" t="s">
        <v>228</v>
      </c>
      <c r="O53" s="116" t="s">
        <v>261</v>
      </c>
      <c r="P53" s="116">
        <v>0</v>
      </c>
      <c r="Q53" s="119" t="s">
        <v>262</v>
      </c>
      <c r="R53" s="120">
        <f>10.6/(10.6 + 85.2+3.2+0.1)*100</f>
        <v>10.696266397578205</v>
      </c>
      <c r="S53" s="120">
        <f>100 - R53 - U53 - T53</f>
        <v>85.973763874873868</v>
      </c>
      <c r="T53" s="120">
        <f>3.2/(10.6 + 85.2+3.2+0.1)*100</f>
        <v>3.2290615539858729</v>
      </c>
      <c r="U53" s="121">
        <f>0.1/(10.6 + 85.2+3.2+0.1)*100</f>
        <v>0.10090817356205853</v>
      </c>
      <c r="V53" s="120">
        <v>28.8</v>
      </c>
      <c r="W53" s="121">
        <f>100 - $V53</f>
        <v>71.2</v>
      </c>
      <c r="X53" s="122">
        <v>23.3</v>
      </c>
      <c r="Y53" s="122">
        <f>100 - $X53 - $Z53</f>
        <v>74.900000000000006</v>
      </c>
      <c r="Z53" s="123">
        <v>1.8</v>
      </c>
      <c r="AA53" s="122">
        <v>9</v>
      </c>
      <c r="AB53" s="122">
        <f>100 - $AA53 - $AC53</f>
        <v>43</v>
      </c>
      <c r="AC53" s="123">
        <v>48</v>
      </c>
      <c r="AD53" s="122">
        <v>91.6</v>
      </c>
      <c r="AE53" s="122">
        <f>100 - $AD53 - $AF53</f>
        <v>8.100000000000005</v>
      </c>
      <c r="AF53" s="123">
        <v>0.3</v>
      </c>
      <c r="AG53" s="116" t="s">
        <v>43</v>
      </c>
      <c r="AH53" s="129" t="s">
        <v>263</v>
      </c>
      <c r="AI53" s="125" t="s">
        <v>264</v>
      </c>
      <c r="AJ53" s="130"/>
      <c r="AN53" s="126" t="s">
        <v>63</v>
      </c>
      <c r="AO53" s="126">
        <f>V53*$AN$1 + W53*$AO$1</f>
        <v>3.5925599999999998</v>
      </c>
      <c r="AP53" s="126">
        <f>X53*$AP$1+Y53*$AQ$1+Z53*$AR$1</f>
        <v>3.3693500000000003</v>
      </c>
      <c r="AQ53" s="126">
        <f>AA53*$AP$1+AB53*$AQ$1+AC53*$AR$1</f>
        <v>3.1234999999999999</v>
      </c>
      <c r="AR53" s="126">
        <f>AD53*$AS$1+AE53*$AT$1+AF53*$AU$1</f>
        <v>2.7205800000000004</v>
      </c>
      <c r="AS53" s="126"/>
      <c r="AT53" s="126"/>
      <c r="AU53" s="126"/>
    </row>
    <row r="54" spans="1:47" s="116" customFormat="1" ht="12">
      <c r="A54" s="116" t="s">
        <v>265</v>
      </c>
      <c r="B54" s="117" t="s">
        <v>266</v>
      </c>
      <c r="C54" s="118" t="s">
        <v>267</v>
      </c>
      <c r="D54" s="118" t="s">
        <v>34</v>
      </c>
      <c r="E54" s="116" t="s">
        <v>268</v>
      </c>
      <c r="G54" s="116" t="s">
        <v>248</v>
      </c>
      <c r="H54" s="116" t="s">
        <v>269</v>
      </c>
      <c r="M54" s="116" t="s">
        <v>155</v>
      </c>
      <c r="N54" s="116" t="s">
        <v>251</v>
      </c>
      <c r="O54" s="116" t="s">
        <v>68</v>
      </c>
      <c r="P54" s="116">
        <v>0</v>
      </c>
      <c r="Q54" s="119"/>
      <c r="R54" s="120">
        <f>48.7/(48.7+44.1+1.9+0)*100</f>
        <v>51.425554382259762</v>
      </c>
      <c r="S54" s="120">
        <f>100 - R54 - U54 - T54</f>
        <v>46.568109820485752</v>
      </c>
      <c r="T54" s="120">
        <f>1.9/(48.7+44.1+1.9+0)*100</f>
        <v>2.0063357972544873</v>
      </c>
      <c r="U54" s="120">
        <f>0/(48.7+44.1+1.9+0)*100</f>
        <v>0</v>
      </c>
      <c r="V54" s="120">
        <v>14</v>
      </c>
      <c r="W54" s="121">
        <f>100 - $V54</f>
        <v>86</v>
      </c>
      <c r="X54" s="122">
        <v>12.8</v>
      </c>
      <c r="Y54" s="122">
        <f>100 - $X54 - $Z54</f>
        <v>83.9</v>
      </c>
      <c r="Z54" s="123">
        <v>3.3</v>
      </c>
      <c r="AA54" s="122">
        <v>6.5</v>
      </c>
      <c r="AB54" s="122">
        <f>100 - $AA54 - $AC54</f>
        <v>51.2</v>
      </c>
      <c r="AC54" s="123">
        <v>42.3</v>
      </c>
      <c r="AD54" s="122">
        <v>0</v>
      </c>
      <c r="AE54" s="122">
        <v>0</v>
      </c>
      <c r="AF54" s="123">
        <v>0</v>
      </c>
      <c r="AG54" s="116" t="s">
        <v>43</v>
      </c>
      <c r="AH54" s="125" t="s">
        <v>252</v>
      </c>
      <c r="AI54" s="125" t="s">
        <v>253</v>
      </c>
      <c r="AJ54" s="129"/>
      <c r="AN54" s="126" t="s">
        <v>63</v>
      </c>
      <c r="AO54" s="126">
        <f>V54*$AN$1 + W54*$AO$1</f>
        <v>3.4267999999999996</v>
      </c>
      <c r="AP54" s="126">
        <f>X54*$AP$1+Y54*$AQ$1+Z54*$AR$1</f>
        <v>3.2861000000000002</v>
      </c>
      <c r="AQ54" s="126">
        <f>AA54*$AP$1+AB54*$AQ$1+AC54*$AR$1</f>
        <v>3.1218500000000002</v>
      </c>
      <c r="AR54" s="126">
        <v>1</v>
      </c>
      <c r="AS54" s="126"/>
      <c r="AT54" s="126"/>
      <c r="AU54" s="126"/>
    </row>
    <row r="55" spans="1:47" s="116" customFormat="1" ht="12">
      <c r="A55" s="116" t="s">
        <v>270</v>
      </c>
      <c r="B55" s="117" t="s">
        <v>271</v>
      </c>
      <c r="C55" s="118" t="s">
        <v>267</v>
      </c>
      <c r="D55" s="118" t="s">
        <v>34</v>
      </c>
      <c r="E55" s="116" t="s">
        <v>268</v>
      </c>
      <c r="G55" s="116" t="s">
        <v>248</v>
      </c>
      <c r="H55" s="116" t="s">
        <v>269</v>
      </c>
      <c r="J55" s="116">
        <v>0</v>
      </c>
      <c r="K55" s="116">
        <v>125</v>
      </c>
      <c r="L55" s="116" t="s">
        <v>38</v>
      </c>
      <c r="M55" s="116" t="s">
        <v>39</v>
      </c>
      <c r="N55" s="116" t="s">
        <v>251</v>
      </c>
      <c r="O55" s="116" t="s">
        <v>68</v>
      </c>
      <c r="P55" s="116">
        <v>0</v>
      </c>
      <c r="Q55" s="119"/>
      <c r="R55" s="120">
        <f>48.7/(48.7+44.1+1.9+0)*100</f>
        <v>51.425554382259762</v>
      </c>
      <c r="S55" s="120">
        <f>100 - R55 - U55 - T55</f>
        <v>46.568109820485752</v>
      </c>
      <c r="T55" s="120">
        <f>1.9/(48.7+44.1+1.9+0)*100</f>
        <v>2.0063357972544873</v>
      </c>
      <c r="U55" s="120">
        <f>0/(48.7+44.1+1.9+0)*100</f>
        <v>0</v>
      </c>
      <c r="V55" s="120">
        <v>14</v>
      </c>
      <c r="W55" s="121">
        <f>100 - $V55</f>
        <v>86</v>
      </c>
      <c r="X55" s="122">
        <v>12.8</v>
      </c>
      <c r="Y55" s="122">
        <f>100 - $X55 - $Z55</f>
        <v>83.9</v>
      </c>
      <c r="Z55" s="123">
        <v>3.3</v>
      </c>
      <c r="AA55" s="122">
        <v>6.5</v>
      </c>
      <c r="AB55" s="122">
        <f>100 - $AA55 - $AC55</f>
        <v>51.2</v>
      </c>
      <c r="AC55" s="123">
        <v>42.3</v>
      </c>
      <c r="AD55" s="122">
        <v>0</v>
      </c>
      <c r="AE55" s="122">
        <v>0</v>
      </c>
      <c r="AF55" s="123">
        <v>0</v>
      </c>
      <c r="AG55" s="116" t="s">
        <v>43</v>
      </c>
      <c r="AH55" s="125" t="s">
        <v>252</v>
      </c>
      <c r="AI55" s="125" t="s">
        <v>253</v>
      </c>
      <c r="AJ55" s="125"/>
      <c r="AN55" s="126" t="s">
        <v>63</v>
      </c>
      <c r="AO55" s="126">
        <f>V55*$AN$1 + W55*$AO$1</f>
        <v>3.4267999999999996</v>
      </c>
      <c r="AP55" s="126">
        <f>X55*$AP$1+Y55*$AQ$1+Z55*$AR$1</f>
        <v>3.2861000000000002</v>
      </c>
      <c r="AQ55" s="126">
        <f>AA55*$AP$1+AB55*$AQ$1+AC55*$AR$1</f>
        <v>3.1218500000000002</v>
      </c>
      <c r="AR55" s="126">
        <v>1</v>
      </c>
      <c r="AS55" s="126"/>
      <c r="AT55" s="126"/>
      <c r="AU55" s="126"/>
    </row>
    <row r="56" spans="1:47" s="128" customFormat="1" ht="12">
      <c r="A56" s="116" t="s">
        <v>272</v>
      </c>
      <c r="B56" s="118" t="s">
        <v>273</v>
      </c>
      <c r="C56" s="118" t="s">
        <v>274</v>
      </c>
      <c r="D56" s="118" t="s">
        <v>34</v>
      </c>
      <c r="E56" s="116" t="s">
        <v>35</v>
      </c>
      <c r="F56" s="116"/>
      <c r="G56" s="116" t="s">
        <v>248</v>
      </c>
      <c r="H56" s="116" t="s">
        <v>275</v>
      </c>
      <c r="I56" s="116"/>
      <c r="J56" s="116">
        <v>0</v>
      </c>
      <c r="K56" s="116">
        <v>0</v>
      </c>
      <c r="L56" s="116"/>
      <c r="M56" s="116" t="s">
        <v>155</v>
      </c>
      <c r="N56" s="116" t="s">
        <v>276</v>
      </c>
      <c r="O56" s="116" t="s">
        <v>277</v>
      </c>
      <c r="P56" s="116">
        <v>0</v>
      </c>
      <c r="Q56" s="119" t="s">
        <v>278</v>
      </c>
      <c r="R56" s="120">
        <f>10.6/(10.6 + 85.2+3.2+0.1)*100</f>
        <v>10.696266397578205</v>
      </c>
      <c r="S56" s="120">
        <f>100 - R56 - U56 - T56</f>
        <v>85.973763874873868</v>
      </c>
      <c r="T56" s="120">
        <f>3.2/(10.6 + 85.2+3.2+0.1)*100</f>
        <v>3.2290615539858729</v>
      </c>
      <c r="U56" s="120">
        <f>0.1/(10.6 + 85.2+3.2+0.1)*100</f>
        <v>0.10090817356205853</v>
      </c>
      <c r="V56" s="120">
        <v>28.8</v>
      </c>
      <c r="W56" s="121">
        <f>100 - $V56</f>
        <v>71.2</v>
      </c>
      <c r="X56" s="122">
        <v>23.3</v>
      </c>
      <c r="Y56" s="122">
        <f>100 - $X56 - $Z56</f>
        <v>74.900000000000006</v>
      </c>
      <c r="Z56" s="123">
        <v>1.8</v>
      </c>
      <c r="AA56" s="122">
        <v>9</v>
      </c>
      <c r="AB56" s="122">
        <f>100 - $AA56 - $AC56</f>
        <v>43</v>
      </c>
      <c r="AC56" s="123">
        <v>48</v>
      </c>
      <c r="AD56" s="122">
        <v>91.6</v>
      </c>
      <c r="AE56" s="122">
        <f>100 - $AD56 - $AF56</f>
        <v>8.100000000000005</v>
      </c>
      <c r="AF56" s="123">
        <v>0.3</v>
      </c>
      <c r="AG56" s="116" t="s">
        <v>43</v>
      </c>
      <c r="AH56" s="129" t="s">
        <v>263</v>
      </c>
      <c r="AI56" s="125" t="s">
        <v>264</v>
      </c>
      <c r="AJ56" s="130"/>
      <c r="AK56" s="116"/>
      <c r="AL56" s="116"/>
      <c r="AM56" s="116"/>
      <c r="AN56" s="126" t="s">
        <v>63</v>
      </c>
      <c r="AO56" s="126">
        <f>V56*$AN$1 + W56*$AO$1</f>
        <v>3.5925599999999998</v>
      </c>
      <c r="AP56" s="126">
        <f>X56*$AP$1+Y56*$AQ$1+Z56*$AR$1</f>
        <v>3.3693500000000003</v>
      </c>
      <c r="AQ56" s="126">
        <f>AA56*$AP$1+AB56*$AQ$1+AC56*$AR$1</f>
        <v>3.1234999999999999</v>
      </c>
      <c r="AR56" s="126">
        <f>AD56*$AS$1+AE56*$AT$1+AF56*$AU$1</f>
        <v>2.7205800000000004</v>
      </c>
      <c r="AS56" s="126"/>
      <c r="AT56" s="127"/>
      <c r="AU56" s="127"/>
    </row>
    <row r="57" spans="1:47" s="128" customFormat="1" ht="12">
      <c r="A57" s="116" t="s">
        <v>279</v>
      </c>
      <c r="B57" s="117" t="s">
        <v>280</v>
      </c>
      <c r="C57" s="118" t="s">
        <v>274</v>
      </c>
      <c r="D57" s="118" t="s">
        <v>34</v>
      </c>
      <c r="E57" s="116" t="s">
        <v>268</v>
      </c>
      <c r="F57" s="116"/>
      <c r="G57" s="116" t="s">
        <v>248</v>
      </c>
      <c r="H57" s="116" t="s">
        <v>275</v>
      </c>
      <c r="I57" s="116"/>
      <c r="J57" s="116">
        <v>0</v>
      </c>
      <c r="K57" s="116">
        <v>45</v>
      </c>
      <c r="L57" s="116" t="s">
        <v>38</v>
      </c>
      <c r="M57" s="116" t="s">
        <v>39</v>
      </c>
      <c r="N57" s="116" t="s">
        <v>276</v>
      </c>
      <c r="O57" s="116" t="s">
        <v>281</v>
      </c>
      <c r="P57" s="116">
        <v>0</v>
      </c>
      <c r="Q57" s="119" t="s">
        <v>278</v>
      </c>
      <c r="R57" s="120">
        <f>10.6/(10.6 + 85.2+3.2+0.1)*100</f>
        <v>10.696266397578205</v>
      </c>
      <c r="S57" s="120">
        <f>100 - R57 - U57 - T57</f>
        <v>85.973763874873868</v>
      </c>
      <c r="T57" s="120">
        <f>3.2/(10.6 + 85.2+3.2+0.1)*100</f>
        <v>3.2290615539858729</v>
      </c>
      <c r="U57" s="121">
        <f>0.1/(10.6 + 85.2+3.2+0.1)*100</f>
        <v>0.10090817356205853</v>
      </c>
      <c r="V57" s="120">
        <v>28.8</v>
      </c>
      <c r="W57" s="121">
        <f>100 - $V57</f>
        <v>71.2</v>
      </c>
      <c r="X57" s="122">
        <v>23.3</v>
      </c>
      <c r="Y57" s="122">
        <f>100 - $X57 - $Z57</f>
        <v>74.900000000000006</v>
      </c>
      <c r="Z57" s="123">
        <v>1.8</v>
      </c>
      <c r="AA57" s="122">
        <v>9</v>
      </c>
      <c r="AB57" s="122">
        <f>100 - $AA57 - $AC57</f>
        <v>43</v>
      </c>
      <c r="AC57" s="123">
        <v>48</v>
      </c>
      <c r="AD57" s="122">
        <v>91.6</v>
      </c>
      <c r="AE57" s="122">
        <f>100 - $AD57 - $AF57</f>
        <v>8.100000000000005</v>
      </c>
      <c r="AF57" s="123">
        <v>0.3</v>
      </c>
      <c r="AG57" s="116" t="s">
        <v>43</v>
      </c>
      <c r="AH57" s="129" t="s">
        <v>263</v>
      </c>
      <c r="AI57" s="125" t="s">
        <v>264</v>
      </c>
      <c r="AJ57" s="130"/>
      <c r="AK57" s="116"/>
      <c r="AL57" s="116"/>
      <c r="AM57" s="116"/>
      <c r="AN57" s="126" t="s">
        <v>63</v>
      </c>
      <c r="AO57" s="126">
        <f>V57*$AN$1 + W57*$AO$1</f>
        <v>3.5925599999999998</v>
      </c>
      <c r="AP57" s="126">
        <f>X57*$AP$1+Y57*$AQ$1+Z57*$AR$1</f>
        <v>3.3693500000000003</v>
      </c>
      <c r="AQ57" s="126">
        <f>AA57*$AP$1+AB57*$AQ$1+AC57*$AR$1</f>
        <v>3.1234999999999999</v>
      </c>
      <c r="AR57" s="126">
        <f>AD57*$AS$1+AE57*$AT$1+AF57*$AU$1</f>
        <v>2.7205800000000004</v>
      </c>
      <c r="AS57" s="126"/>
      <c r="AT57" s="127"/>
      <c r="AU57" s="127"/>
    </row>
    <row r="58" spans="1:47" s="128" customFormat="1" ht="12">
      <c r="A58" s="116" t="s">
        <v>282</v>
      </c>
      <c r="B58" s="117" t="s">
        <v>283</v>
      </c>
      <c r="C58" s="118" t="s">
        <v>274</v>
      </c>
      <c r="D58" s="118" t="s">
        <v>34</v>
      </c>
      <c r="E58" s="116" t="s">
        <v>35</v>
      </c>
      <c r="F58" s="116"/>
      <c r="G58" s="116" t="s">
        <v>248</v>
      </c>
      <c r="H58" s="116" t="s">
        <v>275</v>
      </c>
      <c r="I58" s="116"/>
      <c r="J58" s="116">
        <v>0</v>
      </c>
      <c r="K58" s="116">
        <v>1000</v>
      </c>
      <c r="L58" s="116" t="s">
        <v>38</v>
      </c>
      <c r="M58" s="116" t="s">
        <v>284</v>
      </c>
      <c r="N58" s="116" t="s">
        <v>276</v>
      </c>
      <c r="O58" s="116" t="s">
        <v>281</v>
      </c>
      <c r="P58" s="116">
        <v>0</v>
      </c>
      <c r="Q58" s="119" t="s">
        <v>278</v>
      </c>
      <c r="R58" s="120">
        <f>10.6/(10.6 + 85.2+3.2+0.1)*100</f>
        <v>10.696266397578205</v>
      </c>
      <c r="S58" s="120">
        <f>100 - R58 - U58 - T58</f>
        <v>85.973763874873868</v>
      </c>
      <c r="T58" s="120">
        <f>3.2/(10.6 + 85.2+3.2+0.1)*100</f>
        <v>3.2290615539858729</v>
      </c>
      <c r="U58" s="121">
        <f>0.1/(10.6 + 85.2+3.2+0.1)*100</f>
        <v>0.10090817356205853</v>
      </c>
      <c r="V58" s="120">
        <v>28.8</v>
      </c>
      <c r="W58" s="121">
        <f>100 - $V58</f>
        <v>71.2</v>
      </c>
      <c r="X58" s="122">
        <v>23.3</v>
      </c>
      <c r="Y58" s="122">
        <f>100 - $X58 - $Z58</f>
        <v>74.900000000000006</v>
      </c>
      <c r="Z58" s="123">
        <v>1.8</v>
      </c>
      <c r="AA58" s="122">
        <v>9</v>
      </c>
      <c r="AB58" s="122">
        <f>100 - $AA58 - $AC58</f>
        <v>43</v>
      </c>
      <c r="AC58" s="123">
        <v>48</v>
      </c>
      <c r="AD58" s="122">
        <v>91.6</v>
      </c>
      <c r="AE58" s="122">
        <f>100 - $AD58 - $AF58</f>
        <v>8.100000000000005</v>
      </c>
      <c r="AF58" s="123">
        <v>0.3</v>
      </c>
      <c r="AG58" s="116" t="s">
        <v>43</v>
      </c>
      <c r="AH58" s="129" t="s">
        <v>263</v>
      </c>
      <c r="AI58" s="125" t="s">
        <v>264</v>
      </c>
      <c r="AJ58" s="130"/>
      <c r="AK58" s="116"/>
      <c r="AL58" s="116"/>
      <c r="AM58" s="116"/>
      <c r="AN58" s="126" t="s">
        <v>63</v>
      </c>
      <c r="AO58" s="126">
        <f>V58*$AN$1 + W58*$AO$1</f>
        <v>3.5925599999999998</v>
      </c>
      <c r="AP58" s="126">
        <f>X58*$AP$1+Y58*$AQ$1+Z58*$AR$1</f>
        <v>3.3693500000000003</v>
      </c>
      <c r="AQ58" s="126">
        <f>AA58*$AP$1+AB58*$AQ$1+AC58*$AR$1</f>
        <v>3.1234999999999999</v>
      </c>
      <c r="AR58" s="126">
        <f>AD58*$AS$1+AE58*$AT$1+AF58*$AU$1</f>
        <v>2.7205800000000004</v>
      </c>
      <c r="AS58" s="126"/>
      <c r="AT58" s="127"/>
      <c r="AU58" s="127"/>
    </row>
    <row r="59" spans="1:47" s="128" customFormat="1" ht="12">
      <c r="A59" s="116" t="s">
        <v>285</v>
      </c>
      <c r="B59" s="118" t="s">
        <v>286</v>
      </c>
      <c r="C59" s="118" t="s">
        <v>274</v>
      </c>
      <c r="D59" s="118" t="s">
        <v>34</v>
      </c>
      <c r="E59" s="116" t="s">
        <v>35</v>
      </c>
      <c r="F59" s="116"/>
      <c r="G59" s="116" t="s">
        <v>248</v>
      </c>
      <c r="H59" s="116" t="s">
        <v>275</v>
      </c>
      <c r="I59" s="116"/>
      <c r="J59" s="116">
        <v>0</v>
      </c>
      <c r="K59" s="116">
        <v>0</v>
      </c>
      <c r="L59" s="116"/>
      <c r="M59" s="116" t="s">
        <v>155</v>
      </c>
      <c r="N59" s="116" t="s">
        <v>287</v>
      </c>
      <c r="O59" s="116" t="s">
        <v>277</v>
      </c>
      <c r="P59" s="116">
        <v>0</v>
      </c>
      <c r="Q59" s="119" t="s">
        <v>278</v>
      </c>
      <c r="R59" s="120">
        <f>91/(91 + 5+0.7+0)*100</f>
        <v>94.105480868665964</v>
      </c>
      <c r="S59" s="120">
        <f>100 - R59 - U59 - T59</f>
        <v>5.1706308169596822</v>
      </c>
      <c r="T59" s="120">
        <f>0.7/(91 + 5+0.7+0)*100</f>
        <v>0.72388831437435364</v>
      </c>
      <c r="U59" s="121">
        <f>0/(91 + 5+0.7+0)*100</f>
        <v>0</v>
      </c>
      <c r="V59" s="120">
        <v>26.3</v>
      </c>
      <c r="W59" s="121">
        <f>100 - $V59</f>
        <v>73.7</v>
      </c>
      <c r="X59" s="122">
        <v>22.1</v>
      </c>
      <c r="Y59" s="122">
        <f>100 - $X59 - $Z59</f>
        <v>74.7</v>
      </c>
      <c r="Z59" s="123">
        <v>3.2</v>
      </c>
      <c r="AA59" s="122">
        <v>9.1999999999999993</v>
      </c>
      <c r="AB59" s="122">
        <f>100 - $AA59 - $AC59</f>
        <v>47.4</v>
      </c>
      <c r="AC59" s="123">
        <v>43.4</v>
      </c>
      <c r="AD59" s="122">
        <v>0</v>
      </c>
      <c r="AE59" s="122">
        <v>0</v>
      </c>
      <c r="AF59" s="123">
        <v>0</v>
      </c>
      <c r="AG59" s="116" t="s">
        <v>43</v>
      </c>
      <c r="AH59" s="124" t="s">
        <v>263</v>
      </c>
      <c r="AI59" s="130"/>
      <c r="AJ59" s="130"/>
      <c r="AK59" s="116"/>
      <c r="AL59" s="116"/>
      <c r="AM59" s="116"/>
      <c r="AN59" s="126" t="s">
        <v>63</v>
      </c>
      <c r="AO59" s="126">
        <f>V59*$AN$1 + W59*$AO$1</f>
        <v>3.5645600000000002</v>
      </c>
      <c r="AP59" s="126">
        <f>X59*$AP$1+Y59*$AQ$1+Z59*$AR$1</f>
        <v>3.35615</v>
      </c>
      <c r="AQ59" s="126">
        <f>AA59*$AP$1+AB59*$AQ$1+AC59*$AR$1</f>
        <v>3.1387999999999998</v>
      </c>
      <c r="AR59" s="126">
        <v>1</v>
      </c>
      <c r="AS59" s="126"/>
      <c r="AT59" s="127"/>
      <c r="AU59" s="127"/>
    </row>
    <row r="60" spans="1:47" s="128" customFormat="1" ht="12">
      <c r="A60" s="116" t="s">
        <v>288</v>
      </c>
      <c r="B60" s="117" t="s">
        <v>289</v>
      </c>
      <c r="C60" s="118" t="s">
        <v>274</v>
      </c>
      <c r="D60" s="118" t="s">
        <v>34</v>
      </c>
      <c r="E60" s="116" t="s">
        <v>268</v>
      </c>
      <c r="F60" s="116"/>
      <c r="G60" s="116" t="s">
        <v>248</v>
      </c>
      <c r="H60" s="116" t="s">
        <v>275</v>
      </c>
      <c r="I60" s="116"/>
      <c r="J60" s="116">
        <v>0</v>
      </c>
      <c r="K60" s="116">
        <v>45</v>
      </c>
      <c r="L60" s="116" t="s">
        <v>38</v>
      </c>
      <c r="M60" s="116" t="s">
        <v>39</v>
      </c>
      <c r="N60" s="116" t="s">
        <v>287</v>
      </c>
      <c r="O60" s="116" t="s">
        <v>281</v>
      </c>
      <c r="P60" s="116">
        <v>0</v>
      </c>
      <c r="Q60" s="119" t="s">
        <v>278</v>
      </c>
      <c r="R60" s="120">
        <f>91/(91 + 5+0.7+0)*100</f>
        <v>94.105480868665964</v>
      </c>
      <c r="S60" s="120">
        <f>100 - R60 - U60 - T60</f>
        <v>5.1706308169596822</v>
      </c>
      <c r="T60" s="120">
        <f>0.7/(91 + 5+0.7+0)*100</f>
        <v>0.72388831437435364</v>
      </c>
      <c r="U60" s="121">
        <f>0/(91 + 5+0.7+0)*100</f>
        <v>0</v>
      </c>
      <c r="V60" s="120">
        <v>26.3</v>
      </c>
      <c r="W60" s="121">
        <f>100 - $V60</f>
        <v>73.7</v>
      </c>
      <c r="X60" s="122">
        <v>22.1</v>
      </c>
      <c r="Y60" s="122">
        <f>100 - $X60 - $Z60</f>
        <v>74.7</v>
      </c>
      <c r="Z60" s="123">
        <v>3.2</v>
      </c>
      <c r="AA60" s="122">
        <v>9.1999999999999993</v>
      </c>
      <c r="AB60" s="122">
        <f>100 - $AA60 - $AC60</f>
        <v>47.4</v>
      </c>
      <c r="AC60" s="123">
        <v>43.4</v>
      </c>
      <c r="AD60" s="122">
        <v>0</v>
      </c>
      <c r="AE60" s="122">
        <v>0</v>
      </c>
      <c r="AF60" s="123">
        <v>0</v>
      </c>
      <c r="AG60" s="116" t="s">
        <v>43</v>
      </c>
      <c r="AH60" s="124" t="s">
        <v>263</v>
      </c>
      <c r="AI60" s="130"/>
      <c r="AJ60" s="130"/>
      <c r="AK60" s="116"/>
      <c r="AL60" s="116"/>
      <c r="AM60" s="116"/>
      <c r="AN60" s="126" t="s">
        <v>63</v>
      </c>
      <c r="AO60" s="126">
        <f>V60*$AN$1 + W60*$AO$1</f>
        <v>3.5645600000000002</v>
      </c>
      <c r="AP60" s="126">
        <f>X60*$AP$1+Y60*$AQ$1+Z60*$AR$1</f>
        <v>3.35615</v>
      </c>
      <c r="AQ60" s="126">
        <f>AA60*$AP$1+AB60*$AQ$1+AC60*$AR$1</f>
        <v>3.1387999999999998</v>
      </c>
      <c r="AR60" s="126">
        <v>1</v>
      </c>
      <c r="AS60" s="126"/>
      <c r="AT60" s="127"/>
      <c r="AU60" s="127"/>
    </row>
    <row r="61" spans="1:47" s="128" customFormat="1" ht="12">
      <c r="A61" s="116" t="s">
        <v>290</v>
      </c>
      <c r="B61" s="117" t="s">
        <v>291</v>
      </c>
      <c r="C61" s="118" t="s">
        <v>274</v>
      </c>
      <c r="D61" s="118" t="s">
        <v>34</v>
      </c>
      <c r="E61" s="116" t="s">
        <v>35</v>
      </c>
      <c r="F61" s="116"/>
      <c r="G61" s="116" t="s">
        <v>248</v>
      </c>
      <c r="H61" s="116" t="s">
        <v>275</v>
      </c>
      <c r="I61" s="116"/>
      <c r="J61" s="116">
        <v>0</v>
      </c>
      <c r="K61" s="116">
        <v>1000</v>
      </c>
      <c r="L61" s="116" t="s">
        <v>38</v>
      </c>
      <c r="M61" s="116" t="s">
        <v>284</v>
      </c>
      <c r="N61" s="116" t="s">
        <v>287</v>
      </c>
      <c r="O61" s="116" t="s">
        <v>281</v>
      </c>
      <c r="P61" s="116">
        <v>0</v>
      </c>
      <c r="Q61" s="119" t="s">
        <v>278</v>
      </c>
      <c r="R61" s="120">
        <f>91/(91 + 5+0.7+0)*100</f>
        <v>94.105480868665964</v>
      </c>
      <c r="S61" s="120">
        <f>100 - R61 - U61 - T61</f>
        <v>5.1706308169596822</v>
      </c>
      <c r="T61" s="120">
        <f>0.7/(91 + 5+0.7+0)*100</f>
        <v>0.72388831437435364</v>
      </c>
      <c r="U61" s="121">
        <f>0/(91 + 5+0.7+0)*100</f>
        <v>0</v>
      </c>
      <c r="V61" s="120">
        <v>26.3</v>
      </c>
      <c r="W61" s="121">
        <f>100 - $V61</f>
        <v>73.7</v>
      </c>
      <c r="X61" s="122">
        <v>22.1</v>
      </c>
      <c r="Y61" s="122">
        <f>100 - $X61 - $Z61</f>
        <v>74.7</v>
      </c>
      <c r="Z61" s="123">
        <v>3.2</v>
      </c>
      <c r="AA61" s="122">
        <v>9.1999999999999993</v>
      </c>
      <c r="AB61" s="122">
        <f>100 - $AA61 - $AC61</f>
        <v>47.4</v>
      </c>
      <c r="AC61" s="123">
        <v>43.4</v>
      </c>
      <c r="AD61" s="122">
        <v>0</v>
      </c>
      <c r="AE61" s="122">
        <v>0</v>
      </c>
      <c r="AF61" s="123">
        <v>0</v>
      </c>
      <c r="AG61" s="116" t="s">
        <v>43</v>
      </c>
      <c r="AH61" s="124" t="s">
        <v>263</v>
      </c>
      <c r="AI61" s="130"/>
      <c r="AJ61" s="130"/>
      <c r="AK61" s="116"/>
      <c r="AL61" s="116"/>
      <c r="AM61" s="116"/>
      <c r="AN61" s="126" t="s">
        <v>63</v>
      </c>
      <c r="AO61" s="126">
        <f>V61*$AN$1 + W61*$AO$1</f>
        <v>3.5645600000000002</v>
      </c>
      <c r="AP61" s="126">
        <f>X61*$AP$1+Y61*$AQ$1+Z61*$AR$1</f>
        <v>3.35615</v>
      </c>
      <c r="AQ61" s="126">
        <f>AA61*$AP$1+AB61*$AQ$1+AC61*$AR$1</f>
        <v>3.1387999999999998</v>
      </c>
      <c r="AR61" s="126">
        <v>1</v>
      </c>
      <c r="AS61" s="126"/>
      <c r="AT61" s="127"/>
      <c r="AU61" s="127"/>
    </row>
    <row r="62" spans="1:47" s="141" customFormat="1" ht="12">
      <c r="A62" s="131" t="s">
        <v>292</v>
      </c>
      <c r="B62" s="132" t="s">
        <v>293</v>
      </c>
      <c r="C62" s="133" t="s">
        <v>154</v>
      </c>
      <c r="D62" s="133" t="s">
        <v>34</v>
      </c>
      <c r="E62" s="131" t="s">
        <v>35</v>
      </c>
      <c r="F62" s="131"/>
      <c r="G62" s="131" t="s">
        <v>248</v>
      </c>
      <c r="H62" s="131" t="s">
        <v>249</v>
      </c>
      <c r="I62" s="131"/>
      <c r="J62" s="131">
        <v>0</v>
      </c>
      <c r="K62" s="131">
        <v>0</v>
      </c>
      <c r="L62" s="131"/>
      <c r="M62" s="131" t="s">
        <v>250</v>
      </c>
      <c r="N62" s="131" t="s">
        <v>256</v>
      </c>
      <c r="O62" s="131" t="s">
        <v>257</v>
      </c>
      <c r="P62" s="131">
        <v>0</v>
      </c>
      <c r="Q62" s="131"/>
      <c r="R62" s="134">
        <f>57.4/(57.4+32+0.2+0.2)*100</f>
        <v>63.919821826280611</v>
      </c>
      <c r="S62" s="134">
        <f>100 - R62 - U62 - T62</f>
        <v>35.634743875278403</v>
      </c>
      <c r="T62" s="134">
        <f>0.2/(57.4+32+0.2+0.2)*100</f>
        <v>0.22271714922048996</v>
      </c>
      <c r="U62" s="134">
        <f>0.2/(57.4+32+0.2+0.2)*100</f>
        <v>0.22271714922048996</v>
      </c>
      <c r="V62" s="134">
        <f>11/$AI$1/(11/$AI$1+48/$AJ$1)*100</f>
        <v>11.391582833486133</v>
      </c>
      <c r="W62" s="135">
        <f>100 - $V62</f>
        <v>88.608417166513874</v>
      </c>
      <c r="X62" s="136">
        <v>12.1</v>
      </c>
      <c r="Y62" s="136">
        <f>100 - $X62 - $Z62</f>
        <v>85.320000000000007</v>
      </c>
      <c r="Z62" s="136">
        <v>2.58</v>
      </c>
      <c r="AA62" s="136">
        <v>5.25</v>
      </c>
      <c r="AB62" s="136">
        <f>100 - $AA62 - $AC62</f>
        <v>50.95</v>
      </c>
      <c r="AC62" s="136">
        <v>43.8</v>
      </c>
      <c r="AD62" s="136" t="s">
        <v>133</v>
      </c>
      <c r="AE62" s="136" t="e">
        <f>100 - $AD62 - $AF62</f>
        <v>#VALUE!</v>
      </c>
      <c r="AF62" s="136" t="s">
        <v>133</v>
      </c>
      <c r="AG62" s="131" t="s">
        <v>43</v>
      </c>
      <c r="AH62" s="137" t="s">
        <v>253</v>
      </c>
      <c r="AI62" s="138"/>
      <c r="AJ62" s="138"/>
      <c r="AK62" s="131"/>
      <c r="AL62" s="131"/>
      <c r="AM62" s="131"/>
      <c r="AN62" s="139" t="s">
        <v>63</v>
      </c>
      <c r="AO62" s="139">
        <f>V62*$AN$1 + W62*$AO$1</f>
        <v>3.397585727735045</v>
      </c>
      <c r="AP62" s="139">
        <f>X62*$AP$1+Y62*$AQ$1+Z62*$AR$1</f>
        <v>3.28301</v>
      </c>
      <c r="AQ62" s="139">
        <f>AA62*$AP$1+AB62*$AQ$1+AC62*$AR$1</f>
        <v>3.1079749999999997</v>
      </c>
      <c r="AR62" s="139">
        <f>20*$AS$1+78*$AT$1+2*$AU$1</f>
        <v>2.6408</v>
      </c>
      <c r="AS62" s="139"/>
      <c r="AT62" s="140"/>
      <c r="AU62" s="140"/>
    </row>
    <row r="63" spans="1:47" s="141" customFormat="1" ht="12">
      <c r="A63" s="131" t="s">
        <v>294</v>
      </c>
      <c r="B63" s="132" t="s">
        <v>295</v>
      </c>
      <c r="C63" s="133" t="s">
        <v>154</v>
      </c>
      <c r="D63" s="133" t="s">
        <v>34</v>
      </c>
      <c r="E63" s="131" t="s">
        <v>35</v>
      </c>
      <c r="F63" s="131"/>
      <c r="G63" s="131" t="s">
        <v>248</v>
      </c>
      <c r="H63" s="131" t="s">
        <v>296</v>
      </c>
      <c r="I63" s="131"/>
      <c r="J63" s="131">
        <v>0</v>
      </c>
      <c r="K63" s="131">
        <v>0</v>
      </c>
      <c r="L63" s="131"/>
      <c r="M63" s="131" t="s">
        <v>155</v>
      </c>
      <c r="N63" s="131" t="s">
        <v>297</v>
      </c>
      <c r="O63" s="131" t="s">
        <v>298</v>
      </c>
      <c r="P63" s="131">
        <v>0</v>
      </c>
      <c r="Q63" s="131" t="s">
        <v>299</v>
      </c>
      <c r="R63" s="134">
        <f>79.5/(79.5+0+7.5+10.5)*100</f>
        <v>81.538461538461533</v>
      </c>
      <c r="S63" s="134">
        <f>100 - R63 - U63 - T63</f>
        <v>0</v>
      </c>
      <c r="T63" s="134">
        <f>7.5/(79.5+0+7.5+10.5)*100</f>
        <v>7.6923076923076925</v>
      </c>
      <c r="U63" s="134">
        <f>10.5/(79.5+0+7.5+10.5)*100</f>
        <v>10.76923076923077</v>
      </c>
      <c r="V63" s="136">
        <f>27.7/$AI$1/(27.7/$AI$1 + 34.2/$AJ$1)*100</f>
        <v>31.241788129774466</v>
      </c>
      <c r="W63" s="135">
        <f>100 - $V63</f>
        <v>68.758211870225537</v>
      </c>
      <c r="X63" s="136">
        <v>0</v>
      </c>
      <c r="Y63" s="136">
        <v>0</v>
      </c>
      <c r="Z63" s="136">
        <v>0</v>
      </c>
      <c r="AA63" s="136">
        <f>8.25/$AI$1/(8.25/$AI$1 + 16.1/$AJ$1 + 18.55/$AK$1)*100</f>
        <v>13.588170644800407</v>
      </c>
      <c r="AB63" s="136">
        <f>100 - $AA63 - $AC63</f>
        <v>47.268875822720503</v>
      </c>
      <c r="AC63" s="136">
        <f>18.55/$AK$1/(8.25/$AI$1 + 16.1/$AJ$1 + 18.55/$AK$1)*100</f>
        <v>39.142953532479083</v>
      </c>
      <c r="AD63" s="136" t="s">
        <v>133</v>
      </c>
      <c r="AE63" s="136" t="e">
        <f>100 - $AD63 - $AF63</f>
        <v>#VALUE!</v>
      </c>
      <c r="AF63" s="136" t="s">
        <v>133</v>
      </c>
      <c r="AG63" s="131" t="s">
        <v>300</v>
      </c>
      <c r="AH63" s="137" t="s">
        <v>301</v>
      </c>
      <c r="AI63" s="138"/>
      <c r="AJ63" s="138"/>
      <c r="AK63" s="131"/>
      <c r="AL63" s="131"/>
      <c r="AM63" s="131"/>
      <c r="AN63" s="139" t="s">
        <v>63</v>
      </c>
      <c r="AO63" s="139">
        <f>V63*$AN$1 + W63*$AO$1</f>
        <v>3.6199080270534738</v>
      </c>
      <c r="AP63" s="139">
        <v>1</v>
      </c>
      <c r="AQ63" s="139">
        <f>AA63*$AP$1+AB63*$AQ$1+AC63*$AR$1</f>
        <v>3.1844824192385657</v>
      </c>
      <c r="AR63" s="139">
        <f>20*$AS$1+78*$AT$1+2*$AU$1</f>
        <v>2.6408</v>
      </c>
      <c r="AS63" s="139"/>
      <c r="AT63" s="140"/>
      <c r="AU63" s="140"/>
    </row>
    <row r="64" spans="1:47" s="141" customFormat="1" ht="12">
      <c r="A64" s="131" t="s">
        <v>302</v>
      </c>
      <c r="B64" s="132" t="s">
        <v>303</v>
      </c>
      <c r="C64" s="133" t="s">
        <v>154</v>
      </c>
      <c r="D64" s="133" t="s">
        <v>34</v>
      </c>
      <c r="E64" s="131" t="s">
        <v>35</v>
      </c>
      <c r="F64" s="131"/>
      <c r="G64" s="131" t="s">
        <v>248</v>
      </c>
      <c r="H64" s="131" t="s">
        <v>296</v>
      </c>
      <c r="I64" s="131"/>
      <c r="J64" s="131">
        <v>0</v>
      </c>
      <c r="K64" s="131">
        <v>45</v>
      </c>
      <c r="L64" s="131" t="s">
        <v>304</v>
      </c>
      <c r="M64" s="131" t="s">
        <v>305</v>
      </c>
      <c r="N64" s="131" t="s">
        <v>297</v>
      </c>
      <c r="O64" s="131" t="s">
        <v>298</v>
      </c>
      <c r="P64" s="131">
        <v>0</v>
      </c>
      <c r="Q64" s="131" t="s">
        <v>306</v>
      </c>
      <c r="R64" s="134">
        <f>79.5/(79.5+0+7.5+10.5)*100</f>
        <v>81.538461538461533</v>
      </c>
      <c r="S64" s="134">
        <f>100 - R64 - U64 - T64</f>
        <v>0</v>
      </c>
      <c r="T64" s="134">
        <f>7.5/(79.5+0+7.5+10.5)*100</f>
        <v>7.6923076923076925</v>
      </c>
      <c r="U64" s="134">
        <f>10.5/(79.5+0+7.5+10.5)*100</f>
        <v>10.76923076923077</v>
      </c>
      <c r="V64" s="136">
        <f>27.7/$AI$1/(27.7/$AI$1 + 34.2/$AJ$1)*100</f>
        <v>31.241788129774466</v>
      </c>
      <c r="W64" s="135">
        <f>100 - $V64</f>
        <v>68.758211870225537</v>
      </c>
      <c r="X64" s="136">
        <v>0</v>
      </c>
      <c r="Y64" s="136">
        <v>0</v>
      </c>
      <c r="Z64" s="136">
        <v>0</v>
      </c>
      <c r="AA64" s="136">
        <f>8.25/$AI$1/(8.25/$AI$1 + 16.1/$AJ$1 + 18.55/$AK$1)*100</f>
        <v>13.588170644800407</v>
      </c>
      <c r="AB64" s="136">
        <f>100 - $AA64 - $AC64</f>
        <v>47.268875822720503</v>
      </c>
      <c r="AC64" s="136">
        <f>18.55/$AK$1/(8.25/$AI$1 + 16.1/$AJ$1 + 18.55/$AK$1)*100</f>
        <v>39.142953532479083</v>
      </c>
      <c r="AD64" s="136" t="s">
        <v>133</v>
      </c>
      <c r="AE64" s="136" t="e">
        <f>100 - $AD64 - $AF64</f>
        <v>#VALUE!</v>
      </c>
      <c r="AF64" s="136" t="s">
        <v>133</v>
      </c>
      <c r="AG64" s="131" t="s">
        <v>307</v>
      </c>
      <c r="AH64" s="137" t="s">
        <v>301</v>
      </c>
      <c r="AI64" s="138"/>
      <c r="AJ64" s="138"/>
      <c r="AK64" s="131"/>
      <c r="AL64" s="131"/>
      <c r="AM64" s="131"/>
      <c r="AN64" s="139" t="s">
        <v>63</v>
      </c>
      <c r="AO64" s="139">
        <f>V64*$AN$1 + W64*$AO$1</f>
        <v>3.6199080270534738</v>
      </c>
      <c r="AP64" s="139">
        <v>1</v>
      </c>
      <c r="AQ64" s="139">
        <f>AA64*$AP$1+AB64*$AQ$1+AC64*$AR$1</f>
        <v>3.1844824192385657</v>
      </c>
      <c r="AR64" s="139">
        <f>20*$AS$1+78*$AT$1+2*$AU$1</f>
        <v>2.6408</v>
      </c>
      <c r="AS64" s="139"/>
      <c r="AT64" s="140"/>
      <c r="AU64" s="140"/>
    </row>
    <row r="65" spans="1:47" s="142" customFormat="1" ht="12">
      <c r="A65" s="142" t="s">
        <v>308</v>
      </c>
      <c r="B65" s="142" t="s">
        <v>309</v>
      </c>
      <c r="C65" s="142" t="s">
        <v>79</v>
      </c>
      <c r="D65" s="142" t="s">
        <v>310</v>
      </c>
      <c r="E65" s="142" t="s">
        <v>311</v>
      </c>
      <c r="G65" s="142" t="s">
        <v>312</v>
      </c>
      <c r="H65" s="142" t="s">
        <v>313</v>
      </c>
      <c r="J65" s="142">
        <v>0</v>
      </c>
      <c r="K65" s="142">
        <v>38</v>
      </c>
      <c r="L65" s="142" t="s">
        <v>38</v>
      </c>
      <c r="M65" s="142" t="s">
        <v>39</v>
      </c>
      <c r="O65" s="142" t="s">
        <v>314</v>
      </c>
      <c r="P65" s="142">
        <v>0</v>
      </c>
      <c r="Q65" s="143" t="s">
        <v>315</v>
      </c>
      <c r="R65" s="144">
        <f>0/(0 + 85 + 15)</f>
        <v>0</v>
      </c>
      <c r="S65" s="144">
        <f>100 - R65 - U65 - T65</f>
        <v>84.18578044655969</v>
      </c>
      <c r="T65" s="144">
        <f>15/AQ65/(85/$AP65+15/$AQ65)*100</f>
        <v>15.814219553440315</v>
      </c>
      <c r="U65" s="145">
        <v>0</v>
      </c>
      <c r="V65" s="144">
        <v>0</v>
      </c>
      <c r="W65" s="145">
        <v>0</v>
      </c>
      <c r="X65" s="144">
        <v>23.443999999999999</v>
      </c>
      <c r="Y65" s="146">
        <f>100 - $X65 - $Z65</f>
        <v>73.555999999999997</v>
      </c>
      <c r="Z65" s="145">
        <v>3</v>
      </c>
      <c r="AA65" s="144">
        <v>9.7080000000000002</v>
      </c>
      <c r="AB65" s="146">
        <f>100 - $AA65 - $AC65</f>
        <v>53.652999999999999</v>
      </c>
      <c r="AC65" s="145">
        <v>36.639000000000003</v>
      </c>
      <c r="AD65" s="144">
        <v>0</v>
      </c>
      <c r="AE65" s="146">
        <v>0</v>
      </c>
      <c r="AF65" s="145">
        <v>0</v>
      </c>
      <c r="AG65" s="142" t="s">
        <v>43</v>
      </c>
      <c r="AN65" s="147" t="s">
        <v>47</v>
      </c>
      <c r="AO65" s="147">
        <v>1</v>
      </c>
      <c r="AP65" s="147">
        <f>X65*$AP$1+Y65*$AQ$1+Z65*$AR$1</f>
        <v>3.3668299999999998</v>
      </c>
      <c r="AQ65" s="147">
        <f>AA65*$AP$1+AB65*$AQ$1+AC65*$AR$1</f>
        <v>3.1628930000000004</v>
      </c>
      <c r="AR65" s="147">
        <v>1</v>
      </c>
      <c r="AS65" s="147"/>
      <c r="AT65" s="147"/>
      <c r="AU65" s="147"/>
    </row>
    <row r="66" spans="1:47" s="142" customFormat="1" ht="12">
      <c r="A66" s="142" t="s">
        <v>316</v>
      </c>
      <c r="B66" s="142" t="s">
        <v>317</v>
      </c>
      <c r="C66" s="142" t="s">
        <v>79</v>
      </c>
      <c r="D66" s="142" t="s">
        <v>310</v>
      </c>
      <c r="E66" s="142" t="s">
        <v>311</v>
      </c>
      <c r="G66" s="142" t="s">
        <v>312</v>
      </c>
      <c r="H66" s="142" t="s">
        <v>313</v>
      </c>
      <c r="J66" s="142">
        <v>0</v>
      </c>
      <c r="K66" s="142">
        <v>38</v>
      </c>
      <c r="L66" s="142" t="s">
        <v>38</v>
      </c>
      <c r="M66" s="142" t="s">
        <v>39</v>
      </c>
      <c r="O66" s="142" t="s">
        <v>314</v>
      </c>
      <c r="P66" s="142">
        <v>0</v>
      </c>
      <c r="Q66" s="143" t="s">
        <v>315</v>
      </c>
      <c r="R66" s="144">
        <f>0/(0 + 50 + 50)*100</f>
        <v>0</v>
      </c>
      <c r="S66" s="144">
        <f>100 - R66 - U66 - T66</f>
        <v>48.438394706789254</v>
      </c>
      <c r="T66" s="144">
        <f>50/AQ66/(50/$AP66+50/$AQ66)*100</f>
        <v>51.561605293210746</v>
      </c>
      <c r="U66" s="145">
        <v>0</v>
      </c>
      <c r="V66" s="144">
        <v>0</v>
      </c>
      <c r="W66" s="145">
        <v>0</v>
      </c>
      <c r="X66" s="144">
        <v>23.443999999999999</v>
      </c>
      <c r="Y66" s="146">
        <f>100 - $X66 - $Z66</f>
        <v>73.555999999999997</v>
      </c>
      <c r="Z66" s="145">
        <v>3</v>
      </c>
      <c r="AA66" s="144">
        <v>9.7080000000000002</v>
      </c>
      <c r="AB66" s="146">
        <f>100 - $AA66 - $AC66</f>
        <v>53.652999999999999</v>
      </c>
      <c r="AC66" s="145">
        <v>36.639000000000003</v>
      </c>
      <c r="AD66" s="144">
        <v>0</v>
      </c>
      <c r="AE66" s="146">
        <v>0</v>
      </c>
      <c r="AF66" s="145">
        <v>0</v>
      </c>
      <c r="AG66" s="142" t="s">
        <v>43</v>
      </c>
      <c r="AN66" s="147" t="s">
        <v>47</v>
      </c>
      <c r="AO66" s="147">
        <v>1</v>
      </c>
      <c r="AP66" s="147">
        <f>X66*$AP$1+Y66*$AQ$1+Z66*$AR$1</f>
        <v>3.3668299999999998</v>
      </c>
      <c r="AQ66" s="147">
        <f>AA66*$AP$1+AB66*$AQ$1+AC66*$AR$1</f>
        <v>3.1628930000000004</v>
      </c>
      <c r="AR66" s="147">
        <v>1</v>
      </c>
      <c r="AS66" s="147"/>
      <c r="AT66" s="147"/>
      <c r="AU66" s="147"/>
    </row>
    <row r="67" spans="1:47" s="142" customFormat="1" ht="12">
      <c r="A67" s="142" t="s">
        <v>318</v>
      </c>
      <c r="B67" s="142" t="s">
        <v>319</v>
      </c>
      <c r="C67" s="142" t="s">
        <v>79</v>
      </c>
      <c r="D67" s="142" t="s">
        <v>310</v>
      </c>
      <c r="E67" s="142" t="s">
        <v>311</v>
      </c>
      <c r="G67" s="142" t="s">
        <v>312</v>
      </c>
      <c r="H67" s="142" t="s">
        <v>320</v>
      </c>
      <c r="J67" s="142">
        <v>0</v>
      </c>
      <c r="K67" s="142">
        <v>38</v>
      </c>
      <c r="L67" s="142" t="s">
        <v>38</v>
      </c>
      <c r="M67" s="142" t="s">
        <v>39</v>
      </c>
      <c r="O67" s="142" t="s">
        <v>314</v>
      </c>
      <c r="P67" s="142">
        <v>0</v>
      </c>
      <c r="Q67" s="143" t="s">
        <v>315</v>
      </c>
      <c r="R67" s="144">
        <f>70/AO67/(70/$AO67 + 30/$AP67)*100</f>
        <v>69.920838221373742</v>
      </c>
      <c r="S67" s="144">
        <f>100 - R67 - U67 - T67</f>
        <v>30.079161778626258</v>
      </c>
      <c r="T67" s="144">
        <v>0</v>
      </c>
      <c r="U67" s="145">
        <v>0</v>
      </c>
      <c r="V67" s="144">
        <v>9.7799999999999994</v>
      </c>
      <c r="W67" s="145">
        <f>100 - $V67</f>
        <v>90.22</v>
      </c>
      <c r="X67" s="144">
        <v>23.443999999999999</v>
      </c>
      <c r="Y67" s="146">
        <f>100 - $X67 - $Z67</f>
        <v>73.555999999999997</v>
      </c>
      <c r="Z67" s="145">
        <v>3</v>
      </c>
      <c r="AA67" s="144">
        <v>0</v>
      </c>
      <c r="AB67" s="146">
        <v>0</v>
      </c>
      <c r="AC67" s="145">
        <v>0</v>
      </c>
      <c r="AD67" s="144">
        <v>0</v>
      </c>
      <c r="AE67" s="146">
        <v>0</v>
      </c>
      <c r="AF67" s="145">
        <v>0</v>
      </c>
      <c r="AG67" s="142" t="s">
        <v>43</v>
      </c>
      <c r="AN67" s="147" t="s">
        <v>47</v>
      </c>
      <c r="AO67" s="147">
        <f>V67*$AN$1 + W67*$AO$1</f>
        <v>3.3795359999999999</v>
      </c>
      <c r="AP67" s="147">
        <f>X67*$AP$1+Y67*$AQ$1+Z67*$AR$1</f>
        <v>3.3668299999999998</v>
      </c>
      <c r="AQ67" s="147">
        <f>AA67*$AP$1+AB67*$AQ$1+AC67*$AR$1</f>
        <v>0</v>
      </c>
      <c r="AR67" s="147">
        <v>1</v>
      </c>
      <c r="AS67" s="147"/>
      <c r="AT67" s="147"/>
      <c r="AU67" s="147"/>
    </row>
    <row r="68" spans="1:47" s="142" customFormat="1" ht="12">
      <c r="A68" s="142" t="s">
        <v>321</v>
      </c>
      <c r="B68" s="142" t="s">
        <v>322</v>
      </c>
      <c r="C68" s="142" t="s">
        <v>79</v>
      </c>
      <c r="D68" s="142" t="s">
        <v>310</v>
      </c>
      <c r="E68" s="142" t="s">
        <v>311</v>
      </c>
      <c r="G68" s="142" t="s">
        <v>312</v>
      </c>
      <c r="H68" s="142" t="s">
        <v>323</v>
      </c>
      <c r="J68" s="142">
        <v>0</v>
      </c>
      <c r="K68" s="142">
        <v>38</v>
      </c>
      <c r="L68" s="142" t="s">
        <v>38</v>
      </c>
      <c r="M68" s="142" t="s">
        <v>39</v>
      </c>
      <c r="O68" s="142" t="s">
        <v>314</v>
      </c>
      <c r="P68" s="142">
        <v>0</v>
      </c>
      <c r="Q68" s="143" t="s">
        <v>315</v>
      </c>
      <c r="R68" s="144">
        <f>40/AO68/(40/$AO68 + 51/$AP68 + 9/$AQ68)*100</f>
        <v>39.679026622542992</v>
      </c>
      <c r="S68" s="144">
        <f>100 - R68 - U68 - T68</f>
        <v>50.781682210773674</v>
      </c>
      <c r="T68" s="144">
        <f>9/AQ68/(40/$AO68 + 51/$AP68 + 9/$AQ68)*100</f>
        <v>9.5392911666833324</v>
      </c>
      <c r="U68" s="145">
        <v>0</v>
      </c>
      <c r="V68" s="144">
        <v>9.7799999999999994</v>
      </c>
      <c r="W68" s="145">
        <f>100 - $V68</f>
        <v>90.22</v>
      </c>
      <c r="X68" s="144">
        <v>23.443999999999999</v>
      </c>
      <c r="Y68" s="146">
        <f>100 - $X68 - $Z68</f>
        <v>73.555999999999997</v>
      </c>
      <c r="Z68" s="145">
        <v>3</v>
      </c>
      <c r="AA68" s="144">
        <v>9.7080000000000002</v>
      </c>
      <c r="AB68" s="146">
        <f>100 - $AA68 - $AC68</f>
        <v>53.652999999999999</v>
      </c>
      <c r="AC68" s="145">
        <v>36.639000000000003</v>
      </c>
      <c r="AD68" s="144">
        <v>0</v>
      </c>
      <c r="AE68" s="146">
        <v>0</v>
      </c>
      <c r="AF68" s="145">
        <v>0</v>
      </c>
      <c r="AG68" s="142" t="s">
        <v>43</v>
      </c>
      <c r="AN68" s="147" t="s">
        <v>47</v>
      </c>
      <c r="AO68" s="147">
        <f>V68*$AN$1 + W68*$AO$1</f>
        <v>3.3795359999999999</v>
      </c>
      <c r="AP68" s="147">
        <f>X68*$AP$1+Y68*$AQ$1+Z68*$AR$1</f>
        <v>3.3668299999999998</v>
      </c>
      <c r="AQ68" s="147">
        <f>AA68*$AP$1+AB68*$AQ$1+AC68*$AR$1</f>
        <v>3.1628930000000004</v>
      </c>
      <c r="AR68" s="147">
        <v>1</v>
      </c>
      <c r="AS68" s="147"/>
      <c r="AT68" s="147"/>
      <c r="AU68" s="147"/>
    </row>
    <row r="69" spans="1:47" s="142" customFormat="1" ht="12">
      <c r="A69" s="142" t="s">
        <v>324</v>
      </c>
      <c r="B69" s="142" t="s">
        <v>325</v>
      </c>
      <c r="C69" s="142" t="s">
        <v>79</v>
      </c>
      <c r="D69" s="142" t="s">
        <v>310</v>
      </c>
      <c r="E69" s="142" t="s">
        <v>311</v>
      </c>
      <c r="G69" s="142" t="s">
        <v>312</v>
      </c>
      <c r="H69" s="142" t="s">
        <v>326</v>
      </c>
      <c r="J69" s="142">
        <v>0</v>
      </c>
      <c r="K69" s="142">
        <v>38</v>
      </c>
      <c r="L69" s="142" t="s">
        <v>38</v>
      </c>
      <c r="M69" s="142" t="s">
        <v>39</v>
      </c>
      <c r="O69" s="142" t="s">
        <v>314</v>
      </c>
      <c r="P69" s="142">
        <v>0</v>
      </c>
      <c r="Q69" s="143" t="s">
        <v>315</v>
      </c>
      <c r="R69" s="144">
        <f>80/AO69/(80/$AO69 + 8.5/$AP69 + 1.5/$AQ69 + 10/$AR69)*100</f>
        <v>77.91240047242492</v>
      </c>
      <c r="S69" s="144">
        <f>100 - R69 - U69 - T69</f>
        <v>8.3094334250070148</v>
      </c>
      <c r="T69" s="144">
        <f>1.5/AQ69/(80/$AO69 + 8.5/$AP69 + 1.5/$AQ69 + 10/$AR69)*100</f>
        <v>1.5609192413577757</v>
      </c>
      <c r="U69" s="145">
        <f>10/AR69/(80/$AO69 + 8.5/$AP69 + 1.5/$AQ69 + 10/$AR69)*100</f>
        <v>12.21724686121029</v>
      </c>
      <c r="V69" s="144">
        <v>9.7799999999999994</v>
      </c>
      <c r="W69" s="145">
        <f>100 - $V69</f>
        <v>90.22</v>
      </c>
      <c r="X69" s="144">
        <v>23.443999999999999</v>
      </c>
      <c r="Y69" s="146">
        <f>100 - $X69 - $Z69</f>
        <v>73.555999999999997</v>
      </c>
      <c r="Z69" s="145">
        <v>3</v>
      </c>
      <c r="AA69" s="144">
        <v>9.7080000000000002</v>
      </c>
      <c r="AB69" s="146">
        <f>100 - $AA69 - $AC69</f>
        <v>53.652999999999999</v>
      </c>
      <c r="AC69" s="145">
        <v>36.639000000000003</v>
      </c>
      <c r="AD69" s="144">
        <v>67.869795999999994</v>
      </c>
      <c r="AE69" s="146">
        <f>100 - $AD69 - $AF69</f>
        <v>31.063849000000005</v>
      </c>
      <c r="AF69" s="145">
        <v>1.0663549999999999</v>
      </c>
      <c r="AG69" s="142" t="s">
        <v>43</v>
      </c>
      <c r="AN69" s="147" t="s">
        <v>47</v>
      </c>
      <c r="AO69" s="147">
        <f>V69*$AN$1 + W69*$AO$1</f>
        <v>3.3795359999999999</v>
      </c>
      <c r="AP69" s="147">
        <f>X69*$AP$1+Y69*$AQ$1+Z69*$AR$1</f>
        <v>3.3668299999999998</v>
      </c>
      <c r="AQ69" s="147">
        <f>AA69*$AP$1+AB69*$AQ$1+AC69*$AR$1</f>
        <v>3.1628930000000004</v>
      </c>
      <c r="AR69" s="147">
        <f>AD69*$AS$1+AE69*$AT$1+AF69*$AU$1</f>
        <v>2.6940169626000001</v>
      </c>
      <c r="AS69" s="147"/>
      <c r="AT69" s="147"/>
      <c r="AU69" s="147"/>
    </row>
    <row r="70" spans="1:47" s="142" customFormat="1" ht="12">
      <c r="A70" s="142" t="s">
        <v>327</v>
      </c>
      <c r="B70" s="142" t="s">
        <v>328</v>
      </c>
      <c r="C70" s="142" t="s">
        <v>79</v>
      </c>
      <c r="D70" s="142" t="s">
        <v>310</v>
      </c>
      <c r="E70" s="142" t="s">
        <v>311</v>
      </c>
      <c r="G70" s="142" t="s">
        <v>312</v>
      </c>
      <c r="H70" s="142" t="s">
        <v>320</v>
      </c>
      <c r="J70" s="142">
        <v>0</v>
      </c>
      <c r="K70" s="142">
        <v>38</v>
      </c>
      <c r="L70" s="142" t="s">
        <v>38</v>
      </c>
      <c r="M70" s="142" t="s">
        <v>39</v>
      </c>
      <c r="O70" s="142" t="s">
        <v>314</v>
      </c>
      <c r="P70" s="142">
        <v>0</v>
      </c>
      <c r="Q70" s="143" t="s">
        <v>315</v>
      </c>
      <c r="R70" s="145">
        <f>10/AO70/(10/$AO70 + 90/$AP70)*100</f>
        <v>9.9661500840046511</v>
      </c>
      <c r="S70" s="144">
        <f>100 - R70 - U70 - T70</f>
        <v>90.033849915995347</v>
      </c>
      <c r="T70" s="144">
        <v>0</v>
      </c>
      <c r="U70" s="145">
        <v>0</v>
      </c>
      <c r="V70" s="144">
        <v>9.7799999999999994</v>
      </c>
      <c r="W70" s="145">
        <f>100 - $V70</f>
        <v>90.22</v>
      </c>
      <c r="X70" s="144">
        <v>23.443999999999999</v>
      </c>
      <c r="Y70" s="146">
        <f>100 - $X70 - $Z70</f>
        <v>73.555999999999997</v>
      </c>
      <c r="Z70" s="145">
        <v>3</v>
      </c>
      <c r="AA70" s="144">
        <v>0</v>
      </c>
      <c r="AB70" s="146">
        <v>0</v>
      </c>
      <c r="AC70" s="145">
        <v>0</v>
      </c>
      <c r="AD70" s="144">
        <v>0</v>
      </c>
      <c r="AE70" s="146">
        <v>0</v>
      </c>
      <c r="AF70" s="145">
        <v>0</v>
      </c>
      <c r="AG70" s="142" t="s">
        <v>43</v>
      </c>
      <c r="AN70" s="147" t="s">
        <v>47</v>
      </c>
      <c r="AO70" s="147">
        <f>V70*$AN$1 + W70*$AO$1</f>
        <v>3.3795359999999999</v>
      </c>
      <c r="AP70" s="147">
        <f>X70*$AP$1+Y70*$AQ$1+Z70*$AR$1</f>
        <v>3.3668299999999998</v>
      </c>
      <c r="AQ70" s="147">
        <v>1</v>
      </c>
      <c r="AR70" s="147">
        <v>1</v>
      </c>
      <c r="AS70" s="147"/>
      <c r="AT70" s="147"/>
      <c r="AU70" s="147"/>
    </row>
    <row r="71" spans="1:47" s="142" customFormat="1" ht="12">
      <c r="A71" s="142" t="s">
        <v>329</v>
      </c>
      <c r="B71" s="142" t="s">
        <v>330</v>
      </c>
      <c r="C71" s="142" t="s">
        <v>79</v>
      </c>
      <c r="D71" s="142" t="s">
        <v>310</v>
      </c>
      <c r="E71" s="142" t="s">
        <v>311</v>
      </c>
      <c r="G71" s="142" t="s">
        <v>312</v>
      </c>
      <c r="H71" s="142" t="s">
        <v>320</v>
      </c>
      <c r="J71" s="142">
        <v>0</v>
      </c>
      <c r="K71" s="142">
        <v>38</v>
      </c>
      <c r="L71" s="142" t="s">
        <v>38</v>
      </c>
      <c r="M71" s="142" t="s">
        <v>39</v>
      </c>
      <c r="O71" s="142" t="s">
        <v>314</v>
      </c>
      <c r="P71" s="142">
        <v>0</v>
      </c>
      <c r="Q71" s="143" t="s">
        <v>315</v>
      </c>
      <c r="R71" s="144">
        <f>30/AO71/(30/$AO71 + 70/$AP71)*100</f>
        <v>29.920957405228783</v>
      </c>
      <c r="S71" s="144">
        <f>100 - R71 - U71 - T71</f>
        <v>70.079042594771209</v>
      </c>
      <c r="T71" s="144">
        <v>0</v>
      </c>
      <c r="U71" s="145">
        <v>0</v>
      </c>
      <c r="V71" s="144">
        <v>9.7799999999999994</v>
      </c>
      <c r="W71" s="145">
        <f>100 - $V71</f>
        <v>90.22</v>
      </c>
      <c r="X71" s="144">
        <v>23.443999999999999</v>
      </c>
      <c r="Y71" s="146">
        <f>100 - $X71 - $Z71</f>
        <v>73.555999999999997</v>
      </c>
      <c r="Z71" s="145">
        <v>3</v>
      </c>
      <c r="AA71" s="144">
        <v>0</v>
      </c>
      <c r="AB71" s="146">
        <v>0</v>
      </c>
      <c r="AC71" s="145">
        <v>0</v>
      </c>
      <c r="AD71" s="144">
        <v>0</v>
      </c>
      <c r="AE71" s="146">
        <v>0</v>
      </c>
      <c r="AF71" s="145">
        <v>0</v>
      </c>
      <c r="AG71" s="142" t="s">
        <v>43</v>
      </c>
      <c r="AN71" s="147" t="s">
        <v>47</v>
      </c>
      <c r="AO71" s="147">
        <f>V71*$AN$1 + W71*$AO$1</f>
        <v>3.3795359999999999</v>
      </c>
      <c r="AP71" s="147">
        <f>X71*$AP$1+Y71*$AQ$1+Z71*$AR$1</f>
        <v>3.3668299999999998</v>
      </c>
      <c r="AQ71" s="147">
        <v>1</v>
      </c>
      <c r="AR71" s="147">
        <v>1</v>
      </c>
      <c r="AS71" s="147"/>
      <c r="AT71" s="147"/>
      <c r="AU71" s="147"/>
    </row>
    <row r="72" spans="1:47" s="143" customFormat="1" ht="12">
      <c r="A72" s="143" t="s">
        <v>331</v>
      </c>
      <c r="B72" s="143" t="s">
        <v>332</v>
      </c>
      <c r="C72" s="143" t="s">
        <v>79</v>
      </c>
      <c r="D72" s="143" t="s">
        <v>310</v>
      </c>
      <c r="E72" s="143" t="s">
        <v>311</v>
      </c>
      <c r="G72" s="143" t="s">
        <v>312</v>
      </c>
      <c r="H72" s="143" t="s">
        <v>320</v>
      </c>
      <c r="J72" s="143">
        <v>0</v>
      </c>
      <c r="K72" s="143">
        <v>38</v>
      </c>
      <c r="L72" s="143" t="s">
        <v>38</v>
      </c>
      <c r="M72" s="143" t="s">
        <v>39</v>
      </c>
      <c r="O72" s="143" t="s">
        <v>314</v>
      </c>
      <c r="P72" s="143">
        <v>0</v>
      </c>
      <c r="Q72" s="143" t="s">
        <v>315</v>
      </c>
      <c r="R72" s="145">
        <f>50/AO72/(50/$AO72 + 50/$AP72)*100</f>
        <v>49.905830783565555</v>
      </c>
      <c r="S72" s="145">
        <f>100 - R72 - U72 - T72</f>
        <v>50.094169216434445</v>
      </c>
      <c r="T72" s="145">
        <v>0</v>
      </c>
      <c r="U72" s="145">
        <v>0</v>
      </c>
      <c r="V72" s="145">
        <v>9.7799999999999994</v>
      </c>
      <c r="W72" s="145">
        <f>100 - $V72</f>
        <v>90.22</v>
      </c>
      <c r="X72" s="145">
        <v>23.443999999999999</v>
      </c>
      <c r="Y72" s="146">
        <f>100 - $X72 - $Z72</f>
        <v>73.555999999999997</v>
      </c>
      <c r="Z72" s="145">
        <v>3</v>
      </c>
      <c r="AA72" s="145">
        <v>0</v>
      </c>
      <c r="AB72" s="146">
        <v>0</v>
      </c>
      <c r="AC72" s="145">
        <v>0</v>
      </c>
      <c r="AD72" s="145">
        <v>0</v>
      </c>
      <c r="AE72" s="146">
        <v>0</v>
      </c>
      <c r="AF72" s="145">
        <v>0</v>
      </c>
      <c r="AG72" s="143" t="s">
        <v>43</v>
      </c>
      <c r="AN72" s="147" t="s">
        <v>47</v>
      </c>
      <c r="AO72" s="147">
        <f>V72*$AN$1 + W72*$AO$1</f>
        <v>3.3795359999999999</v>
      </c>
      <c r="AP72" s="147">
        <f>X72*$AP$1+Y72*$AQ$1+Z72*$AR$1</f>
        <v>3.3668299999999998</v>
      </c>
      <c r="AQ72" s="147">
        <v>1</v>
      </c>
      <c r="AR72" s="147">
        <v>1</v>
      </c>
      <c r="AS72" s="147"/>
      <c r="AT72" s="148"/>
      <c r="AU72" s="148"/>
    </row>
    <row r="73" spans="1:47" s="143" customFormat="1" ht="12">
      <c r="A73" s="143" t="s">
        <v>333</v>
      </c>
      <c r="B73" s="143" t="s">
        <v>334</v>
      </c>
      <c r="C73" s="143" t="s">
        <v>79</v>
      </c>
      <c r="D73" s="143" t="s">
        <v>310</v>
      </c>
      <c r="E73" s="143" t="s">
        <v>311</v>
      </c>
      <c r="G73" s="143" t="s">
        <v>312</v>
      </c>
      <c r="H73" s="143" t="s">
        <v>320</v>
      </c>
      <c r="J73" s="143">
        <v>0</v>
      </c>
      <c r="K73" s="143">
        <v>38</v>
      </c>
      <c r="L73" s="143" t="s">
        <v>38</v>
      </c>
      <c r="M73" s="143" t="s">
        <v>39</v>
      </c>
      <c r="O73" s="143" t="s">
        <v>314</v>
      </c>
      <c r="P73" s="143">
        <v>0</v>
      </c>
      <c r="Q73" s="143" t="s">
        <v>315</v>
      </c>
      <c r="R73" s="145">
        <f>90/AO73/(90/$AO73 + 10/$AP73)*100</f>
        <v>89.966047926240691</v>
      </c>
      <c r="S73" s="145">
        <f>100 - R73 - U73 - T73</f>
        <v>10.033952073759309</v>
      </c>
      <c r="T73" s="145">
        <v>0</v>
      </c>
      <c r="U73" s="145">
        <v>0</v>
      </c>
      <c r="V73" s="145">
        <v>9.7799999999999994</v>
      </c>
      <c r="W73" s="145">
        <f>100 - $V73</f>
        <v>90.22</v>
      </c>
      <c r="X73" s="145">
        <v>23.443999999999999</v>
      </c>
      <c r="Y73" s="146">
        <f>100 - $X73 - $Z73</f>
        <v>73.555999999999997</v>
      </c>
      <c r="Z73" s="145">
        <v>3</v>
      </c>
      <c r="AA73" s="145">
        <v>0</v>
      </c>
      <c r="AB73" s="146">
        <v>0</v>
      </c>
      <c r="AC73" s="145">
        <v>0</v>
      </c>
      <c r="AD73" s="145">
        <v>0</v>
      </c>
      <c r="AE73" s="146">
        <v>0</v>
      </c>
      <c r="AF73" s="145">
        <v>0</v>
      </c>
      <c r="AG73" s="143" t="s">
        <v>43</v>
      </c>
      <c r="AN73" s="147" t="s">
        <v>47</v>
      </c>
      <c r="AO73" s="147">
        <f>V73*$AN$1 + W73*$AO$1</f>
        <v>3.3795359999999999</v>
      </c>
      <c r="AP73" s="147">
        <f>X73*$AP$1+Y73*$AQ$1+Z73*$AR$1</f>
        <v>3.3668299999999998</v>
      </c>
      <c r="AQ73" s="147">
        <v>1</v>
      </c>
      <c r="AR73" s="147">
        <v>1</v>
      </c>
      <c r="AS73" s="147"/>
      <c r="AT73" s="148"/>
      <c r="AU73" s="148"/>
    </row>
    <row r="74" spans="1:47" s="143" customFormat="1" ht="12">
      <c r="A74" s="143" t="s">
        <v>335</v>
      </c>
      <c r="B74" s="143" t="s">
        <v>336</v>
      </c>
      <c r="C74" s="143" t="s">
        <v>79</v>
      </c>
      <c r="D74" s="143" t="s">
        <v>310</v>
      </c>
      <c r="E74" s="143" t="s">
        <v>311</v>
      </c>
      <c r="G74" s="143" t="s">
        <v>312</v>
      </c>
      <c r="H74" s="143" t="s">
        <v>323</v>
      </c>
      <c r="J74" s="143">
        <v>0</v>
      </c>
      <c r="K74" s="143">
        <v>38</v>
      </c>
      <c r="L74" s="143" t="s">
        <v>38</v>
      </c>
      <c r="M74" s="143" t="s">
        <v>39</v>
      </c>
      <c r="O74" s="143" t="s">
        <v>314</v>
      </c>
      <c r="P74" s="143">
        <v>0</v>
      </c>
      <c r="Q74" s="143" t="s">
        <v>315</v>
      </c>
      <c r="R74" s="145">
        <f>20/AO74/(20/$AO74 + 68/$AP74 + 12/$AQ74)*100</f>
        <v>19.786588576573372</v>
      </c>
      <c r="S74" s="145">
        <f>100 - R74 - U74 - T74</f>
        <v>67.528286429621573</v>
      </c>
      <c r="T74" s="145">
        <f>12/AQ74/(20/$AO74 + 68/$AP74 + 12/$AQ74)*100</f>
        <v>12.685124993805061</v>
      </c>
      <c r="U74" s="145">
        <v>0</v>
      </c>
      <c r="V74" s="145">
        <v>9.7799999999999994</v>
      </c>
      <c r="W74" s="145">
        <f>100 - $V74</f>
        <v>90.22</v>
      </c>
      <c r="X74" s="145">
        <v>23.443999999999999</v>
      </c>
      <c r="Y74" s="146">
        <f>100 - $X74 - $Z74</f>
        <v>73.555999999999997</v>
      </c>
      <c r="Z74" s="145">
        <v>3</v>
      </c>
      <c r="AA74" s="145">
        <v>9.7080000000000002</v>
      </c>
      <c r="AB74" s="146">
        <f>100 - $AA74 - $AC74</f>
        <v>53.652999999999999</v>
      </c>
      <c r="AC74" s="145">
        <v>36.639000000000003</v>
      </c>
      <c r="AD74" s="145">
        <v>0</v>
      </c>
      <c r="AE74" s="146">
        <v>0</v>
      </c>
      <c r="AF74" s="145">
        <v>0</v>
      </c>
      <c r="AG74" s="143" t="s">
        <v>43</v>
      </c>
      <c r="AN74" s="147" t="s">
        <v>47</v>
      </c>
      <c r="AO74" s="147">
        <f>V74*$AN$1 + W74*$AO$1</f>
        <v>3.3795359999999999</v>
      </c>
      <c r="AP74" s="147">
        <f>X74*$AP$1+Y74*$AQ$1+Z74*$AR$1</f>
        <v>3.3668299999999998</v>
      </c>
      <c r="AQ74" s="147">
        <f>AA74*$AP$1+AB74*$AQ$1+AC74*$AR$1</f>
        <v>3.1628930000000004</v>
      </c>
      <c r="AR74" s="147">
        <v>1</v>
      </c>
      <c r="AS74" s="147"/>
      <c r="AT74" s="148"/>
      <c r="AU74" s="148"/>
    </row>
    <row r="75" spans="1:47" s="143" customFormat="1" ht="12">
      <c r="A75" s="143" t="s">
        <v>337</v>
      </c>
      <c r="B75" s="143" t="s">
        <v>338</v>
      </c>
      <c r="C75" s="143" t="s">
        <v>79</v>
      </c>
      <c r="D75" s="143" t="s">
        <v>310</v>
      </c>
      <c r="E75" s="143" t="s">
        <v>311</v>
      </c>
      <c r="G75" s="143" t="s">
        <v>312</v>
      </c>
      <c r="H75" s="143" t="s">
        <v>323</v>
      </c>
      <c r="J75" s="143">
        <v>0</v>
      </c>
      <c r="K75" s="143">
        <v>38</v>
      </c>
      <c r="L75" s="143" t="s">
        <v>38</v>
      </c>
      <c r="M75" s="143" t="s">
        <v>39</v>
      </c>
      <c r="O75" s="143" t="s">
        <v>314</v>
      </c>
      <c r="P75" s="143">
        <v>0</v>
      </c>
      <c r="Q75" s="143" t="s">
        <v>315</v>
      </c>
      <c r="R75" s="145">
        <f>30/AO75/(30/$AO75 + 59.5/$AP75 + 10.5/$AQ75)*100</f>
        <v>29.719523401063697</v>
      </c>
      <c r="S75" s="145">
        <f>100 - R75 - U75 - T75</f>
        <v>59.166167726376273</v>
      </c>
      <c r="T75" s="145">
        <f>10.5/AQ75/(30/$AO75 + 59.5/$AP75 + 10.5/$AQ75)*100</f>
        <v>11.114308872560031</v>
      </c>
      <c r="U75" s="145">
        <v>0</v>
      </c>
      <c r="V75" s="145">
        <v>9.7799999999999994</v>
      </c>
      <c r="W75" s="145">
        <f>100 - $V75</f>
        <v>90.22</v>
      </c>
      <c r="X75" s="145">
        <v>23.443999999999999</v>
      </c>
      <c r="Y75" s="146">
        <f>100 - $X75 - $Z75</f>
        <v>73.555999999999997</v>
      </c>
      <c r="Z75" s="145">
        <v>3</v>
      </c>
      <c r="AA75" s="145">
        <v>9.7080000000000002</v>
      </c>
      <c r="AB75" s="146">
        <f>100 - $AA75 - $AC75</f>
        <v>53.652999999999999</v>
      </c>
      <c r="AC75" s="145">
        <v>36.639000000000003</v>
      </c>
      <c r="AD75" s="145">
        <v>0</v>
      </c>
      <c r="AE75" s="146">
        <v>0</v>
      </c>
      <c r="AF75" s="145">
        <v>0</v>
      </c>
      <c r="AG75" s="143" t="s">
        <v>43</v>
      </c>
      <c r="AN75" s="147" t="s">
        <v>47</v>
      </c>
      <c r="AO75" s="147">
        <f>V75*$AN$1 + W75*$AO$1</f>
        <v>3.3795359999999999</v>
      </c>
      <c r="AP75" s="147">
        <f>X75*$AP$1+Y75*$AQ$1+Z75*$AR$1</f>
        <v>3.3668299999999998</v>
      </c>
      <c r="AQ75" s="147">
        <f>AA75*$AP$1+AB75*$AQ$1+AC75*$AR$1</f>
        <v>3.1628930000000004</v>
      </c>
      <c r="AR75" s="147">
        <v>1</v>
      </c>
      <c r="AS75" s="147"/>
      <c r="AT75" s="148"/>
      <c r="AU75" s="148"/>
    </row>
    <row r="76" spans="1:47" s="143" customFormat="1" ht="12">
      <c r="A76" s="143" t="s">
        <v>339</v>
      </c>
      <c r="B76" s="143" t="s">
        <v>340</v>
      </c>
      <c r="C76" s="143" t="s">
        <v>79</v>
      </c>
      <c r="D76" s="143" t="s">
        <v>310</v>
      </c>
      <c r="E76" s="143" t="s">
        <v>311</v>
      </c>
      <c r="G76" s="143" t="s">
        <v>312</v>
      </c>
      <c r="H76" s="143" t="s">
        <v>323</v>
      </c>
      <c r="J76" s="143">
        <v>0</v>
      </c>
      <c r="K76" s="143">
        <v>38</v>
      </c>
      <c r="L76" s="143" t="s">
        <v>38</v>
      </c>
      <c r="M76" s="143" t="s">
        <v>39</v>
      </c>
      <c r="O76" s="143" t="s">
        <v>314</v>
      </c>
      <c r="P76" s="143">
        <v>0</v>
      </c>
      <c r="Q76" s="143" t="s">
        <v>315</v>
      </c>
      <c r="R76" s="145">
        <f>50/AO76/(50/$AO76 + 42.5/$AP76 + 7.5/$AQ76)*100</f>
        <v>49.665204980615087</v>
      </c>
      <c r="S76" s="145">
        <f>100 - R76 - U76 - T76</f>
        <v>42.374740023245245</v>
      </c>
      <c r="T76" s="145">
        <f>7.5/AQ76/(50/$AO76 + 42.5/$AP76 + 7.5/$AQ76)*100</f>
        <v>7.9600549961396707</v>
      </c>
      <c r="U76" s="145">
        <v>0</v>
      </c>
      <c r="V76" s="145">
        <v>9.7799999999999994</v>
      </c>
      <c r="W76" s="145">
        <f>100 - $V76</f>
        <v>90.22</v>
      </c>
      <c r="X76" s="145">
        <v>23.443999999999999</v>
      </c>
      <c r="Y76" s="146">
        <f>100 - $X76 - $Z76</f>
        <v>73.555999999999997</v>
      </c>
      <c r="Z76" s="145">
        <v>3</v>
      </c>
      <c r="AA76" s="145">
        <v>9.7080000000000002</v>
      </c>
      <c r="AB76" s="146">
        <f>100 - $AA76 - $AC76</f>
        <v>53.652999999999999</v>
      </c>
      <c r="AC76" s="145">
        <v>36.639000000000003</v>
      </c>
      <c r="AD76" s="145">
        <v>0</v>
      </c>
      <c r="AE76" s="146">
        <v>0</v>
      </c>
      <c r="AF76" s="145">
        <v>0</v>
      </c>
      <c r="AG76" s="143" t="s">
        <v>43</v>
      </c>
      <c r="AN76" s="147" t="s">
        <v>47</v>
      </c>
      <c r="AO76" s="147">
        <f>V76*$AN$1 + W76*$AO$1</f>
        <v>3.3795359999999999</v>
      </c>
      <c r="AP76" s="147">
        <f>X76*$AP$1+Y76*$AQ$1+Z76*$AR$1</f>
        <v>3.3668299999999998</v>
      </c>
      <c r="AQ76" s="147">
        <f>AA76*$AP$1+AB76*$AQ$1+AC76*$AR$1</f>
        <v>3.1628930000000004</v>
      </c>
      <c r="AR76" s="147">
        <v>1</v>
      </c>
      <c r="AS76" s="147"/>
      <c r="AT76" s="148"/>
      <c r="AU76" s="148"/>
    </row>
    <row r="77" spans="1:47" s="143" customFormat="1" ht="12">
      <c r="A77" s="143" t="s">
        <v>341</v>
      </c>
      <c r="B77" s="143" t="s">
        <v>342</v>
      </c>
      <c r="C77" s="143" t="s">
        <v>79</v>
      </c>
      <c r="D77" s="143" t="s">
        <v>310</v>
      </c>
      <c r="E77" s="143" t="s">
        <v>311</v>
      </c>
      <c r="G77" s="143" t="s">
        <v>312</v>
      </c>
      <c r="H77" s="143" t="s">
        <v>323</v>
      </c>
      <c r="J77" s="143">
        <v>0</v>
      </c>
      <c r="K77" s="143">
        <v>38</v>
      </c>
      <c r="L77" s="143" t="s">
        <v>38</v>
      </c>
      <c r="M77" s="143" t="s">
        <v>39</v>
      </c>
      <c r="O77" s="143" t="s">
        <v>314</v>
      </c>
      <c r="P77" s="143">
        <v>0</v>
      </c>
      <c r="Q77" s="143" t="s">
        <v>315</v>
      </c>
      <c r="R77" s="145">
        <f>60/AO77/(60/$AO77 + 34/$AP77 + 6/$AQ77)*100</f>
        <v>59.678165787424739</v>
      </c>
      <c r="S77" s="145">
        <f>100 - R77 - U77 - T77</f>
        <v>33.945250822224395</v>
      </c>
      <c r="T77" s="145">
        <f>6/AQ77/(60/$AO77 + 34/$AP77 + 6/$AQ77)*100</f>
        <v>6.3765833903508664</v>
      </c>
      <c r="U77" s="145">
        <v>0</v>
      </c>
      <c r="V77" s="145">
        <v>9.7799999999999994</v>
      </c>
      <c r="W77" s="145">
        <f>100 - $V77</f>
        <v>90.22</v>
      </c>
      <c r="X77" s="145">
        <v>23.443999999999999</v>
      </c>
      <c r="Y77" s="146">
        <f>100 - $X77 - $Z77</f>
        <v>73.555999999999997</v>
      </c>
      <c r="Z77" s="145">
        <v>3</v>
      </c>
      <c r="AA77" s="145">
        <v>9.7080000000000002</v>
      </c>
      <c r="AB77" s="146">
        <f>100 - $AA77 - $AC77</f>
        <v>53.652999999999999</v>
      </c>
      <c r="AC77" s="145">
        <v>36.639000000000003</v>
      </c>
      <c r="AD77" s="145">
        <v>0</v>
      </c>
      <c r="AE77" s="146">
        <v>0</v>
      </c>
      <c r="AF77" s="145">
        <v>0</v>
      </c>
      <c r="AG77" s="143" t="s">
        <v>43</v>
      </c>
      <c r="AN77" s="147" t="s">
        <v>47</v>
      </c>
      <c r="AO77" s="147">
        <f>V77*$AN$1 + W77*$AO$1</f>
        <v>3.3795359999999999</v>
      </c>
      <c r="AP77" s="147">
        <f>X77*$AP$1+Y77*$AQ$1+Z77*$AR$1</f>
        <v>3.3668299999999998</v>
      </c>
      <c r="AQ77" s="147">
        <f>AA77*$AP$1+AB77*$AQ$1+AC77*$AR$1</f>
        <v>3.1628930000000004</v>
      </c>
      <c r="AR77" s="147">
        <v>1</v>
      </c>
      <c r="AS77" s="147"/>
      <c r="AT77" s="148"/>
      <c r="AU77" s="148"/>
    </row>
    <row r="78" spans="1:47" s="143" customFormat="1" ht="12">
      <c r="A78" s="143" t="s">
        <v>343</v>
      </c>
      <c r="B78" s="143" t="s">
        <v>344</v>
      </c>
      <c r="C78" s="143" t="s">
        <v>79</v>
      </c>
      <c r="D78" s="143" t="s">
        <v>310</v>
      </c>
      <c r="E78" s="143" t="s">
        <v>311</v>
      </c>
      <c r="G78" s="143" t="s">
        <v>312</v>
      </c>
      <c r="H78" s="143" t="s">
        <v>323</v>
      </c>
      <c r="J78" s="143">
        <v>0</v>
      </c>
      <c r="K78" s="143">
        <v>38</v>
      </c>
      <c r="L78" s="143" t="s">
        <v>38</v>
      </c>
      <c r="M78" s="143" t="s">
        <v>39</v>
      </c>
      <c r="O78" s="143" t="s">
        <v>314</v>
      </c>
      <c r="P78" s="143">
        <v>0</v>
      </c>
      <c r="Q78" s="143" t="s">
        <v>315</v>
      </c>
      <c r="R78" s="145">
        <f>70/AO78/(70/$AO78 + 25.5/$AP78 + 4.5/$AQ78)*100</f>
        <v>69.718016931501595</v>
      </c>
      <c r="S78" s="145">
        <f>100 - R78 - U78 - T78</f>
        <v>24.961028304511785</v>
      </c>
      <c r="T78" s="145">
        <f>5/AQ78/(70/$AO78 + 25.5/$AP78 + 4.5/$AQ78)*100</f>
        <v>5.320954763986621</v>
      </c>
      <c r="U78" s="145">
        <v>0</v>
      </c>
      <c r="V78" s="145">
        <v>9.7799999999999994</v>
      </c>
      <c r="W78" s="145">
        <f>100 - $V78</f>
        <v>90.22</v>
      </c>
      <c r="X78" s="145">
        <v>23.443999999999999</v>
      </c>
      <c r="Y78" s="146">
        <f>100 - $X78 - $Z78</f>
        <v>73.555999999999997</v>
      </c>
      <c r="Z78" s="145">
        <v>3</v>
      </c>
      <c r="AA78" s="145">
        <v>9.7080000000000002</v>
      </c>
      <c r="AB78" s="146">
        <f>100 - $AA78 - $AC78</f>
        <v>53.652999999999999</v>
      </c>
      <c r="AC78" s="145">
        <v>36.639000000000003</v>
      </c>
      <c r="AD78" s="145">
        <v>0</v>
      </c>
      <c r="AE78" s="146">
        <v>0</v>
      </c>
      <c r="AF78" s="145">
        <v>0</v>
      </c>
      <c r="AG78" s="143" t="s">
        <v>43</v>
      </c>
      <c r="AN78" s="147" t="s">
        <v>47</v>
      </c>
      <c r="AO78" s="147">
        <f>V78*$AN$1 + W78*$AO$1</f>
        <v>3.3795359999999999</v>
      </c>
      <c r="AP78" s="147">
        <f>X78*$AP$1+Y78*$AQ$1+Z78*$AR$1</f>
        <v>3.3668299999999998</v>
      </c>
      <c r="AQ78" s="147">
        <f>AA78*$AP$1+AB78*$AQ$1+AC78*$AR$1</f>
        <v>3.1628930000000004</v>
      </c>
      <c r="AR78" s="147">
        <v>1</v>
      </c>
      <c r="AS78" s="147"/>
      <c r="AT78" s="148"/>
      <c r="AU78" s="148"/>
    </row>
    <row r="79" spans="1:47" s="143" customFormat="1" ht="12">
      <c r="A79" s="143" t="s">
        <v>345</v>
      </c>
      <c r="B79" s="143" t="s">
        <v>346</v>
      </c>
      <c r="C79" s="143" t="s">
        <v>79</v>
      </c>
      <c r="D79" s="143" t="s">
        <v>310</v>
      </c>
      <c r="E79" s="143" t="s">
        <v>311</v>
      </c>
      <c r="G79" s="143" t="s">
        <v>312</v>
      </c>
      <c r="H79" s="143" t="s">
        <v>323</v>
      </c>
      <c r="J79" s="143">
        <v>0</v>
      </c>
      <c r="K79" s="143">
        <v>38</v>
      </c>
      <c r="L79" s="143" t="s">
        <v>38</v>
      </c>
      <c r="M79" s="143" t="s">
        <v>39</v>
      </c>
      <c r="O79" s="143" t="s">
        <v>314</v>
      </c>
      <c r="P79" s="143">
        <v>0</v>
      </c>
      <c r="Q79" s="143" t="s">
        <v>315</v>
      </c>
      <c r="R79" s="145">
        <f>80/AO79/(80/$AO79 + 17/$AP79 + 3/$AQ79)*100</f>
        <v>79.784866881635267</v>
      </c>
      <c r="S79" s="145">
        <f>100 - R79 - U79 - T79</f>
        <v>17.018267584006306</v>
      </c>
      <c r="T79" s="145">
        <f>3/AQ79/(80/$AO79 + 17/$AP79 + 3/$AQ79)*100</f>
        <v>3.1968655343584262</v>
      </c>
      <c r="U79" s="145">
        <v>0</v>
      </c>
      <c r="V79" s="145">
        <v>9.7799999999999994</v>
      </c>
      <c r="W79" s="145">
        <f>100 - $V79</f>
        <v>90.22</v>
      </c>
      <c r="X79" s="145">
        <v>23.443999999999999</v>
      </c>
      <c r="Y79" s="146">
        <f>100 - $X79 - $Z79</f>
        <v>73.555999999999997</v>
      </c>
      <c r="Z79" s="145">
        <v>3</v>
      </c>
      <c r="AA79" s="145">
        <v>9.7080000000000002</v>
      </c>
      <c r="AB79" s="146">
        <f>100 - $AA79 - $AC79</f>
        <v>53.652999999999999</v>
      </c>
      <c r="AC79" s="145">
        <v>36.639000000000003</v>
      </c>
      <c r="AD79" s="145">
        <v>0</v>
      </c>
      <c r="AE79" s="146">
        <v>0</v>
      </c>
      <c r="AF79" s="145">
        <v>0</v>
      </c>
      <c r="AG79" s="143" t="s">
        <v>43</v>
      </c>
      <c r="AN79" s="147" t="s">
        <v>47</v>
      </c>
      <c r="AO79" s="147">
        <f>V79*$AN$1 + W79*$AO$1</f>
        <v>3.3795359999999999</v>
      </c>
      <c r="AP79" s="147">
        <f>X79*$AP$1+Y79*$AQ$1+Z79*$AR$1</f>
        <v>3.3668299999999998</v>
      </c>
      <c r="AQ79" s="147">
        <f>AA79*$AP$1+AB79*$AQ$1+AC79*$AR$1</f>
        <v>3.1628930000000004</v>
      </c>
      <c r="AR79" s="147">
        <v>1</v>
      </c>
      <c r="AS79" s="147"/>
      <c r="AT79" s="148"/>
      <c r="AU79" s="148"/>
    </row>
    <row r="80" spans="1:47" s="143" customFormat="1" ht="12">
      <c r="A80" s="143" t="s">
        <v>347</v>
      </c>
      <c r="B80" s="143" t="s">
        <v>348</v>
      </c>
      <c r="C80" s="143" t="s">
        <v>79</v>
      </c>
      <c r="D80" s="143" t="s">
        <v>310</v>
      </c>
      <c r="E80" s="143" t="s">
        <v>311</v>
      </c>
      <c r="G80" s="143" t="s">
        <v>312</v>
      </c>
      <c r="H80" s="143" t="s">
        <v>349</v>
      </c>
      <c r="J80" s="143">
        <v>0</v>
      </c>
      <c r="K80" s="143">
        <v>38</v>
      </c>
      <c r="L80" s="143" t="s">
        <v>38</v>
      </c>
      <c r="M80" s="143" t="s">
        <v>39</v>
      </c>
      <c r="O80" s="143" t="s">
        <v>314</v>
      </c>
      <c r="P80" s="143">
        <v>0</v>
      </c>
      <c r="Q80" s="143" t="s">
        <v>315</v>
      </c>
      <c r="R80" s="145">
        <v>0</v>
      </c>
      <c r="S80" s="145">
        <f>100 - R80 - U80 - T80</f>
        <v>42.694924876157735</v>
      </c>
      <c r="T80" s="145">
        <f>45/AQ80/(45/$AP80 + 45/$AQ80 + 10/$AR80)*100</f>
        <v>45.447808041813026</v>
      </c>
      <c r="U80" s="145">
        <f>10/AR80/(45/$AP80 + 45/$AQ80 + 10/$AR80)*100</f>
        <v>11.857267082029237</v>
      </c>
      <c r="V80" s="145">
        <v>0</v>
      </c>
      <c r="W80" s="145">
        <v>0</v>
      </c>
      <c r="X80" s="145">
        <v>23.443999999999999</v>
      </c>
      <c r="Y80" s="146">
        <f>100 - $X80 - $Z80</f>
        <v>73.555999999999997</v>
      </c>
      <c r="Z80" s="145">
        <v>3</v>
      </c>
      <c r="AA80" s="145">
        <v>9.7080000000000002</v>
      </c>
      <c r="AB80" s="146">
        <f>100 - $AA80 - $AC80</f>
        <v>53.652999999999999</v>
      </c>
      <c r="AC80" s="145">
        <v>36.639000000000003</v>
      </c>
      <c r="AD80" s="145">
        <v>67.869795999999994</v>
      </c>
      <c r="AE80" s="146">
        <f>100 - $AD80 - $AF80</f>
        <v>31.063849000000005</v>
      </c>
      <c r="AF80" s="145">
        <v>1.0663549999999999</v>
      </c>
      <c r="AG80" s="143" t="s">
        <v>43</v>
      </c>
      <c r="AN80" s="147" t="s">
        <v>47</v>
      </c>
      <c r="AO80" s="147">
        <v>1</v>
      </c>
      <c r="AP80" s="147">
        <f>X80*$AP$1+Y80*$AQ$1+Z80*$AR$1</f>
        <v>3.3668299999999998</v>
      </c>
      <c r="AQ80" s="147">
        <f>AA80*$AP$1+AB80*$AQ$1+AC80*$AR$1</f>
        <v>3.1628930000000004</v>
      </c>
      <c r="AR80" s="147">
        <f>AD80*$AS$1+AE80*$AT$1+AF80*$AU$1</f>
        <v>2.6940169626000001</v>
      </c>
      <c r="AS80" s="147"/>
      <c r="AT80" s="148"/>
      <c r="AU80" s="148"/>
    </row>
    <row r="81" spans="1:47" s="143" customFormat="1" ht="12">
      <c r="A81" s="143" t="s">
        <v>350</v>
      </c>
      <c r="B81" s="143" t="s">
        <v>351</v>
      </c>
      <c r="C81" s="143" t="s">
        <v>79</v>
      </c>
      <c r="D81" s="143" t="s">
        <v>310</v>
      </c>
      <c r="E81" s="143" t="s">
        <v>311</v>
      </c>
      <c r="G81" s="143" t="s">
        <v>312</v>
      </c>
      <c r="H81" s="143" t="s">
        <v>349</v>
      </c>
      <c r="J81" s="143">
        <v>0</v>
      </c>
      <c r="K81" s="143">
        <v>38</v>
      </c>
      <c r="L81" s="143" t="s">
        <v>38</v>
      </c>
      <c r="M81" s="143" t="s">
        <v>39</v>
      </c>
      <c r="O81" s="143" t="s">
        <v>314</v>
      </c>
      <c r="P81" s="143">
        <v>0</v>
      </c>
      <c r="Q81" s="143" t="s">
        <v>315</v>
      </c>
      <c r="R81" s="145">
        <v>0</v>
      </c>
      <c r="S81" s="145">
        <f>100 - R81 - U81 - T81</f>
        <v>37.183710103659706</v>
      </c>
      <c r="T81" s="145">
        <f>40/AQ81/(40/$AP81 + 40/$AQ81 + 20/$AR81)*100</f>
        <v>39.581241189096374</v>
      </c>
      <c r="U81" s="145">
        <f>20/AR81/(40/$AP81 + 40/$AQ81 + 20/$AR81)*100</f>
        <v>23.235048707243916</v>
      </c>
      <c r="V81" s="145">
        <v>0</v>
      </c>
      <c r="W81" s="145">
        <v>0</v>
      </c>
      <c r="X81" s="145">
        <v>23.443999999999999</v>
      </c>
      <c r="Y81" s="146">
        <f>100 - $X81 - $Z81</f>
        <v>73.555999999999997</v>
      </c>
      <c r="Z81" s="145">
        <v>3</v>
      </c>
      <c r="AA81" s="145">
        <v>9.7080000000000002</v>
      </c>
      <c r="AB81" s="146">
        <f>100 - $AA81 - $AC81</f>
        <v>53.652999999999999</v>
      </c>
      <c r="AC81" s="145">
        <v>36.639000000000003</v>
      </c>
      <c r="AD81" s="145">
        <v>67.869795999999994</v>
      </c>
      <c r="AE81" s="146">
        <f>100 - $AD81 - $AF81</f>
        <v>31.063849000000005</v>
      </c>
      <c r="AF81" s="145">
        <v>1.0663549999999999</v>
      </c>
      <c r="AG81" s="143" t="s">
        <v>43</v>
      </c>
      <c r="AN81" s="147" t="s">
        <v>47</v>
      </c>
      <c r="AO81" s="147">
        <v>1</v>
      </c>
      <c r="AP81" s="147">
        <f>X81*$AP$1+Y81*$AQ$1+Z81*$AR$1</f>
        <v>3.3668299999999998</v>
      </c>
      <c r="AQ81" s="147">
        <f>AA81*$AP$1+AB81*$AQ$1+AC81*$AR$1</f>
        <v>3.1628930000000004</v>
      </c>
      <c r="AR81" s="147">
        <f>AD81*$AS$1+AE81*$AT$1+AF81*$AU$1</f>
        <v>2.6940169626000001</v>
      </c>
      <c r="AS81" s="147"/>
      <c r="AT81" s="148"/>
      <c r="AU81" s="148"/>
    </row>
    <row r="82" spans="1:47" s="143" customFormat="1" ht="12">
      <c r="A82" s="143" t="s">
        <v>352</v>
      </c>
      <c r="B82" s="143" t="s">
        <v>353</v>
      </c>
      <c r="C82" s="143" t="s">
        <v>79</v>
      </c>
      <c r="D82" s="143" t="s">
        <v>310</v>
      </c>
      <c r="E82" s="143" t="s">
        <v>311</v>
      </c>
      <c r="G82" s="143" t="s">
        <v>312</v>
      </c>
      <c r="H82" s="143" t="s">
        <v>349</v>
      </c>
      <c r="J82" s="143">
        <v>0</v>
      </c>
      <c r="K82" s="143">
        <v>38</v>
      </c>
      <c r="L82" s="143" t="s">
        <v>38</v>
      </c>
      <c r="M82" s="143" t="s">
        <v>39</v>
      </c>
      <c r="O82" s="143" t="s">
        <v>314</v>
      </c>
      <c r="P82" s="143">
        <v>0</v>
      </c>
      <c r="Q82" s="143" t="s">
        <v>315</v>
      </c>
      <c r="R82" s="145">
        <v>0</v>
      </c>
      <c r="S82" s="145">
        <f>100 - R82 - U82 - T82</f>
        <v>31.890941655848849</v>
      </c>
      <c r="T82" s="145">
        <f>35/AQ82/(35/$AP82 + 35/$AQ82 + 30/$AR82)*100</f>
        <v>33.947205642164164</v>
      </c>
      <c r="U82" s="145">
        <f>30/AR82/(35/$AP82 + 35/$AQ82 + 30/$AR82)*100</f>
        <v>34.161852701986987</v>
      </c>
      <c r="V82" s="145">
        <v>0</v>
      </c>
      <c r="W82" s="145">
        <v>0</v>
      </c>
      <c r="X82" s="145">
        <v>23.443999999999999</v>
      </c>
      <c r="Y82" s="146">
        <f>100 - $X82 - $Z82</f>
        <v>73.555999999999997</v>
      </c>
      <c r="Z82" s="145">
        <v>3</v>
      </c>
      <c r="AA82" s="145">
        <v>9.7080000000000002</v>
      </c>
      <c r="AB82" s="146">
        <f>100 - $AA82 - $AC82</f>
        <v>53.652999999999999</v>
      </c>
      <c r="AC82" s="145">
        <v>36.639000000000003</v>
      </c>
      <c r="AD82" s="145">
        <v>67.869795999999994</v>
      </c>
      <c r="AE82" s="146">
        <f>100 - $AD82 - $AF82</f>
        <v>31.063849000000005</v>
      </c>
      <c r="AF82" s="145">
        <v>1.0663549999999999</v>
      </c>
      <c r="AG82" s="143" t="s">
        <v>43</v>
      </c>
      <c r="AN82" s="147" t="s">
        <v>47</v>
      </c>
      <c r="AO82" s="147">
        <v>1</v>
      </c>
      <c r="AP82" s="147">
        <f>X82*$AP$1+Y82*$AQ$1+Z82*$AR$1</f>
        <v>3.3668299999999998</v>
      </c>
      <c r="AQ82" s="147">
        <f>AA82*$AP$1+AB82*$AQ$1+AC82*$AR$1</f>
        <v>3.1628930000000004</v>
      </c>
      <c r="AR82" s="147">
        <f>AD82*$AS$1+AE82*$AT$1+AF82*$AU$1</f>
        <v>2.6940169626000001</v>
      </c>
      <c r="AS82" s="147"/>
      <c r="AT82" s="148"/>
      <c r="AU82" s="148"/>
    </row>
    <row r="83" spans="1:47" s="143" customFormat="1" ht="12">
      <c r="A83" s="143" t="s">
        <v>354</v>
      </c>
      <c r="B83" s="143" t="s">
        <v>355</v>
      </c>
      <c r="C83" s="143" t="s">
        <v>79</v>
      </c>
      <c r="D83" s="143" t="s">
        <v>310</v>
      </c>
      <c r="E83" s="143" t="s">
        <v>311</v>
      </c>
      <c r="G83" s="143" t="s">
        <v>312</v>
      </c>
      <c r="H83" s="143" t="s">
        <v>326</v>
      </c>
      <c r="J83" s="143">
        <v>0</v>
      </c>
      <c r="K83" s="143">
        <v>38</v>
      </c>
      <c r="L83" s="143" t="s">
        <v>38</v>
      </c>
      <c r="M83" s="143" t="s">
        <v>39</v>
      </c>
      <c r="O83" s="143" t="s">
        <v>314</v>
      </c>
      <c r="P83" s="143">
        <v>0</v>
      </c>
      <c r="Q83" s="143" t="s">
        <v>315</v>
      </c>
      <c r="R83" s="145">
        <f>90/AO83/(90/$AO83 + 4/$AP83 + 1/$AQ83 + 5/$AR83)*100</f>
        <v>88.796023818367203</v>
      </c>
      <c r="S83" s="145">
        <f>100 - R83 - U83 - T83</f>
        <v>3.9613835124306354</v>
      </c>
      <c r="T83" s="145">
        <f>1/AQ83/(90/$AO83 + 4/$AP83 + 1/$AQ83 + 5/$AR83)*100</f>
        <v>1.0542013949852918</v>
      </c>
      <c r="U83" s="145">
        <f>5/AR83/(90/$AO83 + 4/$AP83 + 1/$AQ83 + 5/$AR83)*100</f>
        <v>6.1883912742168699</v>
      </c>
      <c r="V83" s="145">
        <v>9.7799999999999994</v>
      </c>
      <c r="W83" s="145">
        <f>100 - $V83</f>
        <v>90.22</v>
      </c>
      <c r="X83" s="145">
        <v>23.443999999999999</v>
      </c>
      <c r="Y83" s="146">
        <f>100 - $X83 - $Z83</f>
        <v>73.555999999999997</v>
      </c>
      <c r="Z83" s="145">
        <v>3</v>
      </c>
      <c r="AA83" s="145">
        <v>9.7080000000000002</v>
      </c>
      <c r="AB83" s="146">
        <f>100 - $AA83 - $AC83</f>
        <v>53.652999999999999</v>
      </c>
      <c r="AC83" s="145">
        <v>36.639000000000003</v>
      </c>
      <c r="AD83" s="145">
        <v>67.869795999999994</v>
      </c>
      <c r="AE83" s="146">
        <f>100 - $AD83 - $AF83</f>
        <v>31.063849000000005</v>
      </c>
      <c r="AF83" s="145">
        <v>1.0663549999999999</v>
      </c>
      <c r="AG83" s="143" t="s">
        <v>43</v>
      </c>
      <c r="AN83" s="147" t="s">
        <v>47</v>
      </c>
      <c r="AO83" s="147">
        <f>V83*$AN$1 + W83*$AO$1</f>
        <v>3.3795359999999999</v>
      </c>
      <c r="AP83" s="147">
        <f>X83*$AP$1+Y83*$AQ$1+Z83*$AR$1</f>
        <v>3.3668299999999998</v>
      </c>
      <c r="AQ83" s="147">
        <f>AA83*$AP$1+AB83*$AQ$1+AC83*$AR$1</f>
        <v>3.1628930000000004</v>
      </c>
      <c r="AR83" s="147">
        <f>AD83*$AS$1+AE83*$AT$1+AF83*$AU$1</f>
        <v>2.6940169626000001</v>
      </c>
      <c r="AS83" s="147"/>
      <c r="AT83" s="148"/>
      <c r="AU83" s="148"/>
    </row>
    <row r="84" spans="1:47" s="143" customFormat="1" ht="12">
      <c r="A84" s="143" t="s">
        <v>356</v>
      </c>
      <c r="B84" s="143" t="s">
        <v>357</v>
      </c>
      <c r="C84" s="143" t="s">
        <v>79</v>
      </c>
      <c r="D84" s="143" t="s">
        <v>310</v>
      </c>
      <c r="E84" s="143" t="s">
        <v>311</v>
      </c>
      <c r="G84" s="143" t="s">
        <v>312</v>
      </c>
      <c r="H84" s="143" t="s">
        <v>326</v>
      </c>
      <c r="J84" s="143">
        <v>0</v>
      </c>
      <c r="K84" s="143">
        <v>38</v>
      </c>
      <c r="L84" s="143" t="s">
        <v>38</v>
      </c>
      <c r="M84" s="143" t="s">
        <v>39</v>
      </c>
      <c r="O84" s="143" t="s">
        <v>314</v>
      </c>
      <c r="P84" s="143">
        <v>0</v>
      </c>
      <c r="Q84" s="143" t="s">
        <v>315</v>
      </c>
      <c r="R84" s="145">
        <f>70/AO84/(70/$AO84 + 13/$AP84 + 2/$AQ84 + 15/$AR84)*100</f>
        <v>67.305784505736582</v>
      </c>
      <c r="S84" s="145">
        <f>100 - R84 - U84 - T84</f>
        <v>12.546817810776318</v>
      </c>
      <c r="T84" s="145">
        <f>2/AQ84/(70/$AO84 + 13/$AP84 + 2/$AQ84 + 15/$AR84)*100</f>
        <v>2.054740226254697</v>
      </c>
      <c r="U84" s="145">
        <f>15/AR84/(70/$AO84 + 13/$AP84 + 2/$AQ84 + 15/$AR84)*100</f>
        <v>18.092657457232402</v>
      </c>
      <c r="V84" s="145">
        <v>9.7799999999999994</v>
      </c>
      <c r="W84" s="145">
        <f>100 - $V84</f>
        <v>90.22</v>
      </c>
      <c r="X84" s="145">
        <v>23.443999999999999</v>
      </c>
      <c r="Y84" s="146">
        <f>100 - $X84 - $Z84</f>
        <v>73.555999999999997</v>
      </c>
      <c r="Z84" s="145">
        <v>3</v>
      </c>
      <c r="AA84" s="145">
        <v>9.7080000000000002</v>
      </c>
      <c r="AB84" s="146">
        <f>100 - $AA84 - $AC84</f>
        <v>53.652999999999999</v>
      </c>
      <c r="AC84" s="145">
        <v>36.639000000000003</v>
      </c>
      <c r="AD84" s="145">
        <v>67.869795999999994</v>
      </c>
      <c r="AE84" s="146">
        <f>100 - $AD84 - $AF84</f>
        <v>31.063849000000005</v>
      </c>
      <c r="AF84" s="145">
        <v>1.0663549999999999</v>
      </c>
      <c r="AG84" s="143" t="s">
        <v>43</v>
      </c>
      <c r="AN84" s="147" t="s">
        <v>47</v>
      </c>
      <c r="AO84" s="147">
        <f>V84*$AN$1 + W84*$AO$1</f>
        <v>3.3795359999999999</v>
      </c>
      <c r="AP84" s="147">
        <f>X84*$AP$1+Y84*$AQ$1+Z84*$AR$1</f>
        <v>3.3668299999999998</v>
      </c>
      <c r="AQ84" s="147">
        <f>AA84*$AP$1+AB84*$AQ$1+AC84*$AR$1</f>
        <v>3.1628930000000004</v>
      </c>
      <c r="AR84" s="147">
        <f>AD84*$AS$1+AE84*$AT$1+AF84*$AU$1</f>
        <v>2.6940169626000001</v>
      </c>
      <c r="AS84" s="147"/>
      <c r="AT84" s="148"/>
      <c r="AU84" s="148"/>
    </row>
    <row r="85" spans="1:47" s="143" customFormat="1" ht="12">
      <c r="A85" s="143" t="s">
        <v>358</v>
      </c>
      <c r="B85" s="143" t="s">
        <v>359</v>
      </c>
      <c r="C85" s="143" t="s">
        <v>79</v>
      </c>
      <c r="D85" s="143" t="s">
        <v>310</v>
      </c>
      <c r="E85" s="143" t="s">
        <v>311</v>
      </c>
      <c r="G85" s="143" t="s">
        <v>312</v>
      </c>
      <c r="H85" s="143" t="s">
        <v>326</v>
      </c>
      <c r="J85" s="143">
        <v>0</v>
      </c>
      <c r="K85" s="143">
        <v>38</v>
      </c>
      <c r="L85" s="143" t="s">
        <v>38</v>
      </c>
      <c r="M85" s="143" t="s">
        <v>39</v>
      </c>
      <c r="O85" s="143" t="s">
        <v>314</v>
      </c>
      <c r="P85" s="143">
        <v>0</v>
      </c>
      <c r="Q85" s="143" t="s">
        <v>315</v>
      </c>
      <c r="R85" s="145">
        <f>60/AO85/(60/$AO85 + 17/$AP85 + 3/$AQ85 + 20/$AR85)*100</f>
        <v>56.948236460187204</v>
      </c>
      <c r="S85" s="145">
        <f>100 - R85 - U85 - T85</f>
        <v>16.196226417298359</v>
      </c>
      <c r="T85" s="145">
        <f>3/AQ85/(60/$AO85 + 17/$AP85 + 3/$AQ85 + 20/$AR85)*100</f>
        <v>3.0424458755594199</v>
      </c>
      <c r="U85" s="145">
        <f>20/AR85/(60/$AO85 + 17/$AP85 + 3/$AQ85 + 20/$AR85)*100</f>
        <v>23.813091246955018</v>
      </c>
      <c r="V85" s="145">
        <v>9.7799999999999994</v>
      </c>
      <c r="W85" s="145">
        <f>100 - $V85</f>
        <v>90.22</v>
      </c>
      <c r="X85" s="145">
        <v>23.443999999999999</v>
      </c>
      <c r="Y85" s="146">
        <f>100 - $X85 - $Z85</f>
        <v>73.555999999999997</v>
      </c>
      <c r="Z85" s="145">
        <v>3</v>
      </c>
      <c r="AA85" s="145">
        <v>9.7080000000000002</v>
      </c>
      <c r="AB85" s="146">
        <f>100 - $AA85 - $AC85</f>
        <v>53.652999999999999</v>
      </c>
      <c r="AC85" s="145">
        <v>36.639000000000003</v>
      </c>
      <c r="AD85" s="145">
        <v>67.869795999999994</v>
      </c>
      <c r="AE85" s="146">
        <f>100 - $AD85 - $AF85</f>
        <v>31.063849000000005</v>
      </c>
      <c r="AF85" s="145">
        <v>1.0663549999999999</v>
      </c>
      <c r="AG85" s="143" t="s">
        <v>43</v>
      </c>
      <c r="AN85" s="147" t="s">
        <v>47</v>
      </c>
      <c r="AO85" s="147">
        <f>V85*$AN$1 + W85*$AO$1</f>
        <v>3.3795359999999999</v>
      </c>
      <c r="AP85" s="147">
        <f>X85*$AP$1+Y85*$AQ$1+Z85*$AR$1</f>
        <v>3.3668299999999998</v>
      </c>
      <c r="AQ85" s="147">
        <f>AA85*$AP$1+AB85*$AQ$1+AC85*$AR$1</f>
        <v>3.1628930000000004</v>
      </c>
      <c r="AR85" s="147">
        <f>AD85*$AS$1+AE85*$AT$1+AF85*$AU$1</f>
        <v>2.6940169626000001</v>
      </c>
      <c r="AS85" s="147"/>
      <c r="AT85" s="148"/>
      <c r="AU85" s="148"/>
    </row>
    <row r="86" spans="1:47" s="143" customFormat="1" ht="12">
      <c r="A86" s="143" t="s">
        <v>360</v>
      </c>
      <c r="B86" s="143" t="s">
        <v>361</v>
      </c>
      <c r="C86" s="143" t="s">
        <v>79</v>
      </c>
      <c r="D86" s="143" t="s">
        <v>310</v>
      </c>
      <c r="E86" s="143" t="s">
        <v>311</v>
      </c>
      <c r="G86" s="143" t="s">
        <v>312</v>
      </c>
      <c r="H86" s="143" t="s">
        <v>323</v>
      </c>
      <c r="J86" s="143">
        <v>0</v>
      </c>
      <c r="K86" s="143">
        <v>38</v>
      </c>
      <c r="L86" s="143" t="s">
        <v>38</v>
      </c>
      <c r="M86" s="143" t="s">
        <v>39</v>
      </c>
      <c r="O86" s="143" t="s">
        <v>314</v>
      </c>
      <c r="P86" s="143">
        <v>0</v>
      </c>
      <c r="Q86" s="143" t="s">
        <v>315</v>
      </c>
      <c r="R86" s="145">
        <f>20/AO86/(20/$AO86 + 40/$AP86 + 40/$AQ86)*100</f>
        <v>19.438090824314369</v>
      </c>
      <c r="S86" s="145">
        <f>100 - R86 - U86 - T86</f>
        <v>39.022895549843675</v>
      </c>
      <c r="T86" s="145">
        <f>40/AQ86/(20/$AO86 + 40/$AP86 + 40/$AQ86)*100</f>
        <v>41.539013625841953</v>
      </c>
      <c r="U86" s="145">
        <v>0</v>
      </c>
      <c r="V86" s="145">
        <v>9.7799999999999994</v>
      </c>
      <c r="W86" s="145">
        <f>100 - $V86</f>
        <v>90.22</v>
      </c>
      <c r="X86" s="145">
        <v>23.443999999999999</v>
      </c>
      <c r="Y86" s="146">
        <f>100 - $X86 - $Z86</f>
        <v>73.555999999999997</v>
      </c>
      <c r="Z86" s="145">
        <v>3</v>
      </c>
      <c r="AA86" s="145">
        <v>9.7080000000000002</v>
      </c>
      <c r="AB86" s="146">
        <f>100 - $AA86 - $AC86</f>
        <v>53.652999999999999</v>
      </c>
      <c r="AC86" s="145">
        <v>36.639000000000003</v>
      </c>
      <c r="AD86" s="145">
        <v>0</v>
      </c>
      <c r="AE86" s="146">
        <v>0</v>
      </c>
      <c r="AF86" s="145">
        <v>0</v>
      </c>
      <c r="AG86" s="143" t="s">
        <v>43</v>
      </c>
      <c r="AN86" s="147" t="s">
        <v>47</v>
      </c>
      <c r="AO86" s="147">
        <f>V86*$AN$1 + W86*$AO$1</f>
        <v>3.3795359999999999</v>
      </c>
      <c r="AP86" s="147">
        <f>X86*$AP$1+Y86*$AQ$1+Z86*$AR$1</f>
        <v>3.3668299999999998</v>
      </c>
      <c r="AQ86" s="147">
        <f>AA86*$AP$1+AB86*$AQ$1+AC86*$AR$1</f>
        <v>3.1628930000000004</v>
      </c>
      <c r="AR86" s="147">
        <v>1</v>
      </c>
      <c r="AS86" s="147"/>
      <c r="AT86" s="148"/>
      <c r="AU86" s="148"/>
    </row>
    <row r="87" spans="1:47" s="143" customFormat="1" ht="12">
      <c r="A87" s="143" t="s">
        <v>362</v>
      </c>
      <c r="B87" s="143" t="s">
        <v>363</v>
      </c>
      <c r="C87" s="143" t="s">
        <v>79</v>
      </c>
      <c r="D87" s="143" t="s">
        <v>310</v>
      </c>
      <c r="E87" s="143" t="s">
        <v>311</v>
      </c>
      <c r="G87" s="143" t="s">
        <v>312</v>
      </c>
      <c r="H87" s="143" t="s">
        <v>323</v>
      </c>
      <c r="J87" s="143">
        <v>0</v>
      </c>
      <c r="K87" s="143">
        <v>38</v>
      </c>
      <c r="L87" s="143" t="s">
        <v>38</v>
      </c>
      <c r="M87" s="143" t="s">
        <v>39</v>
      </c>
      <c r="O87" s="143" t="s">
        <v>314</v>
      </c>
      <c r="P87" s="143">
        <v>0</v>
      </c>
      <c r="Q87" s="143" t="s">
        <v>315</v>
      </c>
      <c r="R87" s="145">
        <f>30/AO87/(30/$AO87 + 35/$AP87 + 35/$AQ87)*100</f>
        <v>29.259895008251142</v>
      </c>
      <c r="S87" s="145">
        <f>100 - R87 - U87 - T87</f>
        <v>34.265371271900456</v>
      </c>
      <c r="T87" s="145">
        <f>35/AQ87/(30/$AO87 + 35/$AP87 + 35/$AQ87)*100</f>
        <v>36.474733719848409</v>
      </c>
      <c r="U87" s="145">
        <v>0</v>
      </c>
      <c r="V87" s="145">
        <v>9.7799999999999994</v>
      </c>
      <c r="W87" s="145">
        <f>100 - $V87</f>
        <v>90.22</v>
      </c>
      <c r="X87" s="145">
        <v>23.443999999999999</v>
      </c>
      <c r="Y87" s="146">
        <f>100 - $X87 - $Z87</f>
        <v>73.555999999999997</v>
      </c>
      <c r="Z87" s="145">
        <v>3</v>
      </c>
      <c r="AA87" s="145">
        <v>9.7080000000000002</v>
      </c>
      <c r="AB87" s="146">
        <f>100 - $AA87 - $AC87</f>
        <v>53.652999999999999</v>
      </c>
      <c r="AC87" s="145">
        <v>36.639000000000003</v>
      </c>
      <c r="AD87" s="145">
        <v>0</v>
      </c>
      <c r="AE87" s="146">
        <v>0</v>
      </c>
      <c r="AF87" s="145">
        <v>0</v>
      </c>
      <c r="AG87" s="143" t="s">
        <v>43</v>
      </c>
      <c r="AN87" s="147" t="s">
        <v>47</v>
      </c>
      <c r="AO87" s="147">
        <f>V87*$AN$1 + W87*$AO$1</f>
        <v>3.3795359999999999</v>
      </c>
      <c r="AP87" s="147">
        <f>X87*$AP$1+Y87*$AQ$1+Z87*$AR$1</f>
        <v>3.3668299999999998</v>
      </c>
      <c r="AQ87" s="147">
        <f>AA87*$AP$1+AB87*$AQ$1+AC87*$AR$1</f>
        <v>3.1628930000000004</v>
      </c>
      <c r="AR87" s="147">
        <v>1</v>
      </c>
      <c r="AS87" s="147"/>
      <c r="AT87" s="148"/>
      <c r="AU87" s="148"/>
    </row>
    <row r="88" spans="1:47" s="143" customFormat="1" ht="12">
      <c r="A88" s="143" t="s">
        <v>364</v>
      </c>
      <c r="B88" s="143" t="s">
        <v>365</v>
      </c>
      <c r="C88" s="143" t="s">
        <v>79</v>
      </c>
      <c r="D88" s="143" t="s">
        <v>310</v>
      </c>
      <c r="E88" s="143" t="s">
        <v>311</v>
      </c>
      <c r="G88" s="143" t="s">
        <v>312</v>
      </c>
      <c r="H88" s="143" t="s">
        <v>323</v>
      </c>
      <c r="J88" s="143">
        <v>0</v>
      </c>
      <c r="K88" s="143">
        <v>38</v>
      </c>
      <c r="L88" s="143" t="s">
        <v>38</v>
      </c>
      <c r="M88" s="143" t="s">
        <v>39</v>
      </c>
      <c r="O88" s="143" t="s">
        <v>314</v>
      </c>
      <c r="P88" s="143">
        <v>0</v>
      </c>
      <c r="Q88" s="143" t="s">
        <v>315</v>
      </c>
      <c r="R88" s="145">
        <f>40/AO88/(40/$AO88 + 30/$AP88 + 30/$AQ88)*100</f>
        <v>39.151174198894054</v>
      </c>
      <c r="S88" s="145">
        <f>100 - R88 - U88 - T88</f>
        <v>29.474194415986318</v>
      </c>
      <c r="T88" s="145">
        <f>30/AQ88/(40/$AO88 + 30/$AP88 + 30/$AQ88)*100</f>
        <v>31.374631385119628</v>
      </c>
      <c r="U88" s="145">
        <v>0</v>
      </c>
      <c r="V88" s="145">
        <v>9.7799999999999994</v>
      </c>
      <c r="W88" s="145">
        <f>100 - $V88</f>
        <v>90.22</v>
      </c>
      <c r="X88" s="145">
        <v>23.443999999999999</v>
      </c>
      <c r="Y88" s="146">
        <f>100 - $X88 - $Z88</f>
        <v>73.555999999999997</v>
      </c>
      <c r="Z88" s="145">
        <v>3</v>
      </c>
      <c r="AA88" s="145">
        <v>9.7080000000000002</v>
      </c>
      <c r="AB88" s="146">
        <f>100 - $AA88 - $AC88</f>
        <v>53.652999999999999</v>
      </c>
      <c r="AC88" s="145">
        <v>36.639000000000003</v>
      </c>
      <c r="AD88" s="145">
        <v>0</v>
      </c>
      <c r="AE88" s="146">
        <v>0</v>
      </c>
      <c r="AF88" s="145">
        <v>0</v>
      </c>
      <c r="AG88" s="143" t="s">
        <v>43</v>
      </c>
      <c r="AN88" s="147" t="s">
        <v>47</v>
      </c>
      <c r="AO88" s="147">
        <f>V88*$AN$1 + W88*$AO$1</f>
        <v>3.3795359999999999</v>
      </c>
      <c r="AP88" s="147">
        <f>X88*$AP$1+Y88*$AQ$1+Z88*$AR$1</f>
        <v>3.3668299999999998</v>
      </c>
      <c r="AQ88" s="147">
        <f>AA88*$AP$1+AB88*$AQ$1+AC88*$AR$1</f>
        <v>3.1628930000000004</v>
      </c>
      <c r="AR88" s="147">
        <v>1</v>
      </c>
      <c r="AS88" s="147"/>
      <c r="AT88" s="148"/>
      <c r="AU88" s="148"/>
    </row>
    <row r="89" spans="1:47" s="143" customFormat="1" ht="12">
      <c r="A89" s="143" t="s">
        <v>366</v>
      </c>
      <c r="B89" s="143" t="s">
        <v>367</v>
      </c>
      <c r="C89" s="143" t="s">
        <v>79</v>
      </c>
      <c r="D89" s="143" t="s">
        <v>310</v>
      </c>
      <c r="E89" s="143" t="s">
        <v>311</v>
      </c>
      <c r="G89" s="143" t="s">
        <v>312</v>
      </c>
      <c r="H89" s="143" t="s">
        <v>323</v>
      </c>
      <c r="J89" s="143">
        <v>0</v>
      </c>
      <c r="K89" s="143">
        <v>38</v>
      </c>
      <c r="L89" s="143" t="s">
        <v>38</v>
      </c>
      <c r="M89" s="143" t="s">
        <v>39</v>
      </c>
      <c r="O89" s="143" t="s">
        <v>314</v>
      </c>
      <c r="P89" s="143">
        <v>0</v>
      </c>
      <c r="Q89" s="143" t="s">
        <v>315</v>
      </c>
      <c r="R89" s="145">
        <f>50/AO89/(50/$AO89 + 25/$AP89 + 25/$AQ89)*100</f>
        <v>49.112668164865454</v>
      </c>
      <c r="S89" s="145">
        <f>100 - R89 - U89 - T89</f>
        <v>24.649006650056091</v>
      </c>
      <c r="T89" s="145">
        <f>25/AQ89/(50/$AO89 + 25/$AP89 + 25/$AQ89)*100</f>
        <v>26.238325185078455</v>
      </c>
      <c r="U89" s="145">
        <v>0</v>
      </c>
      <c r="V89" s="145">
        <v>9.7799999999999994</v>
      </c>
      <c r="W89" s="145">
        <f>100 - $V89</f>
        <v>90.22</v>
      </c>
      <c r="X89" s="145">
        <v>23.443999999999999</v>
      </c>
      <c r="Y89" s="146">
        <f>100 - $X89 - $Z89</f>
        <v>73.555999999999997</v>
      </c>
      <c r="Z89" s="145">
        <v>3</v>
      </c>
      <c r="AA89" s="145">
        <v>9.7080000000000002</v>
      </c>
      <c r="AB89" s="146">
        <f>100 - $AA89 - $AC89</f>
        <v>53.652999999999999</v>
      </c>
      <c r="AC89" s="145">
        <v>36.639000000000003</v>
      </c>
      <c r="AD89" s="145">
        <v>0</v>
      </c>
      <c r="AE89" s="146">
        <v>0</v>
      </c>
      <c r="AF89" s="145">
        <v>0</v>
      </c>
      <c r="AG89" s="143" t="s">
        <v>43</v>
      </c>
      <c r="AN89" s="147" t="s">
        <v>47</v>
      </c>
      <c r="AO89" s="147">
        <f>V89*$AN$1 + W89*$AO$1</f>
        <v>3.3795359999999999</v>
      </c>
      <c r="AP89" s="147">
        <f>X89*$AP$1+Y89*$AQ$1+Z89*$AR$1</f>
        <v>3.3668299999999998</v>
      </c>
      <c r="AQ89" s="147">
        <f>AA89*$AP$1+AB89*$AQ$1+AC89*$AR$1</f>
        <v>3.1628930000000004</v>
      </c>
      <c r="AR89" s="147">
        <v>1</v>
      </c>
      <c r="AS89" s="147"/>
      <c r="AT89" s="148"/>
      <c r="AU89" s="148"/>
    </row>
    <row r="90" spans="1:47" s="143" customFormat="1" ht="12">
      <c r="A90" s="143" t="s">
        <v>368</v>
      </c>
      <c r="B90" s="143" t="s">
        <v>369</v>
      </c>
      <c r="C90" s="143" t="s">
        <v>79</v>
      </c>
      <c r="D90" s="143" t="s">
        <v>310</v>
      </c>
      <c r="E90" s="143" t="s">
        <v>311</v>
      </c>
      <c r="G90" s="143" t="s">
        <v>312</v>
      </c>
      <c r="H90" s="143" t="s">
        <v>323</v>
      </c>
      <c r="J90" s="143">
        <v>0</v>
      </c>
      <c r="K90" s="143">
        <v>38</v>
      </c>
      <c r="L90" s="143" t="s">
        <v>38</v>
      </c>
      <c r="M90" s="143" t="s">
        <v>39</v>
      </c>
      <c r="O90" s="143" t="s">
        <v>314</v>
      </c>
      <c r="P90" s="143">
        <v>0</v>
      </c>
      <c r="Q90" s="143" t="s">
        <v>315</v>
      </c>
      <c r="R90" s="145">
        <f>60/AO90/(60/$AO90 + 20/$AP90 + 20/$AQ90)*100</f>
        <v>59.145127214922077</v>
      </c>
      <c r="S90" s="145">
        <f>100 - R90 - U90 - T90</f>
        <v>19.789444536592665</v>
      </c>
      <c r="T90" s="145">
        <f>20/AQ90/(60/$AO90 + 20/$AP90 + 20/$AQ90)*100</f>
        <v>21.065428248485258</v>
      </c>
      <c r="U90" s="145">
        <v>0</v>
      </c>
      <c r="V90" s="145">
        <v>9.7799999999999994</v>
      </c>
      <c r="W90" s="145">
        <f>100 - $V90</f>
        <v>90.22</v>
      </c>
      <c r="X90" s="145">
        <v>23.443999999999999</v>
      </c>
      <c r="Y90" s="146">
        <f>100 - $X90 - $Z90</f>
        <v>73.555999999999997</v>
      </c>
      <c r="Z90" s="145">
        <v>3</v>
      </c>
      <c r="AA90" s="145">
        <v>9.7080000000000002</v>
      </c>
      <c r="AB90" s="146">
        <f>100 - $AA90 - $AC90</f>
        <v>53.652999999999999</v>
      </c>
      <c r="AC90" s="145">
        <v>36.639000000000003</v>
      </c>
      <c r="AD90" s="145">
        <v>0</v>
      </c>
      <c r="AE90" s="146">
        <v>0</v>
      </c>
      <c r="AF90" s="145">
        <v>0</v>
      </c>
      <c r="AG90" s="143" t="s">
        <v>43</v>
      </c>
      <c r="AN90" s="147" t="s">
        <v>47</v>
      </c>
      <c r="AO90" s="147">
        <f>V90*$AN$1 + W90*$AO$1</f>
        <v>3.3795359999999999</v>
      </c>
      <c r="AP90" s="147">
        <f>X90*$AP$1+Y90*$AQ$1+Z90*$AR$1</f>
        <v>3.3668299999999998</v>
      </c>
      <c r="AQ90" s="147">
        <f>AA90*$AP$1+AB90*$AQ$1+AC90*$AR$1</f>
        <v>3.1628930000000004</v>
      </c>
      <c r="AR90" s="147">
        <v>1</v>
      </c>
      <c r="AS90" s="147"/>
      <c r="AT90" s="148"/>
      <c r="AU90" s="148"/>
    </row>
    <row r="91" spans="1:47" s="143" customFormat="1" ht="12">
      <c r="A91" s="143" t="s">
        <v>370</v>
      </c>
      <c r="B91" s="143" t="s">
        <v>371</v>
      </c>
      <c r="C91" s="143" t="s">
        <v>79</v>
      </c>
      <c r="D91" s="143" t="s">
        <v>310</v>
      </c>
      <c r="E91" s="143" t="s">
        <v>311</v>
      </c>
      <c r="G91" s="143" t="s">
        <v>312</v>
      </c>
      <c r="H91" s="143" t="s">
        <v>323</v>
      </c>
      <c r="J91" s="143">
        <v>0</v>
      </c>
      <c r="K91" s="143">
        <v>38</v>
      </c>
      <c r="L91" s="143" t="s">
        <v>38</v>
      </c>
      <c r="M91" s="143" t="s">
        <v>39</v>
      </c>
      <c r="O91" s="143" t="s">
        <v>314</v>
      </c>
      <c r="P91" s="143">
        <v>0</v>
      </c>
      <c r="Q91" s="143" t="s">
        <v>315</v>
      </c>
      <c r="R91" s="145">
        <f>70/AO91/(70/$AO91 + 15/$AP91 + 15/$AQ91)*100</f>
        <v>69.249312386344272</v>
      </c>
      <c r="S91" s="145">
        <f>100 - R91 - U91 - T91</f>
        <v>14.895139441354317</v>
      </c>
      <c r="T91" s="145">
        <f>15/AQ91/(70/$AO91 + 15/$AP91 + 15/$AQ91)*100</f>
        <v>15.855548172301411</v>
      </c>
      <c r="U91" s="145">
        <v>0</v>
      </c>
      <c r="V91" s="145">
        <v>9.7799999999999994</v>
      </c>
      <c r="W91" s="145">
        <f>100 - $V91</f>
        <v>90.22</v>
      </c>
      <c r="X91" s="145">
        <v>23.443999999999999</v>
      </c>
      <c r="Y91" s="146">
        <f>100 - $X91 - $Z91</f>
        <v>73.555999999999997</v>
      </c>
      <c r="Z91" s="145">
        <v>3</v>
      </c>
      <c r="AA91" s="145">
        <v>9.7080000000000002</v>
      </c>
      <c r="AB91" s="146">
        <f>100 - $AA91 - $AC91</f>
        <v>53.652999999999999</v>
      </c>
      <c r="AC91" s="145">
        <v>36.639000000000003</v>
      </c>
      <c r="AD91" s="145">
        <v>0</v>
      </c>
      <c r="AE91" s="146">
        <v>0</v>
      </c>
      <c r="AF91" s="145">
        <v>0</v>
      </c>
      <c r="AG91" s="143" t="s">
        <v>43</v>
      </c>
      <c r="AN91" s="147" t="s">
        <v>47</v>
      </c>
      <c r="AO91" s="147">
        <f>V91*$AN$1 + W91*$AO$1</f>
        <v>3.3795359999999999</v>
      </c>
      <c r="AP91" s="147">
        <f>X91*$AP$1+Y91*$AQ$1+Z91*$AR$1</f>
        <v>3.3668299999999998</v>
      </c>
      <c r="AQ91" s="147">
        <f>AA91*$AP$1+AB91*$AQ$1+AC91*$AR$1</f>
        <v>3.1628930000000004</v>
      </c>
      <c r="AR91" s="147">
        <v>1</v>
      </c>
      <c r="AS91" s="147"/>
      <c r="AT91" s="148"/>
      <c r="AU91" s="148"/>
    </row>
    <row r="92" spans="1:47" s="143" customFormat="1" ht="12">
      <c r="A92" s="143" t="s">
        <v>372</v>
      </c>
      <c r="B92" s="143" t="s">
        <v>373</v>
      </c>
      <c r="C92" s="143" t="s">
        <v>79</v>
      </c>
      <c r="D92" s="143" t="s">
        <v>310</v>
      </c>
      <c r="E92" s="143" t="s">
        <v>311</v>
      </c>
      <c r="G92" s="143" t="s">
        <v>312</v>
      </c>
      <c r="H92" s="143" t="s">
        <v>323</v>
      </c>
      <c r="J92" s="143">
        <v>0</v>
      </c>
      <c r="K92" s="143">
        <v>38</v>
      </c>
      <c r="L92" s="143" t="s">
        <v>38</v>
      </c>
      <c r="M92" s="143" t="s">
        <v>39</v>
      </c>
      <c r="O92" s="143" t="s">
        <v>314</v>
      </c>
      <c r="P92" s="143">
        <v>0</v>
      </c>
      <c r="Q92" s="143" t="s">
        <v>315</v>
      </c>
      <c r="R92" s="145">
        <f>80/AO92/(80/$AO92 + 10/$AP92 + 10/$AQ92)*100</f>
        <v>79.425995637380382</v>
      </c>
      <c r="S92" s="145">
        <f>100 - R92 - U92 - T92</f>
        <v>9.9657174401577358</v>
      </c>
      <c r="T92" s="145">
        <f>10/AQ92/(80/$AO92 + 10/$AP92 + 10/$AQ92)*100</f>
        <v>10.608286922461883</v>
      </c>
      <c r="U92" s="145">
        <v>0</v>
      </c>
      <c r="V92" s="145">
        <v>9.7799999999999994</v>
      </c>
      <c r="W92" s="145">
        <f>100 - $V92</f>
        <v>90.22</v>
      </c>
      <c r="X92" s="145">
        <v>23.443999999999999</v>
      </c>
      <c r="Y92" s="146">
        <f>100 - $X92 - $Z92</f>
        <v>73.555999999999997</v>
      </c>
      <c r="Z92" s="145">
        <v>3</v>
      </c>
      <c r="AA92" s="145">
        <v>9.7080000000000002</v>
      </c>
      <c r="AB92" s="146">
        <f>100 - $AA92 - $AC92</f>
        <v>53.652999999999999</v>
      </c>
      <c r="AC92" s="145">
        <v>36.639000000000003</v>
      </c>
      <c r="AD92" s="145">
        <v>0</v>
      </c>
      <c r="AE92" s="146">
        <v>0</v>
      </c>
      <c r="AF92" s="145">
        <v>0</v>
      </c>
      <c r="AG92" s="143" t="s">
        <v>43</v>
      </c>
      <c r="AN92" s="147" t="s">
        <v>47</v>
      </c>
      <c r="AO92" s="147">
        <f>V92*$AN$1 + W92*$AO$1</f>
        <v>3.3795359999999999</v>
      </c>
      <c r="AP92" s="147">
        <f>X92*$AP$1+Y92*$AQ$1+Z92*$AR$1</f>
        <v>3.3668299999999998</v>
      </c>
      <c r="AQ92" s="147">
        <f>AA92*$AP$1+AB92*$AQ$1+AC92*$AR$1</f>
        <v>3.1628930000000004</v>
      </c>
      <c r="AR92" s="147">
        <v>1</v>
      </c>
      <c r="AS92" s="147"/>
      <c r="AT92" s="148"/>
      <c r="AU92" s="148"/>
    </row>
    <row r="93" spans="1:47" s="143" customFormat="1" ht="12">
      <c r="A93" s="143" t="s">
        <v>374</v>
      </c>
      <c r="B93" s="143" t="s">
        <v>375</v>
      </c>
      <c r="C93" s="143" t="s">
        <v>79</v>
      </c>
      <c r="D93" s="143" t="s">
        <v>310</v>
      </c>
      <c r="E93" s="143" t="s">
        <v>311</v>
      </c>
      <c r="G93" s="143" t="s">
        <v>312</v>
      </c>
      <c r="H93" s="143" t="s">
        <v>349</v>
      </c>
      <c r="J93" s="143">
        <v>0</v>
      </c>
      <c r="K93" s="143">
        <v>38</v>
      </c>
      <c r="L93" s="143" t="s">
        <v>38</v>
      </c>
      <c r="M93" s="143" t="s">
        <v>39</v>
      </c>
      <c r="O93" s="143" t="s">
        <v>314</v>
      </c>
      <c r="P93" s="143">
        <v>0</v>
      </c>
      <c r="Q93" s="143" t="s">
        <v>315</v>
      </c>
      <c r="R93" s="145">
        <v>0</v>
      </c>
      <c r="S93" s="145">
        <f>100 - R93 - U93 - T93</f>
        <v>74.007510497941027</v>
      </c>
      <c r="T93" s="145">
        <f>13.5/AQ93/(76.5/$AP93 + 13.5/$AQ93 + 10/$AR93)*100</f>
        <v>13.902241131575877</v>
      </c>
      <c r="U93" s="145">
        <f>10/AR93/(76.5/$AP93 + 13.5/$AQ93 + 10/$AR93)*100</f>
        <v>12.090248370483094</v>
      </c>
      <c r="V93" s="145">
        <v>0</v>
      </c>
      <c r="W93" s="145">
        <v>0</v>
      </c>
      <c r="X93" s="145">
        <v>23.443999999999999</v>
      </c>
      <c r="Y93" s="146">
        <f>100 - $X93 - $Z93</f>
        <v>73.555999999999997</v>
      </c>
      <c r="Z93" s="145">
        <v>3</v>
      </c>
      <c r="AA93" s="145">
        <v>9.7080000000000002</v>
      </c>
      <c r="AB93" s="146">
        <f>100 - $AA93 - $AC93</f>
        <v>53.652999999999999</v>
      </c>
      <c r="AC93" s="145">
        <v>36.639000000000003</v>
      </c>
      <c r="AD93" s="145">
        <v>67.869795999999994</v>
      </c>
      <c r="AE93" s="146">
        <f>100 - $AD93 - $AF93</f>
        <v>31.063849000000005</v>
      </c>
      <c r="AF93" s="145">
        <v>1.0663549999999999</v>
      </c>
      <c r="AG93" s="143" t="s">
        <v>43</v>
      </c>
      <c r="AN93" s="147" t="s">
        <v>47</v>
      </c>
      <c r="AO93" s="147">
        <v>1</v>
      </c>
      <c r="AP93" s="147">
        <f>X93*$AP$1+Y93*$AQ$1+Z93*$AR$1</f>
        <v>3.3668299999999998</v>
      </c>
      <c r="AQ93" s="147">
        <f>AA93*$AP$1+AB93*$AQ$1+AC93*$AR$1</f>
        <v>3.1628930000000004</v>
      </c>
      <c r="AR93" s="147">
        <f>AD93*$AS$1+AE93*$AT$1+AF93*$AU$1</f>
        <v>2.6940169626000001</v>
      </c>
      <c r="AS93" s="147"/>
      <c r="AT93" s="148"/>
      <c r="AU93" s="148"/>
    </row>
    <row r="94" spans="1:47" s="143" customFormat="1" ht="12">
      <c r="A94" s="143" t="s">
        <v>376</v>
      </c>
      <c r="B94" s="143" t="s">
        <v>377</v>
      </c>
      <c r="C94" s="143" t="s">
        <v>79</v>
      </c>
      <c r="D94" s="143" t="s">
        <v>310</v>
      </c>
      <c r="E94" s="143" t="s">
        <v>311</v>
      </c>
      <c r="G94" s="143" t="s">
        <v>312</v>
      </c>
      <c r="H94" s="143" t="s">
        <v>349</v>
      </c>
      <c r="J94" s="143">
        <v>0</v>
      </c>
      <c r="K94" s="143">
        <v>38</v>
      </c>
      <c r="L94" s="143" t="s">
        <v>38</v>
      </c>
      <c r="M94" s="143" t="s">
        <v>39</v>
      </c>
      <c r="O94" s="143" t="s">
        <v>314</v>
      </c>
      <c r="P94" s="143">
        <v>0</v>
      </c>
      <c r="Q94" s="143" t="s">
        <v>315</v>
      </c>
      <c r="R94" s="145">
        <v>0</v>
      </c>
      <c r="S94" s="145">
        <f>100 - R94 - U94 - T94</f>
        <v>64.291289735873519</v>
      </c>
      <c r="T94" s="145">
        <f>12/AQ94/(68/$AP94 + 12/$AQ94 + 20/$AR94)*100</f>
        <v>12.077058214152322</v>
      </c>
      <c r="U94" s="145">
        <f>20/AR94/(68/$AP94 + 12/$AQ94 + 20/$AR94)*100</f>
        <v>23.631652049974168</v>
      </c>
      <c r="V94" s="145">
        <v>0</v>
      </c>
      <c r="W94" s="145">
        <v>0</v>
      </c>
      <c r="X94" s="145">
        <v>23.443999999999999</v>
      </c>
      <c r="Y94" s="146">
        <f>100 - $X94 - $Z94</f>
        <v>73.555999999999997</v>
      </c>
      <c r="Z94" s="145">
        <v>3</v>
      </c>
      <c r="AA94" s="145">
        <v>9.7080000000000002</v>
      </c>
      <c r="AB94" s="146">
        <f>100 - $AA94 - $AC94</f>
        <v>53.652999999999999</v>
      </c>
      <c r="AC94" s="145">
        <v>36.639000000000003</v>
      </c>
      <c r="AD94" s="145">
        <v>67.869795999999994</v>
      </c>
      <c r="AE94" s="146">
        <f>100 - $AD94 - $AF94</f>
        <v>31.063849000000005</v>
      </c>
      <c r="AF94" s="145">
        <v>1.0663549999999999</v>
      </c>
      <c r="AG94" s="143" t="s">
        <v>43</v>
      </c>
      <c r="AN94" s="147" t="s">
        <v>47</v>
      </c>
      <c r="AO94" s="147">
        <v>1</v>
      </c>
      <c r="AP94" s="147">
        <f>X94*$AP$1+Y94*$AQ$1+Z94*$AR$1</f>
        <v>3.3668299999999998</v>
      </c>
      <c r="AQ94" s="147">
        <f>AA94*$AP$1+AB94*$AQ$1+AC94*$AR$1</f>
        <v>3.1628930000000004</v>
      </c>
      <c r="AR94" s="147">
        <f>AD94*$AS$1+AE94*$AT$1+AF94*$AU$1</f>
        <v>2.6940169626000001</v>
      </c>
      <c r="AS94" s="147"/>
      <c r="AT94" s="148"/>
      <c r="AU94" s="148"/>
    </row>
    <row r="95" spans="1:47" s="143" customFormat="1" ht="12">
      <c r="A95" s="143" t="s">
        <v>378</v>
      </c>
      <c r="B95" s="143" t="s">
        <v>379</v>
      </c>
      <c r="C95" s="143" t="s">
        <v>79</v>
      </c>
      <c r="D95" s="143" t="s">
        <v>310</v>
      </c>
      <c r="E95" s="143" t="s">
        <v>311</v>
      </c>
      <c r="G95" s="143" t="s">
        <v>312</v>
      </c>
      <c r="H95" s="143" t="s">
        <v>349</v>
      </c>
      <c r="J95" s="143">
        <v>0</v>
      </c>
      <c r="K95" s="143">
        <v>38</v>
      </c>
      <c r="L95" s="143" t="s">
        <v>38</v>
      </c>
      <c r="M95" s="143" t="s">
        <v>39</v>
      </c>
      <c r="O95" s="143" t="s">
        <v>314</v>
      </c>
      <c r="P95" s="143">
        <v>0</v>
      </c>
      <c r="Q95" s="143" t="s">
        <v>315</v>
      </c>
      <c r="R95" s="145">
        <v>0</v>
      </c>
      <c r="S95" s="145">
        <f>100 - R95 - U95 - T95</f>
        <v>55.006353906843124</v>
      </c>
      <c r="T95" s="145">
        <f>10.5/AQ95/(59.5/$AP95 + 10.5/$AQ95 + 30/$AR95)*100</f>
        <v>10.332891765127124</v>
      </c>
      <c r="U95" s="145">
        <f>30/AR95/(59.5/$AP95 + 10.5/$AQ95 + 30/$AR95)*100</f>
        <v>34.660754328029746</v>
      </c>
      <c r="V95" s="145">
        <v>0</v>
      </c>
      <c r="W95" s="145">
        <v>0</v>
      </c>
      <c r="X95" s="145">
        <v>23.443999999999999</v>
      </c>
      <c r="Y95" s="146">
        <f>100 - $X95 - $Z95</f>
        <v>73.555999999999997</v>
      </c>
      <c r="Z95" s="145">
        <v>3</v>
      </c>
      <c r="AA95" s="145">
        <v>9.7080000000000002</v>
      </c>
      <c r="AB95" s="146">
        <f>100 - $AA95 - $AC95</f>
        <v>53.652999999999999</v>
      </c>
      <c r="AC95" s="145">
        <v>36.639000000000003</v>
      </c>
      <c r="AD95" s="145">
        <v>67.869795999999994</v>
      </c>
      <c r="AE95" s="146">
        <f>100 - $AD95 - $AF95</f>
        <v>31.063849000000005</v>
      </c>
      <c r="AF95" s="145">
        <v>1.0663549999999999</v>
      </c>
      <c r="AG95" s="143" t="s">
        <v>43</v>
      </c>
      <c r="AN95" s="147" t="s">
        <v>47</v>
      </c>
      <c r="AO95" s="147">
        <v>1</v>
      </c>
      <c r="AP95" s="147">
        <f>X95*$AP$1+Y95*$AQ$1+Z95*$AR$1</f>
        <v>3.3668299999999998</v>
      </c>
      <c r="AQ95" s="147">
        <f>AA95*$AP$1+AB95*$AQ$1+AC95*$AR$1</f>
        <v>3.1628930000000004</v>
      </c>
      <c r="AR95" s="147">
        <f>AD95*$AS$1+AE95*$AT$1+AF95*$AU$1</f>
        <v>2.6940169626000001</v>
      </c>
      <c r="AS95" s="147"/>
      <c r="AT95" s="148"/>
      <c r="AU95" s="148"/>
    </row>
    <row r="96" spans="1:47" s="143" customFormat="1" ht="12">
      <c r="A96" s="143" t="s">
        <v>380</v>
      </c>
      <c r="B96" s="143" t="s">
        <v>381</v>
      </c>
      <c r="C96" s="143" t="s">
        <v>79</v>
      </c>
      <c r="D96" s="143" t="s">
        <v>310</v>
      </c>
      <c r="E96" s="143" t="s">
        <v>311</v>
      </c>
      <c r="G96" s="143" t="s">
        <v>312</v>
      </c>
      <c r="H96" s="143" t="s">
        <v>326</v>
      </c>
      <c r="J96" s="143">
        <v>0</v>
      </c>
      <c r="K96" s="143">
        <v>38</v>
      </c>
      <c r="L96" s="143" t="s">
        <v>38</v>
      </c>
      <c r="M96" s="143" t="s">
        <v>39</v>
      </c>
      <c r="O96" s="143" t="s">
        <v>314</v>
      </c>
      <c r="P96" s="143">
        <v>0</v>
      </c>
      <c r="Q96" s="143" t="s">
        <v>315</v>
      </c>
      <c r="R96" s="145">
        <f>90/AO96/(90/$AO96 + 2.5/$AP96 + 2.5/$AQ96 + 5/$AR96)*100</f>
        <v>88.711053465789931</v>
      </c>
      <c r="S96" s="145">
        <f>100 - R96 - U96 - T96</f>
        <v>2.4734955002642018</v>
      </c>
      <c r="T96" s="145">
        <f>2.5/AQ96/(90/$AO96 + 2.5/$AP96 + 2.5/$AQ96 + 5/$AR96)*100</f>
        <v>2.632981531513868</v>
      </c>
      <c r="U96" s="145">
        <f>5/AR96/(90/$AO96 + 2.5/$AP96 + 2.5/$AQ96 + 5/$AR96)*100</f>
        <v>6.1824695024319993</v>
      </c>
      <c r="V96" s="145">
        <v>9.7799999999999994</v>
      </c>
      <c r="W96" s="145">
        <f>100 - $V96</f>
        <v>90.22</v>
      </c>
      <c r="X96" s="145">
        <v>23.443999999999999</v>
      </c>
      <c r="Y96" s="146">
        <f>100 - $X96 - $Z96</f>
        <v>73.555999999999997</v>
      </c>
      <c r="Z96" s="145">
        <v>3</v>
      </c>
      <c r="AA96" s="145">
        <v>9.7080000000000002</v>
      </c>
      <c r="AB96" s="146">
        <f>100 - $AA96 - $AC96</f>
        <v>53.652999999999999</v>
      </c>
      <c r="AC96" s="145">
        <v>36.639000000000003</v>
      </c>
      <c r="AD96" s="145">
        <v>67.869795999999994</v>
      </c>
      <c r="AE96" s="146">
        <f>100 - $AD96 - $AF96</f>
        <v>31.063849000000005</v>
      </c>
      <c r="AF96" s="145">
        <v>1.0663549999999999</v>
      </c>
      <c r="AG96" s="143" t="s">
        <v>43</v>
      </c>
      <c r="AN96" s="147" t="s">
        <v>47</v>
      </c>
      <c r="AO96" s="147">
        <f>V96*$AN$1 + W96*$AO$1</f>
        <v>3.3795359999999999</v>
      </c>
      <c r="AP96" s="147">
        <f>X96*$AP$1+Y96*$AQ$1+Z96*$AR$1</f>
        <v>3.3668299999999998</v>
      </c>
      <c r="AQ96" s="147">
        <f>AA96*$AP$1+AB96*$AQ$1+AC96*$AR$1</f>
        <v>3.1628930000000004</v>
      </c>
      <c r="AR96" s="147">
        <f>AD96*$AS$1+AE96*$AT$1+AF96*$AU$1</f>
        <v>2.6940169626000001</v>
      </c>
      <c r="AS96" s="147"/>
      <c r="AT96" s="148"/>
      <c r="AU96" s="148"/>
    </row>
    <row r="97" spans="1:47" s="143" customFormat="1" ht="12">
      <c r="A97" s="143" t="s">
        <v>382</v>
      </c>
      <c r="B97" s="143" t="s">
        <v>383</v>
      </c>
      <c r="C97" s="143" t="s">
        <v>79</v>
      </c>
      <c r="D97" s="143" t="s">
        <v>310</v>
      </c>
      <c r="E97" s="143" t="s">
        <v>311</v>
      </c>
      <c r="G97" s="143" t="s">
        <v>312</v>
      </c>
      <c r="H97" s="143" t="s">
        <v>326</v>
      </c>
      <c r="J97" s="143">
        <v>0</v>
      </c>
      <c r="K97" s="143">
        <v>38</v>
      </c>
      <c r="L97" s="143" t="s">
        <v>38</v>
      </c>
      <c r="M97" s="143" t="s">
        <v>39</v>
      </c>
      <c r="O97" s="143" t="s">
        <v>314</v>
      </c>
      <c r="P97" s="143">
        <v>0</v>
      </c>
      <c r="Q97" s="143" t="s">
        <v>315</v>
      </c>
      <c r="R97" s="145">
        <f>80/AO97/(80/$AO97 + 5/$AP97 + 5/$AQ97 + 10/$AR97)*100</f>
        <v>77.740893576898415</v>
      </c>
      <c r="S97" s="145">
        <f>100 - R97 - U97 - T97</f>
        <v>4.8771423808764052</v>
      </c>
      <c r="T97" s="145">
        <f>5/AQ97/(80/$AO97 + 5/$AP97 + 5/$AQ97 + 10/$AR97)*100</f>
        <v>5.1916107444058515</v>
      </c>
      <c r="U97" s="145">
        <f>10/AR97/(80/$AO97 + 5/$AP97 + 5/$AQ97 + 10/$AR97)*100</f>
        <v>12.190353297819328</v>
      </c>
      <c r="V97" s="145">
        <v>9.7799999999999994</v>
      </c>
      <c r="W97" s="145">
        <f>100 - $V97</f>
        <v>90.22</v>
      </c>
      <c r="X97" s="145">
        <v>23.443999999999999</v>
      </c>
      <c r="Y97" s="146">
        <f>100 - $X97 - $Z97</f>
        <v>73.555999999999997</v>
      </c>
      <c r="Z97" s="145">
        <v>3</v>
      </c>
      <c r="AA97" s="145">
        <v>9.7080000000000002</v>
      </c>
      <c r="AB97" s="146">
        <f>100 - $AA97 - $AC97</f>
        <v>53.652999999999999</v>
      </c>
      <c r="AC97" s="145">
        <v>36.639000000000003</v>
      </c>
      <c r="AD97" s="145">
        <v>67.869795999999994</v>
      </c>
      <c r="AE97" s="146">
        <f>100 - $AD97 - $AF97</f>
        <v>31.063849000000005</v>
      </c>
      <c r="AF97" s="145">
        <v>1.0663549999999999</v>
      </c>
      <c r="AG97" s="143" t="s">
        <v>43</v>
      </c>
      <c r="AN97" s="147" t="s">
        <v>47</v>
      </c>
      <c r="AO97" s="147">
        <f>V97*$AN$1 + W97*$AO$1</f>
        <v>3.3795359999999999</v>
      </c>
      <c r="AP97" s="147">
        <f>X97*$AP$1+Y97*$AQ$1+Z97*$AR$1</f>
        <v>3.3668299999999998</v>
      </c>
      <c r="AQ97" s="147">
        <f>AA97*$AP$1+AB97*$AQ$1+AC97*$AR$1</f>
        <v>3.1628930000000004</v>
      </c>
      <c r="AR97" s="147">
        <f>AD97*$AS$1+AE97*$AT$1+AF97*$AU$1</f>
        <v>2.6940169626000001</v>
      </c>
      <c r="AS97" s="147"/>
      <c r="AT97" s="148"/>
      <c r="AU97" s="148"/>
    </row>
    <row r="98" spans="1:47" s="143" customFormat="1" ht="12">
      <c r="A98" s="143" t="s">
        <v>384</v>
      </c>
      <c r="B98" s="143" t="s">
        <v>385</v>
      </c>
      <c r="C98" s="143" t="s">
        <v>79</v>
      </c>
      <c r="D98" s="143" t="s">
        <v>310</v>
      </c>
      <c r="E98" s="143" t="s">
        <v>311</v>
      </c>
      <c r="G98" s="143" t="s">
        <v>312</v>
      </c>
      <c r="H98" s="143" t="s">
        <v>326</v>
      </c>
      <c r="J98" s="143">
        <v>0</v>
      </c>
      <c r="K98" s="143">
        <v>38</v>
      </c>
      <c r="L98" s="143" t="s">
        <v>38</v>
      </c>
      <c r="M98" s="143" t="s">
        <v>39</v>
      </c>
      <c r="O98" s="143" t="s">
        <v>314</v>
      </c>
      <c r="P98" s="143">
        <v>0</v>
      </c>
      <c r="Q98" s="143" t="s">
        <v>315</v>
      </c>
      <c r="R98" s="145">
        <f>70/AO98/(70/$AO98 + 7.5/$AP98 + 7.5/$AQ98 + 15/$AR98)*100</f>
        <v>67.076205093757466</v>
      </c>
      <c r="S98" s="145">
        <f>100 - R98 - U98 - T98</f>
        <v>7.2138581138129689</v>
      </c>
      <c r="T98" s="145">
        <f>7.5/AQ98/(70/$AO98 + 7.5/$AP98 + 7.5/$AQ98 + 15/$AR98)*100</f>
        <v>7.6789932233967226</v>
      </c>
      <c r="U98" s="145">
        <f>15/AR98/(70/$AO98 + 7.5/$AP98 + 7.5/$AQ98 + 15/$AR98)*100</f>
        <v>18.030943569032843</v>
      </c>
      <c r="V98" s="145">
        <v>9.7799999999999994</v>
      </c>
      <c r="W98" s="145">
        <f>100 - $V98</f>
        <v>90.22</v>
      </c>
      <c r="X98" s="145">
        <v>23.443999999999999</v>
      </c>
      <c r="Y98" s="146">
        <f>100 - $X98 - $Z98</f>
        <v>73.555999999999997</v>
      </c>
      <c r="Z98" s="145">
        <v>3</v>
      </c>
      <c r="AA98" s="145">
        <v>9.7080000000000002</v>
      </c>
      <c r="AB98" s="146">
        <f>100 - $AA98 - $AC98</f>
        <v>53.652999999999999</v>
      </c>
      <c r="AC98" s="145">
        <v>36.639000000000003</v>
      </c>
      <c r="AD98" s="145">
        <v>67.869795999999994</v>
      </c>
      <c r="AE98" s="146">
        <f>100 - $AD98 - $AF98</f>
        <v>31.063849000000005</v>
      </c>
      <c r="AF98" s="145">
        <v>1.0663549999999999</v>
      </c>
      <c r="AG98" s="143" t="s">
        <v>43</v>
      </c>
      <c r="AN98" s="147" t="s">
        <v>47</v>
      </c>
      <c r="AO98" s="147">
        <f>V98*$AN$1 + W98*$AO$1</f>
        <v>3.3795359999999999</v>
      </c>
      <c r="AP98" s="147">
        <f>X98*$AP$1+Y98*$AQ$1+Z98*$AR$1</f>
        <v>3.3668299999999998</v>
      </c>
      <c r="AQ98" s="147">
        <f>AA98*$AP$1+AB98*$AQ$1+AC98*$AR$1</f>
        <v>3.1628930000000004</v>
      </c>
      <c r="AR98" s="147">
        <f>AD98*$AS$1+AE98*$AT$1+AF98*$AU$1</f>
        <v>2.6940169626000001</v>
      </c>
      <c r="AS98" s="147"/>
      <c r="AT98" s="148"/>
      <c r="AU98" s="148"/>
    </row>
    <row r="99" spans="1:47" s="143" customFormat="1" ht="12">
      <c r="A99" s="143" t="s">
        <v>386</v>
      </c>
      <c r="B99" s="143" t="s">
        <v>387</v>
      </c>
      <c r="C99" s="143" t="s">
        <v>79</v>
      </c>
      <c r="D99" s="143" t="s">
        <v>310</v>
      </c>
      <c r="E99" s="143" t="s">
        <v>311</v>
      </c>
      <c r="G99" s="143" t="s">
        <v>312</v>
      </c>
      <c r="H99" s="143" t="s">
        <v>326</v>
      </c>
      <c r="J99" s="143">
        <v>0</v>
      </c>
      <c r="K99" s="143">
        <v>38</v>
      </c>
      <c r="L99" s="143" t="s">
        <v>38</v>
      </c>
      <c r="M99" s="143" t="s">
        <v>39</v>
      </c>
      <c r="O99" s="143" t="s">
        <v>314</v>
      </c>
      <c r="P99" s="143">
        <v>0</v>
      </c>
      <c r="Q99" s="143" t="s">
        <v>315</v>
      </c>
      <c r="R99" s="145">
        <f>60/AO99/(60/$AO99 + 10/$AP99 + 10/$AQ99 + 20/$AR99)*100</f>
        <v>56.704404137606154</v>
      </c>
      <c r="S99" s="145">
        <f>100 - R99 - U99 - T99</f>
        <v>9.4863999242407484</v>
      </c>
      <c r="T99" s="145">
        <f>10/AQ99/(60/$AO99 + 10/$AP99 + 10/$AQ99 + 20/$AR99)*100</f>
        <v>10.098063974004647</v>
      </c>
      <c r="U99" s="145">
        <f>20/AR99/(60/$AO99 + 10/$AP99 + 10/$AQ99 + 20/$AR99)*100</f>
        <v>23.71113196414845</v>
      </c>
      <c r="V99" s="145">
        <v>9.7799999999999994</v>
      </c>
      <c r="W99" s="145">
        <f>100 - $V99</f>
        <v>90.22</v>
      </c>
      <c r="X99" s="145">
        <v>23.443999999999999</v>
      </c>
      <c r="Y99" s="146">
        <f>100 - $X99 - $Z99</f>
        <v>73.555999999999997</v>
      </c>
      <c r="Z99" s="145">
        <v>3</v>
      </c>
      <c r="AA99" s="145">
        <v>9.7080000000000002</v>
      </c>
      <c r="AB99" s="146">
        <f>100 - $AA99 - $AC99</f>
        <v>53.652999999999999</v>
      </c>
      <c r="AC99" s="145">
        <v>36.639000000000003</v>
      </c>
      <c r="AD99" s="145">
        <v>67.869795999999994</v>
      </c>
      <c r="AE99" s="146">
        <f>100 - $AD99 - $AF99</f>
        <v>31.063849000000005</v>
      </c>
      <c r="AF99" s="145">
        <v>1.0663549999999999</v>
      </c>
      <c r="AG99" s="143" t="s">
        <v>43</v>
      </c>
      <c r="AN99" s="147" t="s">
        <v>47</v>
      </c>
      <c r="AO99" s="147">
        <f>V99*$AN$1 + W99*$AO$1</f>
        <v>3.3795359999999999</v>
      </c>
      <c r="AP99" s="147">
        <f>X99*$AP$1+Y99*$AQ$1+Z99*$AR$1</f>
        <v>3.3668299999999998</v>
      </c>
      <c r="AQ99" s="147">
        <f>AA99*$AP$1+AB99*$AQ$1+AC99*$AR$1</f>
        <v>3.1628930000000004</v>
      </c>
      <c r="AR99" s="147">
        <f>AD99*$AS$1+AE99*$AT$1+AF99*$AU$1</f>
        <v>2.6940169626000001</v>
      </c>
      <c r="AS99" s="147"/>
      <c r="AT99" s="148"/>
      <c r="AU99" s="148"/>
    </row>
    <row r="100" spans="1:47" s="143" customFormat="1" ht="12">
      <c r="A100" s="143" t="s">
        <v>388</v>
      </c>
      <c r="B100" s="149" t="s">
        <v>389</v>
      </c>
      <c r="C100" s="150" t="s">
        <v>390</v>
      </c>
      <c r="D100" s="150" t="s">
        <v>310</v>
      </c>
      <c r="E100" s="143" t="s">
        <v>311</v>
      </c>
      <c r="G100" s="143" t="s">
        <v>391</v>
      </c>
      <c r="H100" s="143" t="s">
        <v>392</v>
      </c>
      <c r="J100" s="143">
        <v>0</v>
      </c>
      <c r="K100" s="143">
        <v>125</v>
      </c>
      <c r="L100" s="143" t="s">
        <v>38</v>
      </c>
      <c r="M100" s="143" t="s">
        <v>393</v>
      </c>
      <c r="N100" s="143" t="s">
        <v>394</v>
      </c>
      <c r="O100" s="143" t="s">
        <v>395</v>
      </c>
      <c r="P100" s="143">
        <v>0</v>
      </c>
      <c r="Q100" s="143" t="s">
        <v>396</v>
      </c>
      <c r="R100" s="145">
        <f>50/AO100/(50/$AO100+50/$AP100)*100</f>
        <v>49.514052274881095</v>
      </c>
      <c r="S100" s="145">
        <f>100 - R100 - U100 - T100</f>
        <v>50.485947725118905</v>
      </c>
      <c r="T100" s="145">
        <v>0</v>
      </c>
      <c r="U100" s="145">
        <v>0</v>
      </c>
      <c r="V100" s="145">
        <v>9.6</v>
      </c>
      <c r="W100" s="145">
        <f>100 - $V100</f>
        <v>90.4</v>
      </c>
      <c r="X100" s="151">
        <v>15</v>
      </c>
      <c r="Y100" s="146">
        <f>100 - $X100 - $Z100</f>
        <v>85</v>
      </c>
      <c r="Z100" s="151">
        <v>0</v>
      </c>
      <c r="AA100" s="151">
        <v>0</v>
      </c>
      <c r="AB100" s="146">
        <v>0</v>
      </c>
      <c r="AC100" s="151">
        <v>0</v>
      </c>
      <c r="AD100" s="151">
        <v>0</v>
      </c>
      <c r="AE100" s="146">
        <v>0</v>
      </c>
      <c r="AF100" s="151">
        <v>0</v>
      </c>
      <c r="AG100" s="143" t="s">
        <v>43</v>
      </c>
      <c r="AI100" s="152"/>
      <c r="AJ100" s="152"/>
      <c r="AN100" s="147" t="s">
        <v>47</v>
      </c>
      <c r="AO100" s="147">
        <f>V100*$AN$1 + W100*$AO$1</f>
        <v>3.3775200000000001</v>
      </c>
      <c r="AP100" s="147">
        <f>X100*$AP$1+Y100*$AQ$1+Z100*$AR$1</f>
        <v>3.3125</v>
      </c>
      <c r="AQ100" s="147">
        <v>1</v>
      </c>
      <c r="AR100" s="147">
        <v>1</v>
      </c>
      <c r="AS100" s="147"/>
      <c r="AT100" s="148"/>
      <c r="AU100" s="148"/>
    </row>
    <row r="101" spans="1:47" s="143" customFormat="1" ht="12">
      <c r="A101" s="143" t="s">
        <v>397</v>
      </c>
      <c r="B101" s="149" t="s">
        <v>398</v>
      </c>
      <c r="C101" s="150" t="s">
        <v>390</v>
      </c>
      <c r="D101" s="150" t="s">
        <v>310</v>
      </c>
      <c r="E101" s="143" t="s">
        <v>311</v>
      </c>
      <c r="G101" s="143" t="s">
        <v>391</v>
      </c>
      <c r="H101" s="143" t="s">
        <v>392</v>
      </c>
      <c r="J101" s="143">
        <v>0</v>
      </c>
      <c r="K101" s="143">
        <v>125</v>
      </c>
      <c r="L101" s="143" t="s">
        <v>38</v>
      </c>
      <c r="M101" s="143" t="s">
        <v>393</v>
      </c>
      <c r="N101" s="143" t="s">
        <v>394</v>
      </c>
      <c r="O101" s="143" t="s">
        <v>395</v>
      </c>
      <c r="P101" s="143">
        <v>0</v>
      </c>
      <c r="Q101" s="143" t="s">
        <v>396</v>
      </c>
      <c r="R101" s="145">
        <f>25/AO101/(25/$AO101 + 75/$AP101)*100</f>
        <v>24.637301730152188</v>
      </c>
      <c r="S101" s="145">
        <f>100 - R101 - U101 - T101</f>
        <v>75.362698269847812</v>
      </c>
      <c r="T101" s="145">
        <v>0</v>
      </c>
      <c r="U101" s="145">
        <v>0</v>
      </c>
      <c r="V101" s="145">
        <v>9.6</v>
      </c>
      <c r="W101" s="145">
        <f>100 - $V101</f>
        <v>90.4</v>
      </c>
      <c r="X101" s="151">
        <v>15</v>
      </c>
      <c r="Y101" s="146">
        <f>100 - $X101 - $Z101</f>
        <v>85</v>
      </c>
      <c r="Z101" s="151">
        <v>0</v>
      </c>
      <c r="AA101" s="151">
        <v>0</v>
      </c>
      <c r="AB101" s="146">
        <v>0</v>
      </c>
      <c r="AC101" s="151">
        <v>0</v>
      </c>
      <c r="AD101" s="151">
        <v>0</v>
      </c>
      <c r="AE101" s="146">
        <v>0</v>
      </c>
      <c r="AF101" s="151">
        <v>0</v>
      </c>
      <c r="AG101" s="143" t="s">
        <v>43</v>
      </c>
      <c r="AI101" s="152"/>
      <c r="AJ101" s="152"/>
      <c r="AN101" s="147" t="s">
        <v>47</v>
      </c>
      <c r="AO101" s="147">
        <f>V101*$AN$1 + W101*$AO$1</f>
        <v>3.3775200000000001</v>
      </c>
      <c r="AP101" s="147">
        <f>X101*$AP$1+Y101*$AQ$1+Z101*$AR$1</f>
        <v>3.3125</v>
      </c>
      <c r="AQ101" s="147">
        <v>1</v>
      </c>
      <c r="AR101" s="147">
        <v>1</v>
      </c>
      <c r="AS101" s="147"/>
      <c r="AT101" s="148"/>
      <c r="AU101" s="148"/>
    </row>
    <row r="102" spans="1:47" s="143" customFormat="1" ht="12">
      <c r="A102" s="143" t="s">
        <v>399</v>
      </c>
      <c r="B102" s="149" t="s">
        <v>400</v>
      </c>
      <c r="C102" s="150" t="s">
        <v>390</v>
      </c>
      <c r="D102" s="150" t="s">
        <v>310</v>
      </c>
      <c r="E102" s="143" t="s">
        <v>311</v>
      </c>
      <c r="G102" s="143" t="s">
        <v>391</v>
      </c>
      <c r="H102" s="143" t="s">
        <v>392</v>
      </c>
      <c r="J102" s="143">
        <v>0</v>
      </c>
      <c r="K102" s="143">
        <v>125</v>
      </c>
      <c r="L102" s="143" t="s">
        <v>38</v>
      </c>
      <c r="M102" s="143" t="s">
        <v>393</v>
      </c>
      <c r="N102" s="143" t="s">
        <v>394</v>
      </c>
      <c r="O102" s="143" t="s">
        <v>395</v>
      </c>
      <c r="P102" s="143">
        <v>0</v>
      </c>
      <c r="Q102" s="143" t="s">
        <v>396</v>
      </c>
      <c r="R102" s="145">
        <f>75/AO102/(75/$AO102 + 25/$AP102)*100</f>
        <v>74.633759468630174</v>
      </c>
      <c r="S102" s="145">
        <f>100 - R102 - U102 - T102</f>
        <v>25.366240531369826</v>
      </c>
      <c r="T102" s="145">
        <v>0</v>
      </c>
      <c r="U102" s="145">
        <v>0</v>
      </c>
      <c r="V102" s="145">
        <v>9.6</v>
      </c>
      <c r="W102" s="145">
        <f>100 - $V102</f>
        <v>90.4</v>
      </c>
      <c r="X102" s="151">
        <v>15</v>
      </c>
      <c r="Y102" s="146">
        <f>100 - $X102 - $Z102</f>
        <v>85</v>
      </c>
      <c r="Z102" s="151">
        <v>0</v>
      </c>
      <c r="AA102" s="151">
        <v>0</v>
      </c>
      <c r="AB102" s="146">
        <v>0</v>
      </c>
      <c r="AC102" s="151">
        <v>0</v>
      </c>
      <c r="AD102" s="151">
        <v>0</v>
      </c>
      <c r="AE102" s="146">
        <v>0</v>
      </c>
      <c r="AF102" s="151">
        <v>0</v>
      </c>
      <c r="AG102" s="143" t="s">
        <v>43</v>
      </c>
      <c r="AI102" s="152"/>
      <c r="AJ102" s="152"/>
      <c r="AN102" s="147" t="s">
        <v>47</v>
      </c>
      <c r="AO102" s="147">
        <f>V102*$AN$1 + W102*$AO$1</f>
        <v>3.3775200000000001</v>
      </c>
      <c r="AP102" s="147">
        <f>X102*$AP$1+Y102*$AQ$1+Z102*$AR$1</f>
        <v>3.3125</v>
      </c>
      <c r="AQ102" s="147">
        <v>1</v>
      </c>
      <c r="AR102" s="147">
        <v>1</v>
      </c>
      <c r="AS102" s="147"/>
      <c r="AT102" s="148"/>
      <c r="AU102" s="148"/>
    </row>
    <row r="103" spans="1:47" s="143" customFormat="1" ht="12">
      <c r="A103" s="143" t="s">
        <v>401</v>
      </c>
      <c r="B103" s="149" t="s">
        <v>402</v>
      </c>
      <c r="C103" s="150" t="s">
        <v>390</v>
      </c>
      <c r="D103" s="150" t="s">
        <v>310</v>
      </c>
      <c r="E103" s="143" t="s">
        <v>311</v>
      </c>
      <c r="G103" s="143" t="s">
        <v>391</v>
      </c>
      <c r="H103" s="143" t="s">
        <v>392</v>
      </c>
      <c r="J103" s="143">
        <v>0</v>
      </c>
      <c r="K103" s="143">
        <v>125</v>
      </c>
      <c r="L103" s="143" t="s">
        <v>38</v>
      </c>
      <c r="M103" s="143" t="s">
        <v>393</v>
      </c>
      <c r="N103" s="143" t="s">
        <v>394</v>
      </c>
      <c r="O103" s="143" t="s">
        <v>395</v>
      </c>
      <c r="P103" s="143">
        <v>0</v>
      </c>
      <c r="Q103" s="143" t="s">
        <v>396</v>
      </c>
      <c r="R103" s="144">
        <f>50/AO103/(50/$AO103+50/$AP103)*100</f>
        <v>49.514052274881095</v>
      </c>
      <c r="S103" s="145">
        <f>100 - R103 - U103 - T103</f>
        <v>50.485947725118905</v>
      </c>
      <c r="T103" s="145">
        <v>0</v>
      </c>
      <c r="U103" s="145">
        <v>0</v>
      </c>
      <c r="V103" s="145">
        <v>9.6</v>
      </c>
      <c r="W103" s="145">
        <f>100 - $V103</f>
        <v>90.4</v>
      </c>
      <c r="X103" s="151">
        <v>15</v>
      </c>
      <c r="Y103" s="146">
        <f>100 - $X103 - $Z103</f>
        <v>85</v>
      </c>
      <c r="Z103" s="151">
        <v>0</v>
      </c>
      <c r="AA103" s="151">
        <v>0</v>
      </c>
      <c r="AB103" s="146">
        <v>0</v>
      </c>
      <c r="AC103" s="151">
        <v>0</v>
      </c>
      <c r="AD103" s="151">
        <v>0</v>
      </c>
      <c r="AE103" s="146">
        <v>0</v>
      </c>
      <c r="AF103" s="151">
        <v>0</v>
      </c>
      <c r="AG103" s="143" t="s">
        <v>43</v>
      </c>
      <c r="AI103" s="152"/>
      <c r="AJ103" s="152"/>
      <c r="AN103" s="147" t="s">
        <v>47</v>
      </c>
      <c r="AO103" s="147">
        <f>V103*$AN$1 + W103*$AO$1</f>
        <v>3.3775200000000001</v>
      </c>
      <c r="AP103" s="147">
        <f>X103*$AP$1+Y103*$AQ$1+Z103*$AR$1</f>
        <v>3.3125</v>
      </c>
      <c r="AQ103" s="147">
        <v>1</v>
      </c>
      <c r="AR103" s="147">
        <v>1</v>
      </c>
      <c r="AS103" s="147"/>
      <c r="AT103" s="148"/>
      <c r="AU103" s="148"/>
    </row>
    <row r="104" spans="1:47" s="143" customFormat="1" ht="12">
      <c r="A104" s="143" t="s">
        <v>403</v>
      </c>
      <c r="B104" s="149" t="s">
        <v>404</v>
      </c>
      <c r="C104" s="150" t="s">
        <v>390</v>
      </c>
      <c r="D104" s="150" t="s">
        <v>310</v>
      </c>
      <c r="E104" s="143" t="s">
        <v>311</v>
      </c>
      <c r="G104" s="143" t="s">
        <v>391</v>
      </c>
      <c r="H104" s="143" t="s">
        <v>392</v>
      </c>
      <c r="J104" s="143">
        <v>0</v>
      </c>
      <c r="K104" s="143">
        <v>125</v>
      </c>
      <c r="L104" s="143" t="s">
        <v>38</v>
      </c>
      <c r="M104" s="143" t="s">
        <v>393</v>
      </c>
      <c r="N104" s="143" t="s">
        <v>394</v>
      </c>
      <c r="O104" s="143" t="s">
        <v>395</v>
      </c>
      <c r="P104" s="143">
        <v>0</v>
      </c>
      <c r="Q104" s="143" t="s">
        <v>396</v>
      </c>
      <c r="R104" s="145">
        <f>50/AO104/(50/$AO104+50/$AP104)*100</f>
        <v>49.514052274881095</v>
      </c>
      <c r="S104" s="145">
        <f>100 - R104 - U104 - T104</f>
        <v>50.485947725118905</v>
      </c>
      <c r="T104" s="145">
        <v>0</v>
      </c>
      <c r="U104" s="145">
        <v>0</v>
      </c>
      <c r="V104" s="145">
        <v>9.6</v>
      </c>
      <c r="W104" s="145">
        <f>100 - $V104</f>
        <v>90.4</v>
      </c>
      <c r="X104" s="151">
        <v>15</v>
      </c>
      <c r="Y104" s="146">
        <f>100 - $X104 - $Z104</f>
        <v>85</v>
      </c>
      <c r="Z104" s="151">
        <v>0</v>
      </c>
      <c r="AA104" s="151">
        <v>0</v>
      </c>
      <c r="AB104" s="146">
        <v>0</v>
      </c>
      <c r="AC104" s="151">
        <v>0</v>
      </c>
      <c r="AD104" s="151">
        <v>0</v>
      </c>
      <c r="AE104" s="146">
        <v>0</v>
      </c>
      <c r="AF104" s="151">
        <v>0</v>
      </c>
      <c r="AG104" s="143" t="s">
        <v>43</v>
      </c>
      <c r="AI104" s="152"/>
      <c r="AJ104" s="152"/>
      <c r="AN104" s="147" t="s">
        <v>47</v>
      </c>
      <c r="AO104" s="147">
        <f>V104*$AN$1 + W104*$AO$1</f>
        <v>3.3775200000000001</v>
      </c>
      <c r="AP104" s="147">
        <f>X104*$AP$1+Y104*$AQ$1+Z104*$AR$1</f>
        <v>3.3125</v>
      </c>
      <c r="AQ104" s="147">
        <v>1</v>
      </c>
      <c r="AR104" s="147">
        <v>1</v>
      </c>
      <c r="AS104" s="147"/>
      <c r="AT104" s="148"/>
      <c r="AU104" s="148"/>
    </row>
    <row r="105" spans="1:47" s="143" customFormat="1" ht="12">
      <c r="A105" s="143" t="s">
        <v>405</v>
      </c>
      <c r="B105" s="149" t="s">
        <v>406</v>
      </c>
      <c r="C105" s="150" t="s">
        <v>267</v>
      </c>
      <c r="D105" s="150" t="s">
        <v>310</v>
      </c>
      <c r="E105" s="143" t="s">
        <v>311</v>
      </c>
      <c r="G105" s="143" t="s">
        <v>391</v>
      </c>
      <c r="H105" s="143" t="s">
        <v>407</v>
      </c>
      <c r="J105" s="143">
        <v>0</v>
      </c>
      <c r="K105" s="143">
        <v>125</v>
      </c>
      <c r="L105" s="143" t="s">
        <v>38</v>
      </c>
      <c r="M105" s="143" t="s">
        <v>39</v>
      </c>
      <c r="N105" s="143" t="s">
        <v>408</v>
      </c>
      <c r="O105" s="143" t="s">
        <v>68</v>
      </c>
      <c r="P105" s="153">
        <v>0</v>
      </c>
      <c r="Q105" s="143" t="s">
        <v>409</v>
      </c>
      <c r="R105" s="145">
        <f>50/AO105/(50/$AO105+50/$AP105)*100</f>
        <v>49.000980170398854</v>
      </c>
      <c r="S105" s="145">
        <f>100 - R105 - U105 - T105</f>
        <v>50.999019829601146</v>
      </c>
      <c r="T105" s="145">
        <v>0</v>
      </c>
      <c r="U105" s="145">
        <v>0</v>
      </c>
      <c r="V105" s="145">
        <v>10</v>
      </c>
      <c r="W105" s="145">
        <f>100 - $V105</f>
        <v>90</v>
      </c>
      <c r="X105" s="151">
        <v>7</v>
      </c>
      <c r="Y105" s="146">
        <f>100 - $X105 - $Z105</f>
        <v>92</v>
      </c>
      <c r="Z105" s="151">
        <v>1</v>
      </c>
      <c r="AA105" s="151">
        <v>0</v>
      </c>
      <c r="AB105" s="146">
        <v>0</v>
      </c>
      <c r="AC105" s="151">
        <v>0</v>
      </c>
      <c r="AD105" s="151">
        <v>0</v>
      </c>
      <c r="AE105" s="146">
        <v>0</v>
      </c>
      <c r="AF105" s="151">
        <v>0</v>
      </c>
      <c r="AG105" s="143" t="s">
        <v>43</v>
      </c>
      <c r="AI105" s="152"/>
      <c r="AJ105" s="152"/>
      <c r="AN105" s="147" t="s">
        <v>47</v>
      </c>
      <c r="AO105" s="147">
        <f>V105*$AN$1 + W105*$AO$1</f>
        <v>3.3820000000000001</v>
      </c>
      <c r="AP105" s="147">
        <f>X105*$AP$1+Y105*$AQ$1+Z105*$AR$1</f>
        <v>3.2494999999999998</v>
      </c>
      <c r="AQ105" s="147">
        <v>1</v>
      </c>
      <c r="AR105" s="147">
        <v>1</v>
      </c>
      <c r="AS105" s="147"/>
      <c r="AT105" s="148"/>
      <c r="AU105" s="148"/>
    </row>
    <row r="106" spans="1:47" s="143" customFormat="1" ht="12">
      <c r="A106" s="143" t="s">
        <v>410</v>
      </c>
      <c r="B106" s="149" t="s">
        <v>411</v>
      </c>
      <c r="C106" s="150" t="s">
        <v>412</v>
      </c>
      <c r="D106" s="150" t="s">
        <v>413</v>
      </c>
      <c r="E106" s="143" t="s">
        <v>311</v>
      </c>
      <c r="G106" s="143" t="s">
        <v>414</v>
      </c>
      <c r="H106" s="143" t="s">
        <v>415</v>
      </c>
      <c r="J106" s="143">
        <v>0</v>
      </c>
      <c r="K106" s="143">
        <v>25</v>
      </c>
      <c r="L106" s="143" t="s">
        <v>38</v>
      </c>
      <c r="M106" s="143" t="s">
        <v>416</v>
      </c>
      <c r="N106" s="143" t="s">
        <v>417</v>
      </c>
      <c r="O106" s="143" t="s">
        <v>418</v>
      </c>
      <c r="P106" s="143">
        <v>0</v>
      </c>
      <c r="R106" s="144">
        <v>0</v>
      </c>
      <c r="S106" s="145">
        <f>100 - R106 - U106 - T106</f>
        <v>73.264883153785874</v>
      </c>
      <c r="T106" s="145">
        <f>25/AQ106/(75/$AP106+25/$AQ106)*100</f>
        <v>26.735116846214126</v>
      </c>
      <c r="U106" s="145">
        <v>0</v>
      </c>
      <c r="V106" s="145">
        <v>0</v>
      </c>
      <c r="W106" s="145">
        <v>0</v>
      </c>
      <c r="X106" s="151">
        <v>61.4</v>
      </c>
      <c r="Y106" s="146">
        <f>100 - $X106 - $Z106</f>
        <v>35.300000000000004</v>
      </c>
      <c r="Z106" s="151">
        <v>3.3</v>
      </c>
      <c r="AA106" s="151">
        <v>33</v>
      </c>
      <c r="AB106" s="146">
        <f>100 - $AA106 - $AC106</f>
        <v>29.4</v>
      </c>
      <c r="AC106" s="151">
        <v>37.6</v>
      </c>
      <c r="AD106" s="151">
        <v>0</v>
      </c>
      <c r="AE106" s="146">
        <v>0</v>
      </c>
      <c r="AF106" s="151">
        <v>0</v>
      </c>
      <c r="AG106" s="143" t="s">
        <v>43</v>
      </c>
      <c r="AH106" s="143" t="s">
        <v>419</v>
      </c>
      <c r="AI106" s="152"/>
      <c r="AJ106" s="152"/>
      <c r="AN106" s="147" t="s">
        <v>47</v>
      </c>
      <c r="AO106" s="147">
        <v>1</v>
      </c>
      <c r="AP106" s="147">
        <f>X106*$AP$1+Y106*$AQ$1+Z106*$AR$1</f>
        <v>3.6505999999999998</v>
      </c>
      <c r="AQ106" s="147">
        <f>AA106*$AP$1+AB106*$AQ$1+AC106*$AR$1</f>
        <v>3.3346999999999998</v>
      </c>
      <c r="AR106" s="147">
        <v>1</v>
      </c>
      <c r="AS106" s="147"/>
      <c r="AT106" s="148"/>
      <c r="AU106" s="148"/>
    </row>
    <row r="107" spans="1:47" s="142" customFormat="1" ht="12">
      <c r="A107" s="142" t="s">
        <v>420</v>
      </c>
      <c r="B107" s="154" t="s">
        <v>421</v>
      </c>
      <c r="C107" s="155" t="s">
        <v>412</v>
      </c>
      <c r="D107" s="155" t="s">
        <v>413</v>
      </c>
      <c r="E107" s="142" t="s">
        <v>311</v>
      </c>
      <c r="G107" s="142" t="s">
        <v>414</v>
      </c>
      <c r="H107" s="142" t="s">
        <v>415</v>
      </c>
      <c r="J107" s="142">
        <v>0</v>
      </c>
      <c r="K107" s="142">
        <v>25</v>
      </c>
      <c r="L107" s="142" t="s">
        <v>38</v>
      </c>
      <c r="M107" s="142" t="s">
        <v>416</v>
      </c>
      <c r="N107" s="142" t="s">
        <v>417</v>
      </c>
      <c r="O107" s="142" t="s">
        <v>418</v>
      </c>
      <c r="P107" s="142">
        <v>0</v>
      </c>
      <c r="Q107" s="143"/>
      <c r="R107" s="144">
        <v>0</v>
      </c>
      <c r="S107" s="144">
        <f>100 - R107 - U107 - T107</f>
        <v>47.738822956780666</v>
      </c>
      <c r="T107" s="144">
        <f>50/AQ107/(50/$AP107+50/$AQ107)*100</f>
        <v>52.261177043219334</v>
      </c>
      <c r="U107" s="145">
        <v>0</v>
      </c>
      <c r="V107" s="145">
        <v>0</v>
      </c>
      <c r="W107" s="145">
        <v>0</v>
      </c>
      <c r="X107" s="146">
        <v>61.4</v>
      </c>
      <c r="Y107" s="146">
        <f>100 - $X107 - $Z107</f>
        <v>35.300000000000004</v>
      </c>
      <c r="Z107" s="151">
        <v>3.3</v>
      </c>
      <c r="AA107" s="146">
        <v>33</v>
      </c>
      <c r="AB107" s="146">
        <f>100 - $AA107 - $AC107</f>
        <v>29.4</v>
      </c>
      <c r="AC107" s="151">
        <v>37.6</v>
      </c>
      <c r="AD107" s="146">
        <v>0</v>
      </c>
      <c r="AE107" s="146">
        <v>0</v>
      </c>
      <c r="AF107" s="151">
        <v>0</v>
      </c>
      <c r="AG107" s="142" t="s">
        <v>43</v>
      </c>
      <c r="AH107" s="142" t="s">
        <v>419</v>
      </c>
      <c r="AI107" s="156"/>
      <c r="AJ107" s="156"/>
      <c r="AN107" s="147" t="s">
        <v>47</v>
      </c>
      <c r="AO107" s="147">
        <v>1</v>
      </c>
      <c r="AP107" s="147">
        <f>X107*$AP$1+Y107*$AQ$1+Z107*$AR$1</f>
        <v>3.6505999999999998</v>
      </c>
      <c r="AQ107" s="147">
        <f>AA107*$AP$1+AB107*$AQ$1+AC107*$AR$1</f>
        <v>3.3346999999999998</v>
      </c>
      <c r="AR107" s="147">
        <v>1</v>
      </c>
      <c r="AS107" s="147"/>
      <c r="AT107" s="147"/>
      <c r="AU107" s="147"/>
    </row>
    <row r="108" spans="1:47" s="142" customFormat="1" ht="12">
      <c r="A108" s="142" t="s">
        <v>422</v>
      </c>
      <c r="B108" s="154" t="s">
        <v>423</v>
      </c>
      <c r="C108" s="155" t="s">
        <v>412</v>
      </c>
      <c r="D108" s="155" t="s">
        <v>413</v>
      </c>
      <c r="E108" s="142" t="s">
        <v>311</v>
      </c>
      <c r="G108" s="142" t="s">
        <v>414</v>
      </c>
      <c r="H108" s="142" t="s">
        <v>415</v>
      </c>
      <c r="J108" s="142">
        <v>0</v>
      </c>
      <c r="K108" s="142">
        <v>25</v>
      </c>
      <c r="L108" s="142" t="s">
        <v>38</v>
      </c>
      <c r="M108" s="142" t="s">
        <v>416</v>
      </c>
      <c r="N108" s="142" t="s">
        <v>417</v>
      </c>
      <c r="O108" s="142" t="s">
        <v>418</v>
      </c>
      <c r="P108" s="142">
        <v>0</v>
      </c>
      <c r="Q108" s="143"/>
      <c r="R108" s="144">
        <v>0</v>
      </c>
      <c r="S108" s="144">
        <f>100 - R108 - U108 - T108</f>
        <v>23.341616211108388</v>
      </c>
      <c r="T108" s="144">
        <f>75/AQ108/(25/$AP108+75/$AQ108)*100</f>
        <v>76.658383788891612</v>
      </c>
      <c r="U108" s="145">
        <v>0</v>
      </c>
      <c r="V108" s="144">
        <v>0</v>
      </c>
      <c r="W108" s="145">
        <v>0</v>
      </c>
      <c r="X108" s="146">
        <v>61.4</v>
      </c>
      <c r="Y108" s="146">
        <f>100 - $X108 - $Z108</f>
        <v>35.300000000000004</v>
      </c>
      <c r="Z108" s="151">
        <v>3.3</v>
      </c>
      <c r="AA108" s="146">
        <v>33</v>
      </c>
      <c r="AB108" s="146">
        <f>100 - $AA108 - $AC108</f>
        <v>29.4</v>
      </c>
      <c r="AC108" s="151">
        <v>37.6</v>
      </c>
      <c r="AD108" s="146">
        <v>0</v>
      </c>
      <c r="AE108" s="146">
        <v>0</v>
      </c>
      <c r="AF108" s="151">
        <v>0</v>
      </c>
      <c r="AG108" s="142" t="s">
        <v>43</v>
      </c>
      <c r="AH108" s="142" t="s">
        <v>419</v>
      </c>
      <c r="AI108" s="156"/>
      <c r="AJ108" s="156"/>
      <c r="AN108" s="147" t="s">
        <v>47</v>
      </c>
      <c r="AO108" s="147">
        <v>1</v>
      </c>
      <c r="AP108" s="147">
        <f>X108*$AP$1+Y108*$AQ$1+Z108*$AR$1</f>
        <v>3.6505999999999998</v>
      </c>
      <c r="AQ108" s="147">
        <f>AA108*$AP$1+AB108*$AQ$1+AC108*$AR$1</f>
        <v>3.3346999999999998</v>
      </c>
      <c r="AR108" s="147">
        <v>1</v>
      </c>
      <c r="AS108" s="147"/>
      <c r="AT108" s="147"/>
      <c r="AU108" s="147"/>
    </row>
    <row r="109" spans="1:47" s="142" customFormat="1" ht="12">
      <c r="A109" s="142" t="s">
        <v>424</v>
      </c>
      <c r="B109" s="142" t="s">
        <v>425</v>
      </c>
      <c r="C109" s="155" t="s">
        <v>129</v>
      </c>
      <c r="D109" s="155" t="s">
        <v>310</v>
      </c>
      <c r="E109" s="142" t="s">
        <v>311</v>
      </c>
      <c r="G109" s="142" t="s">
        <v>312</v>
      </c>
      <c r="H109" s="142" t="s">
        <v>426</v>
      </c>
      <c r="J109" s="142">
        <v>75</v>
      </c>
      <c r="K109" s="142">
        <v>125</v>
      </c>
      <c r="L109" s="142" t="s">
        <v>38</v>
      </c>
      <c r="M109" s="142" t="s">
        <v>11</v>
      </c>
      <c r="N109" s="142" t="s">
        <v>427</v>
      </c>
      <c r="O109" s="142" t="s">
        <v>428</v>
      </c>
      <c r="P109" s="142">
        <v>0</v>
      </c>
      <c r="Q109" s="143" t="s">
        <v>425</v>
      </c>
      <c r="R109" s="144">
        <f>0/(0 + 50 + 50)*100</f>
        <v>0</v>
      </c>
      <c r="S109" s="144">
        <f>100 - R109 - U109 - T109</f>
        <v>48.85275520063189</v>
      </c>
      <c r="T109" s="144">
        <f>50/AQ109/(50/$AP109+50/$AQ109)*100</f>
        <v>51.14724479936811</v>
      </c>
      <c r="U109" s="145">
        <v>0</v>
      </c>
      <c r="V109" s="144">
        <v>0</v>
      </c>
      <c r="W109" s="145">
        <v>0</v>
      </c>
      <c r="X109" s="146">
        <f>12.6294</f>
        <v>12.6294</v>
      </c>
      <c r="Y109" s="146">
        <f>100 - $X109 - $Z109</f>
        <v>86.592889999999997</v>
      </c>
      <c r="Z109" s="151">
        <f>0.77771</f>
        <v>0.77771000000000001</v>
      </c>
      <c r="AA109" s="146">
        <f>10.46943</f>
        <v>10.469429999999999</v>
      </c>
      <c r="AB109" s="146">
        <f>100 - $AA109 - $AC109</f>
        <v>44.920099999999998</v>
      </c>
      <c r="AC109" s="151">
        <f>44.61047</f>
        <v>44.610469999999999</v>
      </c>
      <c r="AD109" s="146">
        <v>0</v>
      </c>
      <c r="AE109" s="146">
        <v>0</v>
      </c>
      <c r="AF109" s="151">
        <v>0</v>
      </c>
      <c r="AG109" s="142" t="s">
        <v>231</v>
      </c>
      <c r="AH109" s="142" t="s">
        <v>429</v>
      </c>
      <c r="AI109" s="156"/>
      <c r="AJ109" s="156"/>
      <c r="AN109" s="147" t="s">
        <v>47</v>
      </c>
      <c r="AO109" s="147">
        <v>1</v>
      </c>
      <c r="AP109" s="147">
        <f>X109*$AP$1+Y109*$AQ$1+Z109*$AR$1</f>
        <v>3.2923873700000001</v>
      </c>
      <c r="AQ109" s="147">
        <f>AA109*$AP$1+AB109*$AQ$1+AC109*$AR$1</f>
        <v>3.1446893149999999</v>
      </c>
      <c r="AR109" s="147">
        <v>1</v>
      </c>
      <c r="AS109" s="147"/>
      <c r="AT109" s="147"/>
      <c r="AU109" s="147"/>
    </row>
    <row r="110" spans="1:47" s="142" customFormat="1" ht="12">
      <c r="A110" s="142" t="s">
        <v>430</v>
      </c>
      <c r="B110" s="142" t="s">
        <v>431</v>
      </c>
      <c r="C110" s="155" t="s">
        <v>129</v>
      </c>
      <c r="D110" s="155" t="s">
        <v>310</v>
      </c>
      <c r="E110" s="142" t="s">
        <v>311</v>
      </c>
      <c r="G110" s="142" t="s">
        <v>312</v>
      </c>
      <c r="H110" s="142" t="s">
        <v>432</v>
      </c>
      <c r="J110" s="142">
        <v>75</v>
      </c>
      <c r="K110" s="142">
        <v>125</v>
      </c>
      <c r="L110" s="142" t="s">
        <v>38</v>
      </c>
      <c r="M110" s="142" t="s">
        <v>11</v>
      </c>
      <c r="N110" s="142" t="s">
        <v>427</v>
      </c>
      <c r="O110" s="142" t="s">
        <v>428</v>
      </c>
      <c r="P110" s="142">
        <v>0</v>
      </c>
      <c r="Q110" s="143" t="s">
        <v>431</v>
      </c>
      <c r="R110" s="144">
        <f>0/(0 + 60 + 40)*100</f>
        <v>0</v>
      </c>
      <c r="S110" s="144">
        <f>100 - R110 - U110 - T110</f>
        <v>58.893567597327333</v>
      </c>
      <c r="T110" s="144">
        <f>40/AQ110/(60/$AP110+40/$AQ110)*100</f>
        <v>41.106432402672667</v>
      </c>
      <c r="U110" s="145">
        <v>0</v>
      </c>
      <c r="V110" s="144">
        <v>0</v>
      </c>
      <c r="W110" s="145">
        <v>0</v>
      </c>
      <c r="X110" s="146">
        <f>12.6294</f>
        <v>12.6294</v>
      </c>
      <c r="Y110" s="146">
        <f>100 - $X110 - $Z110</f>
        <v>86.592889999999997</v>
      </c>
      <c r="Z110" s="151">
        <f>0.77771</f>
        <v>0.77771000000000001</v>
      </c>
      <c r="AA110" s="146">
        <f>10.46943</f>
        <v>10.469429999999999</v>
      </c>
      <c r="AB110" s="146">
        <f>100 - $AA110 - $AC110</f>
        <v>44.920099999999998</v>
      </c>
      <c r="AC110" s="146">
        <f>44.61047</f>
        <v>44.610469999999999</v>
      </c>
      <c r="AD110" s="146">
        <v>0</v>
      </c>
      <c r="AE110" s="146">
        <v>0</v>
      </c>
      <c r="AF110" s="151">
        <v>0</v>
      </c>
      <c r="AG110" s="142" t="s">
        <v>231</v>
      </c>
      <c r="AH110" s="142" t="s">
        <v>433</v>
      </c>
      <c r="AI110" s="156"/>
      <c r="AJ110" s="156"/>
      <c r="AN110" s="147" t="s">
        <v>47</v>
      </c>
      <c r="AO110" s="147">
        <v>1</v>
      </c>
      <c r="AP110" s="147">
        <f>X110*$AP$1+Y110*$AQ$1+Z110*$AR$1</f>
        <v>3.2923873700000001</v>
      </c>
      <c r="AQ110" s="147">
        <f>AA110*$AP$1+AB110*$AQ$1+AC110*$AR$1</f>
        <v>3.1446893149999999</v>
      </c>
      <c r="AR110" s="147">
        <v>1</v>
      </c>
      <c r="AS110" s="147"/>
      <c r="AT110" s="147"/>
      <c r="AU110" s="147"/>
    </row>
    <row r="111" spans="1:47" s="142" customFormat="1" ht="12">
      <c r="A111" s="142" t="s">
        <v>434</v>
      </c>
      <c r="B111" s="142" t="s">
        <v>435</v>
      </c>
      <c r="C111" s="155" t="s">
        <v>129</v>
      </c>
      <c r="D111" s="155" t="s">
        <v>310</v>
      </c>
      <c r="E111" s="142" t="s">
        <v>311</v>
      </c>
      <c r="G111" s="142" t="s">
        <v>312</v>
      </c>
      <c r="H111" s="142" t="s">
        <v>432</v>
      </c>
      <c r="J111" s="142">
        <v>75</v>
      </c>
      <c r="K111" s="142">
        <v>125</v>
      </c>
      <c r="L111" s="142" t="s">
        <v>38</v>
      </c>
      <c r="M111" s="142" t="s">
        <v>11</v>
      </c>
      <c r="N111" s="142" t="s">
        <v>427</v>
      </c>
      <c r="O111" s="142" t="s">
        <v>428</v>
      </c>
      <c r="P111" s="142">
        <v>0</v>
      </c>
      <c r="Q111" s="143" t="s">
        <v>435</v>
      </c>
      <c r="R111" s="144">
        <f>0/(0 + 40 + 60)*100</f>
        <v>0</v>
      </c>
      <c r="S111" s="144">
        <f>100 - R111 - U111 - T111</f>
        <v>38.903676000633389</v>
      </c>
      <c r="T111" s="144">
        <f>60/AQ111/(40/$AP111+60/$AQ111)*100</f>
        <v>61.096323999366611</v>
      </c>
      <c r="U111" s="144">
        <v>0</v>
      </c>
      <c r="V111" s="144">
        <v>0</v>
      </c>
      <c r="W111" s="145">
        <v>0</v>
      </c>
      <c r="X111" s="146">
        <f>12.6294</f>
        <v>12.6294</v>
      </c>
      <c r="Y111" s="146">
        <f>100 - $X111 - $Z111</f>
        <v>86.592889999999997</v>
      </c>
      <c r="Z111" s="151">
        <f>0.77771</f>
        <v>0.77771000000000001</v>
      </c>
      <c r="AA111" s="146">
        <f>10.46943</f>
        <v>10.469429999999999</v>
      </c>
      <c r="AB111" s="146">
        <f>100 - $AA111 - $AC111</f>
        <v>44.920099999999998</v>
      </c>
      <c r="AC111" s="146">
        <f>44.61047</f>
        <v>44.610469999999999</v>
      </c>
      <c r="AD111" s="146">
        <v>0</v>
      </c>
      <c r="AE111" s="146">
        <v>0</v>
      </c>
      <c r="AF111" s="151">
        <v>0</v>
      </c>
      <c r="AG111" s="142" t="s">
        <v>231</v>
      </c>
      <c r="AH111" s="142" t="s">
        <v>433</v>
      </c>
      <c r="AI111" s="156"/>
      <c r="AJ111" s="156"/>
      <c r="AN111" s="147" t="s">
        <v>47</v>
      </c>
      <c r="AO111" s="147">
        <v>1</v>
      </c>
      <c r="AP111" s="147">
        <f>X111*$AP$1+Y111*$AQ$1+Z111*$AR$1</f>
        <v>3.2923873700000001</v>
      </c>
      <c r="AQ111" s="147">
        <f>AA111*$AP$1+AB111*$AQ$1+AC111*$AR$1</f>
        <v>3.1446893149999999</v>
      </c>
      <c r="AR111" s="147">
        <v>1</v>
      </c>
      <c r="AS111" s="147"/>
      <c r="AT111" s="147"/>
      <c r="AU111" s="147"/>
    </row>
    <row r="112" spans="1:47" s="142" customFormat="1" ht="12">
      <c r="A112" s="142" t="s">
        <v>436</v>
      </c>
      <c r="B112" s="142" t="s">
        <v>437</v>
      </c>
      <c r="C112" s="155" t="s">
        <v>129</v>
      </c>
      <c r="D112" s="155" t="s">
        <v>310</v>
      </c>
      <c r="E112" s="142" t="s">
        <v>311</v>
      </c>
      <c r="G112" s="142" t="s">
        <v>312</v>
      </c>
      <c r="H112" s="142" t="s">
        <v>432</v>
      </c>
      <c r="J112" s="142">
        <v>75</v>
      </c>
      <c r="K112" s="142">
        <v>127</v>
      </c>
      <c r="L112" s="142" t="s">
        <v>38</v>
      </c>
      <c r="M112" s="142" t="s">
        <v>11</v>
      </c>
      <c r="N112" s="142" t="s">
        <v>427</v>
      </c>
      <c r="O112" s="142" t="s">
        <v>428</v>
      </c>
      <c r="P112" s="142">
        <v>0</v>
      </c>
      <c r="Q112" s="143" t="s">
        <v>437</v>
      </c>
      <c r="R112" s="144">
        <f>0/(0 + 75 + 25)*100</f>
        <v>0</v>
      </c>
      <c r="S112" s="144">
        <f>100 - R112 - U112 - T112</f>
        <v>74.129580558700923</v>
      </c>
      <c r="T112" s="144">
        <f>25/AQ112/(75/$AP112+25/$AQ112)*100</f>
        <v>25.870419441299081</v>
      </c>
      <c r="U112" s="145">
        <v>0</v>
      </c>
      <c r="V112" s="144">
        <v>0</v>
      </c>
      <c r="W112" s="145">
        <v>0</v>
      </c>
      <c r="X112" s="146">
        <f>12.6294</f>
        <v>12.6294</v>
      </c>
      <c r="Y112" s="146">
        <f>100 - $X112 - $Z112</f>
        <v>86.592889999999997</v>
      </c>
      <c r="Z112" s="151">
        <f>0.77771</f>
        <v>0.77771000000000001</v>
      </c>
      <c r="AA112" s="146">
        <f>10.46943</f>
        <v>10.469429999999999</v>
      </c>
      <c r="AB112" s="146">
        <f>100 - $AA112 - $AC112</f>
        <v>44.920099999999998</v>
      </c>
      <c r="AC112" s="151">
        <f>44.61047</f>
        <v>44.610469999999999</v>
      </c>
      <c r="AD112" s="146">
        <v>0</v>
      </c>
      <c r="AE112" s="146">
        <v>0</v>
      </c>
      <c r="AF112" s="151">
        <v>0</v>
      </c>
      <c r="AG112" s="142" t="s">
        <v>43</v>
      </c>
      <c r="AH112" s="142" t="s">
        <v>433</v>
      </c>
      <c r="AI112" s="156"/>
      <c r="AJ112" s="156"/>
      <c r="AN112" s="147" t="s">
        <v>47</v>
      </c>
      <c r="AO112" s="147">
        <v>1</v>
      </c>
      <c r="AP112" s="147">
        <f>X112*$AP$1+Y112*$AQ$1+Z112*$AR$1</f>
        <v>3.2923873700000001</v>
      </c>
      <c r="AQ112" s="147">
        <f>AA112*$AP$1+AB112*$AQ$1+AC112*$AR$1</f>
        <v>3.1446893149999999</v>
      </c>
      <c r="AR112" s="147">
        <v>1</v>
      </c>
      <c r="AS112" s="147"/>
      <c r="AT112" s="147"/>
      <c r="AU112" s="147"/>
    </row>
    <row r="113" spans="1:47" s="142" customFormat="1" ht="12">
      <c r="A113" s="142" t="s">
        <v>438</v>
      </c>
      <c r="B113" s="142" t="s">
        <v>439</v>
      </c>
      <c r="C113" s="155" t="s">
        <v>129</v>
      </c>
      <c r="D113" s="155" t="s">
        <v>310</v>
      </c>
      <c r="E113" s="142" t="s">
        <v>311</v>
      </c>
      <c r="G113" s="142" t="s">
        <v>312</v>
      </c>
      <c r="H113" s="142" t="s">
        <v>432</v>
      </c>
      <c r="J113" s="142">
        <v>75</v>
      </c>
      <c r="K113" s="142">
        <v>125</v>
      </c>
      <c r="L113" s="142" t="s">
        <v>38</v>
      </c>
      <c r="M113" s="142" t="s">
        <v>11</v>
      </c>
      <c r="N113" s="142" t="s">
        <v>427</v>
      </c>
      <c r="O113" s="142" t="s">
        <v>428</v>
      </c>
      <c r="P113" s="142">
        <v>0</v>
      </c>
      <c r="Q113" s="142" t="s">
        <v>439</v>
      </c>
      <c r="R113" s="144">
        <f>0/(0 + 25 + 75)*100</f>
        <v>0</v>
      </c>
      <c r="S113" s="144">
        <f>100 - R113 - U113 - T113</f>
        <v>24.14932571694581</v>
      </c>
      <c r="T113" s="144">
        <f>75/AQ113/(25/$AP113+75/$AQ113)*100</f>
        <v>75.85067428305419</v>
      </c>
      <c r="U113" s="145">
        <v>0</v>
      </c>
      <c r="V113" s="144">
        <v>0</v>
      </c>
      <c r="W113" s="145">
        <v>0</v>
      </c>
      <c r="X113" s="146">
        <f>12.6294</f>
        <v>12.6294</v>
      </c>
      <c r="Y113" s="146">
        <f>100 - $X113 - $Z113</f>
        <v>86.592889999999997</v>
      </c>
      <c r="Z113" s="151">
        <f>0.77771</f>
        <v>0.77771000000000001</v>
      </c>
      <c r="AA113" s="146">
        <f>10.46943</f>
        <v>10.469429999999999</v>
      </c>
      <c r="AB113" s="146">
        <f>100 - $AA113 - $AC113</f>
        <v>44.920099999999998</v>
      </c>
      <c r="AC113" s="151">
        <f>44.61047</f>
        <v>44.610469999999999</v>
      </c>
      <c r="AD113" s="146">
        <v>0</v>
      </c>
      <c r="AE113" s="146">
        <v>0</v>
      </c>
      <c r="AF113" s="151">
        <v>0</v>
      </c>
      <c r="AG113" s="142" t="s">
        <v>231</v>
      </c>
      <c r="AH113" s="142" t="s">
        <v>433</v>
      </c>
      <c r="AI113" s="156"/>
      <c r="AJ113" s="156"/>
      <c r="AN113" s="147" t="s">
        <v>47</v>
      </c>
      <c r="AO113" s="147">
        <v>1</v>
      </c>
      <c r="AP113" s="147">
        <f>X113*$AP$1+Y113*$AQ$1+Z113*$AR$1</f>
        <v>3.2923873700000001</v>
      </c>
      <c r="AQ113" s="147">
        <f>AA113*$AP$1+AB113*$AQ$1+AC113*$AR$1</f>
        <v>3.1446893149999999</v>
      </c>
      <c r="AR113" s="147">
        <v>1</v>
      </c>
      <c r="AS113" s="147"/>
      <c r="AT113" s="147"/>
      <c r="AU113" s="147"/>
    </row>
    <row r="114" spans="1:47" s="142" customFormat="1" ht="12">
      <c r="A114" s="142" t="s">
        <v>440</v>
      </c>
      <c r="B114" s="142" t="s">
        <v>441</v>
      </c>
      <c r="C114" s="155" t="s">
        <v>129</v>
      </c>
      <c r="D114" s="155" t="s">
        <v>310</v>
      </c>
      <c r="E114" s="142" t="s">
        <v>311</v>
      </c>
      <c r="G114" s="142" t="s">
        <v>312</v>
      </c>
      <c r="H114" s="142" t="s">
        <v>432</v>
      </c>
      <c r="J114" s="142">
        <v>75</v>
      </c>
      <c r="K114" s="142">
        <v>127</v>
      </c>
      <c r="L114" s="142" t="s">
        <v>38</v>
      </c>
      <c r="M114" s="142" t="s">
        <v>11</v>
      </c>
      <c r="N114" s="142" t="s">
        <v>427</v>
      </c>
      <c r="O114" s="142" t="s">
        <v>428</v>
      </c>
      <c r="P114" s="142">
        <v>0</v>
      </c>
      <c r="Q114" s="143" t="s">
        <v>441</v>
      </c>
      <c r="R114" s="144">
        <f>0/(0 + 85 + 15)</f>
        <v>0</v>
      </c>
      <c r="S114" s="144">
        <f>100 - R114 - U114 - T114</f>
        <v>84.405354293604461</v>
      </c>
      <c r="T114" s="144">
        <f>15/AQ114/(85/$AP114+15/$AQ114)*100</f>
        <v>15.594645706395543</v>
      </c>
      <c r="U114" s="145">
        <v>0</v>
      </c>
      <c r="V114" s="144">
        <v>0</v>
      </c>
      <c r="W114" s="145">
        <v>0</v>
      </c>
      <c r="X114" s="146">
        <f>12.6294</f>
        <v>12.6294</v>
      </c>
      <c r="Y114" s="146">
        <f>100 - $X114 - $Z114</f>
        <v>86.592889999999997</v>
      </c>
      <c r="Z114" s="151">
        <f>0.77771</f>
        <v>0.77771000000000001</v>
      </c>
      <c r="AA114" s="146">
        <f>10.46943</f>
        <v>10.469429999999999</v>
      </c>
      <c r="AB114" s="146">
        <f>100 - $AA114 - $AC114</f>
        <v>44.920099999999998</v>
      </c>
      <c r="AC114" s="151">
        <f>44.61047</f>
        <v>44.610469999999999</v>
      </c>
      <c r="AD114" s="146">
        <v>0</v>
      </c>
      <c r="AE114" s="146">
        <v>0</v>
      </c>
      <c r="AF114" s="151">
        <v>0</v>
      </c>
      <c r="AG114" s="142" t="s">
        <v>43</v>
      </c>
      <c r="AH114" s="142" t="s">
        <v>433</v>
      </c>
      <c r="AI114" s="156"/>
      <c r="AJ114" s="156"/>
      <c r="AN114" s="147" t="s">
        <v>47</v>
      </c>
      <c r="AO114" s="147">
        <v>1</v>
      </c>
      <c r="AP114" s="147">
        <f>X114*$AP$1+Y114*$AQ$1+Z114*$AR$1</f>
        <v>3.2923873700000001</v>
      </c>
      <c r="AQ114" s="147">
        <f>AA114*$AP$1+AB114*$AQ$1+AC114*$AR$1</f>
        <v>3.1446893149999999</v>
      </c>
      <c r="AR114" s="147">
        <v>1</v>
      </c>
      <c r="AS114" s="147"/>
      <c r="AT114" s="147"/>
      <c r="AU114" s="147"/>
    </row>
    <row r="115" spans="1:47" s="142" customFormat="1" ht="12">
      <c r="A115" s="142" t="s">
        <v>442</v>
      </c>
      <c r="B115" s="142" t="s">
        <v>443</v>
      </c>
      <c r="C115" s="155" t="s">
        <v>129</v>
      </c>
      <c r="D115" s="155" t="s">
        <v>310</v>
      </c>
      <c r="E115" s="142" t="s">
        <v>311</v>
      </c>
      <c r="G115" s="142" t="s">
        <v>312</v>
      </c>
      <c r="H115" s="142" t="s">
        <v>432</v>
      </c>
      <c r="J115" s="142">
        <v>75</v>
      </c>
      <c r="K115" s="142">
        <v>125</v>
      </c>
      <c r="L115" s="142" t="s">
        <v>38</v>
      </c>
      <c r="M115" s="142" t="s">
        <v>11</v>
      </c>
      <c r="N115" s="142" t="s">
        <v>427</v>
      </c>
      <c r="O115" s="142" t="s">
        <v>428</v>
      </c>
      <c r="P115" s="142">
        <v>0</v>
      </c>
      <c r="Q115" s="143" t="s">
        <v>443</v>
      </c>
      <c r="R115" s="144">
        <f>0/(0 + 15 + 85)*100</f>
        <v>0</v>
      </c>
      <c r="S115" s="144">
        <f>100 - R115 - U115 - T115</f>
        <v>14.424154059961509</v>
      </c>
      <c r="T115" s="144">
        <f>85/AQ115/(15/$AP115+85/$AQ115) * 100</f>
        <v>85.575845940038491</v>
      </c>
      <c r="U115" s="144">
        <v>0</v>
      </c>
      <c r="V115" s="144">
        <v>0</v>
      </c>
      <c r="W115" s="145">
        <v>0</v>
      </c>
      <c r="X115" s="146">
        <f>12.6294</f>
        <v>12.6294</v>
      </c>
      <c r="Y115" s="146">
        <f>100 - $X115 - $Z115</f>
        <v>86.592889999999997</v>
      </c>
      <c r="Z115" s="151">
        <f>0.77771</f>
        <v>0.77771000000000001</v>
      </c>
      <c r="AA115" s="146">
        <f>10.46943</f>
        <v>10.469429999999999</v>
      </c>
      <c r="AB115" s="146">
        <f>100 - $AA115 - $AC115</f>
        <v>44.920099999999998</v>
      </c>
      <c r="AC115" s="151">
        <f>44.61047</f>
        <v>44.610469999999999</v>
      </c>
      <c r="AD115" s="146">
        <v>0</v>
      </c>
      <c r="AE115" s="146">
        <v>0</v>
      </c>
      <c r="AF115" s="151">
        <v>0</v>
      </c>
      <c r="AG115" s="142" t="s">
        <v>231</v>
      </c>
      <c r="AH115" s="142" t="s">
        <v>444</v>
      </c>
      <c r="AI115" s="156"/>
      <c r="AJ115" s="156"/>
      <c r="AN115" s="147" t="s">
        <v>47</v>
      </c>
      <c r="AO115" s="147">
        <v>1</v>
      </c>
      <c r="AP115" s="147">
        <f>X115*$AP$1+Y115*$AQ$1+Z115*$AR$1</f>
        <v>3.2923873700000001</v>
      </c>
      <c r="AQ115" s="147">
        <f>AA115*$AP$1+AB115*$AQ$1+AC115*$AR$1</f>
        <v>3.1446893149999999</v>
      </c>
      <c r="AR115" s="147">
        <v>1</v>
      </c>
      <c r="AS115" s="147"/>
      <c r="AT115" s="147"/>
      <c r="AU115" s="147"/>
    </row>
    <row r="116" spans="1:47" s="142" customFormat="1" ht="12">
      <c r="A116" s="142" t="s">
        <v>445</v>
      </c>
      <c r="B116" s="142" t="s">
        <v>446</v>
      </c>
      <c r="C116" s="155" t="s">
        <v>129</v>
      </c>
      <c r="D116" s="155" t="s">
        <v>310</v>
      </c>
      <c r="E116" s="142" t="s">
        <v>311</v>
      </c>
      <c r="G116" s="142" t="s">
        <v>312</v>
      </c>
      <c r="H116" s="142" t="s">
        <v>432</v>
      </c>
      <c r="J116" s="142">
        <v>0</v>
      </c>
      <c r="K116" s="142">
        <v>45</v>
      </c>
      <c r="L116" s="142" t="s">
        <v>38</v>
      </c>
      <c r="M116" s="142" t="s">
        <v>11</v>
      </c>
      <c r="N116" s="142" t="s">
        <v>427</v>
      </c>
      <c r="O116" s="142" t="s">
        <v>428</v>
      </c>
      <c r="P116" s="142">
        <v>0</v>
      </c>
      <c r="Q116" s="143" t="s">
        <v>446</v>
      </c>
      <c r="R116" s="144">
        <f>0/(0 + 50 + 50)*100</f>
        <v>0</v>
      </c>
      <c r="S116" s="144">
        <f>100 - R116 - U116 - T116</f>
        <v>48.85275520063189</v>
      </c>
      <c r="T116" s="144">
        <f>50/AQ116/(50/$AP116+50/$AQ116)*100</f>
        <v>51.14724479936811</v>
      </c>
      <c r="U116" s="144">
        <v>0</v>
      </c>
      <c r="V116" s="144">
        <v>0</v>
      </c>
      <c r="W116" s="145">
        <v>0</v>
      </c>
      <c r="X116" s="146">
        <f>12.6294</f>
        <v>12.6294</v>
      </c>
      <c r="Y116" s="146">
        <f>100 - $X116 - $Z116</f>
        <v>86.592889999999997</v>
      </c>
      <c r="Z116" s="151">
        <f>0.77771</f>
        <v>0.77771000000000001</v>
      </c>
      <c r="AA116" s="146">
        <f>10.46943</f>
        <v>10.469429999999999</v>
      </c>
      <c r="AB116" s="146">
        <f>100 - $AA116 - $AC116</f>
        <v>44.920099999999998</v>
      </c>
      <c r="AC116" s="151">
        <f>44.61047</f>
        <v>44.610469999999999</v>
      </c>
      <c r="AD116" s="146">
        <v>0</v>
      </c>
      <c r="AE116" s="146">
        <v>0</v>
      </c>
      <c r="AF116" s="151">
        <v>0</v>
      </c>
      <c r="AG116" s="142" t="s">
        <v>43</v>
      </c>
      <c r="AH116" s="142" t="s">
        <v>433</v>
      </c>
      <c r="AI116" s="156"/>
      <c r="AJ116" s="156"/>
      <c r="AN116" s="147" t="s">
        <v>47</v>
      </c>
      <c r="AO116" s="147">
        <v>1</v>
      </c>
      <c r="AP116" s="147">
        <f>X116*$AP$1+Y116*$AQ$1+Z116*$AR$1</f>
        <v>3.2923873700000001</v>
      </c>
      <c r="AQ116" s="147">
        <f>AA116*$AP$1+AB116*$AQ$1+AC116*$AR$1</f>
        <v>3.1446893149999999</v>
      </c>
      <c r="AR116" s="147">
        <v>1</v>
      </c>
      <c r="AS116" s="147"/>
      <c r="AT116" s="147"/>
      <c r="AU116" s="147"/>
    </row>
    <row r="117" spans="1:47" s="142" customFormat="1" ht="12">
      <c r="A117" s="142" t="s">
        <v>447</v>
      </c>
      <c r="B117" s="142" t="s">
        <v>448</v>
      </c>
      <c r="C117" s="155" t="s">
        <v>129</v>
      </c>
      <c r="D117" s="155" t="s">
        <v>310</v>
      </c>
      <c r="E117" s="142" t="s">
        <v>311</v>
      </c>
      <c r="G117" s="142" t="s">
        <v>312</v>
      </c>
      <c r="H117" s="142" t="s">
        <v>432</v>
      </c>
      <c r="J117" s="142">
        <v>0</v>
      </c>
      <c r="K117" s="142">
        <v>45</v>
      </c>
      <c r="L117" s="142" t="s">
        <v>38</v>
      </c>
      <c r="M117" s="142" t="s">
        <v>11</v>
      </c>
      <c r="N117" s="142" t="s">
        <v>427</v>
      </c>
      <c r="O117" s="142" t="s">
        <v>428</v>
      </c>
      <c r="P117" s="142">
        <v>0</v>
      </c>
      <c r="Q117" s="143" t="s">
        <v>448</v>
      </c>
      <c r="R117" s="144">
        <f>0/(0 + 60 + 40)*100</f>
        <v>0</v>
      </c>
      <c r="S117" s="144">
        <f>100 - R117 - U117 - T117</f>
        <v>58.893567597327333</v>
      </c>
      <c r="T117" s="144">
        <f>40/AQ117/(60/$AP117+40/$AQ117)*100</f>
        <v>41.106432402672667</v>
      </c>
      <c r="U117" s="145">
        <v>0</v>
      </c>
      <c r="V117" s="144">
        <v>0</v>
      </c>
      <c r="W117" s="145">
        <v>0</v>
      </c>
      <c r="X117" s="146">
        <f>12.6294</f>
        <v>12.6294</v>
      </c>
      <c r="Y117" s="146">
        <f>100 - $X117 - $Z117</f>
        <v>86.592889999999997</v>
      </c>
      <c r="Z117" s="151">
        <f>0.77771</f>
        <v>0.77771000000000001</v>
      </c>
      <c r="AA117" s="146">
        <f>10.46943</f>
        <v>10.469429999999999</v>
      </c>
      <c r="AB117" s="146">
        <f>100 - $AA117 - $AC117</f>
        <v>44.920099999999998</v>
      </c>
      <c r="AC117" s="151">
        <f>44.61047</f>
        <v>44.610469999999999</v>
      </c>
      <c r="AD117" s="146">
        <v>0</v>
      </c>
      <c r="AE117" s="146">
        <v>0</v>
      </c>
      <c r="AF117" s="151">
        <v>0</v>
      </c>
      <c r="AG117" s="142" t="s">
        <v>43</v>
      </c>
      <c r="AH117" s="142" t="s">
        <v>433</v>
      </c>
      <c r="AI117" s="156"/>
      <c r="AJ117" s="156"/>
      <c r="AN117" s="147" t="s">
        <v>47</v>
      </c>
      <c r="AO117" s="147">
        <v>1</v>
      </c>
      <c r="AP117" s="147">
        <f>X117*$AP$1+Y117*$AQ$1+Z117*$AR$1</f>
        <v>3.2923873700000001</v>
      </c>
      <c r="AQ117" s="147">
        <f>AA117*$AP$1+AB117*$AQ$1+AC117*$AR$1</f>
        <v>3.1446893149999999</v>
      </c>
      <c r="AR117" s="147">
        <v>1</v>
      </c>
      <c r="AS117" s="147"/>
      <c r="AT117" s="147"/>
      <c r="AU117" s="147"/>
    </row>
    <row r="118" spans="1:47" s="142" customFormat="1" ht="12">
      <c r="A118" s="142" t="s">
        <v>449</v>
      </c>
      <c r="B118" s="142" t="s">
        <v>435</v>
      </c>
      <c r="C118" s="155" t="s">
        <v>129</v>
      </c>
      <c r="D118" s="155" t="s">
        <v>310</v>
      </c>
      <c r="E118" s="142" t="s">
        <v>311</v>
      </c>
      <c r="G118" s="142" t="s">
        <v>312</v>
      </c>
      <c r="H118" s="142" t="s">
        <v>432</v>
      </c>
      <c r="J118" s="142">
        <v>0</v>
      </c>
      <c r="K118" s="142">
        <v>45</v>
      </c>
      <c r="L118" s="142" t="s">
        <v>38</v>
      </c>
      <c r="M118" s="142" t="s">
        <v>11</v>
      </c>
      <c r="N118" s="142" t="s">
        <v>427</v>
      </c>
      <c r="O118" s="142" t="s">
        <v>450</v>
      </c>
      <c r="P118" s="142">
        <v>0</v>
      </c>
      <c r="Q118" s="143" t="s">
        <v>435</v>
      </c>
      <c r="R118" s="144">
        <f>0/(0 + 40 + 60)*100</f>
        <v>0</v>
      </c>
      <c r="S118" s="144">
        <f>100 - R118 - U118 - T118</f>
        <v>38.903676000633389</v>
      </c>
      <c r="T118" s="144">
        <f>60/AQ118/(40/$AP118+60/$AQ118)*100</f>
        <v>61.096323999366611</v>
      </c>
      <c r="U118" s="145">
        <v>0</v>
      </c>
      <c r="V118" s="144">
        <v>0</v>
      </c>
      <c r="W118" s="145">
        <v>0</v>
      </c>
      <c r="X118" s="146">
        <f>12.6294</f>
        <v>12.6294</v>
      </c>
      <c r="Y118" s="146">
        <f>100 - $X118 - $Z118</f>
        <v>86.592889999999997</v>
      </c>
      <c r="Z118" s="151">
        <f>0.77771</f>
        <v>0.77771000000000001</v>
      </c>
      <c r="AA118" s="146">
        <f>10.46943</f>
        <v>10.469429999999999</v>
      </c>
      <c r="AB118" s="146">
        <f>100 - $AA118 - $AC118</f>
        <v>44.920099999999998</v>
      </c>
      <c r="AC118" s="146">
        <f>44.61047</f>
        <v>44.610469999999999</v>
      </c>
      <c r="AD118" s="146">
        <v>0</v>
      </c>
      <c r="AE118" s="146">
        <v>0</v>
      </c>
      <c r="AF118" s="151">
        <v>0</v>
      </c>
      <c r="AG118" s="142" t="s">
        <v>43</v>
      </c>
      <c r="AH118" s="142" t="s">
        <v>433</v>
      </c>
      <c r="AI118" s="156"/>
      <c r="AJ118" s="156"/>
      <c r="AN118" s="147" t="s">
        <v>47</v>
      </c>
      <c r="AO118" s="147">
        <v>1</v>
      </c>
      <c r="AP118" s="147">
        <f>X118*$AP$1+Y118*$AQ$1+Z118*$AR$1</f>
        <v>3.2923873700000001</v>
      </c>
      <c r="AQ118" s="147">
        <f>AA118*$AP$1+AB118*$AQ$1+AC118*$AR$1</f>
        <v>3.1446893149999999</v>
      </c>
      <c r="AR118" s="147">
        <v>1</v>
      </c>
      <c r="AS118" s="147"/>
      <c r="AT118" s="147"/>
      <c r="AU118" s="147"/>
    </row>
    <row r="119" spans="1:47" s="142" customFormat="1" ht="12">
      <c r="A119" s="142" t="s">
        <v>451</v>
      </c>
      <c r="B119" s="142" t="s">
        <v>437</v>
      </c>
      <c r="C119" s="155" t="s">
        <v>129</v>
      </c>
      <c r="D119" s="155" t="s">
        <v>310</v>
      </c>
      <c r="E119" s="142" t="s">
        <v>311</v>
      </c>
      <c r="G119" s="142" t="s">
        <v>312</v>
      </c>
      <c r="H119" s="142" t="s">
        <v>432</v>
      </c>
      <c r="J119" s="142">
        <v>0</v>
      </c>
      <c r="K119" s="142">
        <v>45</v>
      </c>
      <c r="L119" s="142" t="s">
        <v>38</v>
      </c>
      <c r="M119" s="142" t="s">
        <v>11</v>
      </c>
      <c r="N119" s="142" t="s">
        <v>427</v>
      </c>
      <c r="O119" s="142" t="s">
        <v>428</v>
      </c>
      <c r="P119" s="142">
        <v>0</v>
      </c>
      <c r="Q119" s="143" t="s">
        <v>437</v>
      </c>
      <c r="R119" s="144">
        <f>0/(0 + 75 + 25)*100</f>
        <v>0</v>
      </c>
      <c r="S119" s="144">
        <f>100 - R119 - U119 - T119</f>
        <v>74.129580558700923</v>
      </c>
      <c r="T119" s="144">
        <f>25/AQ119/(75/$AP119+25/$AQ119)*100</f>
        <v>25.870419441299081</v>
      </c>
      <c r="U119" s="144">
        <v>0</v>
      </c>
      <c r="V119" s="144">
        <v>0</v>
      </c>
      <c r="W119" s="145">
        <v>0</v>
      </c>
      <c r="X119" s="146">
        <f>12.6294</f>
        <v>12.6294</v>
      </c>
      <c r="Y119" s="146">
        <f>100 - $X119 - $Z119</f>
        <v>86.592889999999997</v>
      </c>
      <c r="Z119" s="151">
        <f>0.77771</f>
        <v>0.77771000000000001</v>
      </c>
      <c r="AA119" s="146">
        <f>10.46943</f>
        <v>10.469429999999999</v>
      </c>
      <c r="AB119" s="146">
        <f>100 - $AA119 - $AC119</f>
        <v>44.920099999999998</v>
      </c>
      <c r="AC119" s="146">
        <f>44.61047</f>
        <v>44.610469999999999</v>
      </c>
      <c r="AD119" s="146">
        <v>0</v>
      </c>
      <c r="AE119" s="146">
        <v>0</v>
      </c>
      <c r="AF119" s="151">
        <v>0</v>
      </c>
      <c r="AG119" s="142" t="s">
        <v>43</v>
      </c>
      <c r="AH119" s="142" t="s">
        <v>433</v>
      </c>
      <c r="AI119" s="156"/>
      <c r="AJ119" s="156"/>
      <c r="AN119" s="147" t="s">
        <v>47</v>
      </c>
      <c r="AO119" s="147">
        <v>1</v>
      </c>
      <c r="AP119" s="147">
        <f>X119*$AP$1+Y119*$AQ$1+Z119*$AR$1</f>
        <v>3.2923873700000001</v>
      </c>
      <c r="AQ119" s="147">
        <f>AA119*$AP$1+AB119*$AQ$1+AC119*$AR$1</f>
        <v>3.1446893149999999</v>
      </c>
      <c r="AR119" s="147">
        <v>1</v>
      </c>
      <c r="AS119" s="147"/>
      <c r="AT119" s="147"/>
      <c r="AU119" s="147"/>
    </row>
    <row r="120" spans="1:47" s="142" customFormat="1" ht="12">
      <c r="A120" s="142" t="s">
        <v>452</v>
      </c>
      <c r="B120" s="142" t="s">
        <v>439</v>
      </c>
      <c r="C120" s="155" t="s">
        <v>129</v>
      </c>
      <c r="D120" s="155" t="s">
        <v>310</v>
      </c>
      <c r="E120" s="142" t="s">
        <v>311</v>
      </c>
      <c r="G120" s="142" t="s">
        <v>312</v>
      </c>
      <c r="H120" s="142" t="s">
        <v>432</v>
      </c>
      <c r="J120" s="142">
        <v>0</v>
      </c>
      <c r="K120" s="142">
        <v>45</v>
      </c>
      <c r="L120" s="142" t="s">
        <v>38</v>
      </c>
      <c r="M120" s="142" t="s">
        <v>11</v>
      </c>
      <c r="N120" s="142" t="s">
        <v>427</v>
      </c>
      <c r="O120" s="142" t="s">
        <v>428</v>
      </c>
      <c r="P120" s="142">
        <v>0</v>
      </c>
      <c r="Q120" s="143" t="s">
        <v>439</v>
      </c>
      <c r="R120" s="144">
        <f>0/(0 + 25 + 75)*100</f>
        <v>0</v>
      </c>
      <c r="S120" s="144">
        <f>100 - R120 - U120 - T120</f>
        <v>24.14932571694581</v>
      </c>
      <c r="T120" s="144">
        <f>75/AQ120/(25/$AP120+75/$AQ120)*100</f>
        <v>75.85067428305419</v>
      </c>
      <c r="U120" s="144">
        <v>0</v>
      </c>
      <c r="V120" s="144">
        <v>0</v>
      </c>
      <c r="W120" s="145">
        <v>0</v>
      </c>
      <c r="X120" s="146">
        <f>12.6294</f>
        <v>12.6294</v>
      </c>
      <c r="Y120" s="146">
        <f>100 - $X120 - $Z120</f>
        <v>86.592889999999997</v>
      </c>
      <c r="Z120" s="151">
        <f>0.77771</f>
        <v>0.77771000000000001</v>
      </c>
      <c r="AA120" s="146">
        <f>10.46943</f>
        <v>10.469429999999999</v>
      </c>
      <c r="AB120" s="146">
        <f>100 - $AA120 - $AC120</f>
        <v>44.920099999999998</v>
      </c>
      <c r="AC120" s="146">
        <f>44.61047</f>
        <v>44.610469999999999</v>
      </c>
      <c r="AD120" s="146">
        <v>0</v>
      </c>
      <c r="AE120" s="146">
        <v>0</v>
      </c>
      <c r="AF120" s="151">
        <v>0</v>
      </c>
      <c r="AG120" s="142" t="s">
        <v>231</v>
      </c>
      <c r="AH120" s="142" t="s">
        <v>433</v>
      </c>
      <c r="AI120" s="156"/>
      <c r="AJ120" s="156"/>
      <c r="AN120" s="147" t="s">
        <v>47</v>
      </c>
      <c r="AO120" s="147">
        <v>1</v>
      </c>
      <c r="AP120" s="147">
        <f>X120*$AP$1+Y120*$AQ$1+Z120*$AR$1</f>
        <v>3.2923873700000001</v>
      </c>
      <c r="AQ120" s="147">
        <f>AA120*$AP$1+AB120*$AQ$1+AC120*$AR$1</f>
        <v>3.1446893149999999</v>
      </c>
      <c r="AR120" s="147">
        <v>1</v>
      </c>
      <c r="AS120" s="147"/>
      <c r="AT120" s="147"/>
      <c r="AU120" s="147"/>
    </row>
    <row r="121" spans="1:47" s="142" customFormat="1" ht="12">
      <c r="A121" s="142" t="s">
        <v>453</v>
      </c>
      <c r="B121" s="142" t="s">
        <v>441</v>
      </c>
      <c r="C121" s="155" t="s">
        <v>129</v>
      </c>
      <c r="D121" s="155" t="s">
        <v>310</v>
      </c>
      <c r="E121" s="142" t="s">
        <v>311</v>
      </c>
      <c r="G121" s="142" t="s">
        <v>312</v>
      </c>
      <c r="H121" s="142" t="s">
        <v>432</v>
      </c>
      <c r="J121" s="142">
        <v>0</v>
      </c>
      <c r="K121" s="142">
        <v>45</v>
      </c>
      <c r="L121" s="142" t="s">
        <v>38</v>
      </c>
      <c r="M121" s="142" t="s">
        <v>11</v>
      </c>
      <c r="N121" s="142" t="s">
        <v>427</v>
      </c>
      <c r="O121" s="142" t="s">
        <v>428</v>
      </c>
      <c r="P121" s="142">
        <v>0</v>
      </c>
      <c r="Q121" s="143" t="s">
        <v>441</v>
      </c>
      <c r="R121" s="144">
        <f>0/(0 + 85 + 15)</f>
        <v>0</v>
      </c>
      <c r="S121" s="144">
        <f>100 - R121 - U121 - T121</f>
        <v>84.405354293604461</v>
      </c>
      <c r="T121" s="144">
        <f>15/AQ121/(85/$AP121+15/$AQ121)*100</f>
        <v>15.594645706395543</v>
      </c>
      <c r="U121" s="145">
        <v>0</v>
      </c>
      <c r="V121" s="144">
        <v>0</v>
      </c>
      <c r="W121" s="145">
        <v>0</v>
      </c>
      <c r="X121" s="146">
        <f>12.6294</f>
        <v>12.6294</v>
      </c>
      <c r="Y121" s="146">
        <f>100 - $X121 - $Z121</f>
        <v>86.592889999999997</v>
      </c>
      <c r="Z121" s="151">
        <f>0.77771</f>
        <v>0.77771000000000001</v>
      </c>
      <c r="AA121" s="146">
        <f>10.46943</f>
        <v>10.469429999999999</v>
      </c>
      <c r="AB121" s="146">
        <f>100 - $AA121 - $AC121</f>
        <v>44.920099999999998</v>
      </c>
      <c r="AC121" s="146">
        <f>44.61047</f>
        <v>44.610469999999999</v>
      </c>
      <c r="AD121" s="146">
        <v>0</v>
      </c>
      <c r="AE121" s="146">
        <v>0</v>
      </c>
      <c r="AF121" s="151">
        <v>0</v>
      </c>
      <c r="AG121" s="142" t="s">
        <v>43</v>
      </c>
      <c r="AH121" s="142" t="s">
        <v>433</v>
      </c>
      <c r="AI121" s="156"/>
      <c r="AJ121" s="156"/>
      <c r="AN121" s="147" t="s">
        <v>47</v>
      </c>
      <c r="AO121" s="147">
        <v>1</v>
      </c>
      <c r="AP121" s="147">
        <f>X121*$AP$1+Y121*$AQ$1+Z121*$AR$1</f>
        <v>3.2923873700000001</v>
      </c>
      <c r="AQ121" s="147">
        <f>AA121*$AP$1+AB121*$AQ$1+AC121*$AR$1</f>
        <v>3.1446893149999999</v>
      </c>
      <c r="AR121" s="147">
        <v>1</v>
      </c>
      <c r="AS121" s="147"/>
      <c r="AT121" s="147"/>
      <c r="AU121" s="147"/>
    </row>
    <row r="122" spans="1:47" s="142" customFormat="1" ht="12">
      <c r="A122" s="142" t="s">
        <v>454</v>
      </c>
      <c r="B122" s="142" t="s">
        <v>455</v>
      </c>
      <c r="C122" s="155" t="s">
        <v>129</v>
      </c>
      <c r="D122" s="155" t="s">
        <v>310</v>
      </c>
      <c r="E122" s="142" t="s">
        <v>311</v>
      </c>
      <c r="G122" s="142" t="s">
        <v>312</v>
      </c>
      <c r="H122" s="142" t="s">
        <v>432</v>
      </c>
      <c r="J122" s="142">
        <v>0</v>
      </c>
      <c r="K122" s="142">
        <v>45</v>
      </c>
      <c r="L122" s="142" t="s">
        <v>38</v>
      </c>
      <c r="M122" s="142" t="s">
        <v>11</v>
      </c>
      <c r="N122" s="142" t="s">
        <v>427</v>
      </c>
      <c r="O122" s="142" t="s">
        <v>428</v>
      </c>
      <c r="P122" s="142">
        <v>0</v>
      </c>
      <c r="Q122" s="143" t="s">
        <v>455</v>
      </c>
      <c r="R122" s="144">
        <f>0/(0 + 15 + 85)*100</f>
        <v>0</v>
      </c>
      <c r="S122" s="144">
        <f>100 - R122 - U122 - T122</f>
        <v>14.424154059961509</v>
      </c>
      <c r="T122" s="144">
        <f>85/AQ122/(15/$AP122+85/$AQ122) * 100</f>
        <v>85.575845940038491</v>
      </c>
      <c r="U122" s="145">
        <v>0</v>
      </c>
      <c r="V122" s="144">
        <v>0</v>
      </c>
      <c r="W122" s="145">
        <v>0</v>
      </c>
      <c r="X122" s="146">
        <f>12.6294</f>
        <v>12.6294</v>
      </c>
      <c r="Y122" s="146">
        <f>100 - $X122 - $Z122</f>
        <v>86.592889999999997</v>
      </c>
      <c r="Z122" s="151">
        <f>0.77771</f>
        <v>0.77771000000000001</v>
      </c>
      <c r="AA122" s="146">
        <f>10.46943</f>
        <v>10.469429999999999</v>
      </c>
      <c r="AB122" s="146">
        <f>100 - $AA122 - $AC122</f>
        <v>44.920099999999998</v>
      </c>
      <c r="AC122" s="151">
        <f>44.61047</f>
        <v>44.610469999999999</v>
      </c>
      <c r="AD122" s="146">
        <v>0</v>
      </c>
      <c r="AE122" s="146">
        <v>0</v>
      </c>
      <c r="AF122" s="151">
        <v>0</v>
      </c>
      <c r="AG122" s="142" t="s">
        <v>231</v>
      </c>
      <c r="AH122" s="142" t="s">
        <v>433</v>
      </c>
      <c r="AI122" s="156"/>
      <c r="AJ122" s="156"/>
      <c r="AN122" s="147" t="s">
        <v>47</v>
      </c>
      <c r="AO122" s="147">
        <v>1</v>
      </c>
      <c r="AP122" s="147">
        <f>X122*$AP$1+Y122*$AQ$1+Z122*$AR$1</f>
        <v>3.2923873700000001</v>
      </c>
      <c r="AQ122" s="147">
        <f>AA122*$AP$1+AB122*$AQ$1+AC122*$AR$1</f>
        <v>3.1446893149999999</v>
      </c>
      <c r="AR122" s="147">
        <v>1</v>
      </c>
      <c r="AS122" s="147"/>
      <c r="AT122" s="147"/>
      <c r="AU122" s="147"/>
    </row>
    <row r="123" spans="1:47" s="142" customFormat="1" ht="12">
      <c r="A123" s="142" t="s">
        <v>456</v>
      </c>
      <c r="B123" s="154" t="s">
        <v>457</v>
      </c>
      <c r="C123" s="155" t="s">
        <v>129</v>
      </c>
      <c r="D123" s="155" t="s">
        <v>310</v>
      </c>
      <c r="E123" s="142" t="s">
        <v>311</v>
      </c>
      <c r="G123" s="142" t="s">
        <v>312</v>
      </c>
      <c r="H123" s="142" t="s">
        <v>458</v>
      </c>
      <c r="J123" s="142">
        <v>0</v>
      </c>
      <c r="K123" s="142">
        <v>45</v>
      </c>
      <c r="L123" s="142" t="s">
        <v>38</v>
      </c>
      <c r="M123" s="142" t="s">
        <v>11</v>
      </c>
      <c r="N123" s="142" t="s">
        <v>427</v>
      </c>
      <c r="O123" s="142" t="s">
        <v>459</v>
      </c>
      <c r="P123" s="142">
        <v>0</v>
      </c>
      <c r="Q123" s="143" t="s">
        <v>460</v>
      </c>
      <c r="R123" s="144">
        <f>0/(0 + 25 + 75)*100</f>
        <v>0</v>
      </c>
      <c r="S123" s="144">
        <f>100 - R123 - U123 - T123</f>
        <v>24.14932571694581</v>
      </c>
      <c r="T123" s="144">
        <f>75/AQ123/(25/$AP123+75/$AQ123)*100</f>
        <v>75.85067428305419</v>
      </c>
      <c r="U123" s="145">
        <v>0</v>
      </c>
      <c r="V123" s="144">
        <v>0</v>
      </c>
      <c r="W123" s="145">
        <v>0</v>
      </c>
      <c r="X123" s="146">
        <f>12.6294</f>
        <v>12.6294</v>
      </c>
      <c r="Y123" s="146">
        <f>100 - $X123 - $Z123</f>
        <v>86.592889999999997</v>
      </c>
      <c r="Z123" s="151">
        <f>0.77771</f>
        <v>0.77771000000000001</v>
      </c>
      <c r="AA123" s="146">
        <f>10.46943</f>
        <v>10.469429999999999</v>
      </c>
      <c r="AB123" s="146">
        <f>100 - $AA123 - $AC123</f>
        <v>44.920099999999998</v>
      </c>
      <c r="AC123" s="146">
        <f>44.61047</f>
        <v>44.610469999999999</v>
      </c>
      <c r="AD123" s="146">
        <v>0</v>
      </c>
      <c r="AE123" s="146">
        <v>0</v>
      </c>
      <c r="AF123" s="151">
        <v>0</v>
      </c>
      <c r="AG123" s="142" t="s">
        <v>43</v>
      </c>
      <c r="AH123" s="142" t="s">
        <v>433</v>
      </c>
      <c r="AI123" s="156"/>
      <c r="AJ123" s="156"/>
      <c r="AN123" s="147" t="s">
        <v>47</v>
      </c>
      <c r="AO123" s="147">
        <v>1</v>
      </c>
      <c r="AP123" s="147">
        <f>X123*$AP$1+Y123*$AQ$1+Z123*$AR$1</f>
        <v>3.2923873700000001</v>
      </c>
      <c r="AQ123" s="147">
        <f>AA123*$AP$1+AB123*$AQ$1+AC123*$AR$1</f>
        <v>3.1446893149999999</v>
      </c>
      <c r="AR123" s="147">
        <v>1</v>
      </c>
      <c r="AS123" s="147"/>
      <c r="AT123" s="147"/>
      <c r="AU123" s="147"/>
    </row>
    <row r="124" spans="1:47" s="142" customFormat="1" ht="12">
      <c r="A124" s="142" t="s">
        <v>461</v>
      </c>
      <c r="B124" s="154" t="s">
        <v>462</v>
      </c>
      <c r="C124" s="155" t="s">
        <v>129</v>
      </c>
      <c r="D124" s="155" t="s">
        <v>310</v>
      </c>
      <c r="E124" s="142" t="s">
        <v>311</v>
      </c>
      <c r="G124" s="142" t="s">
        <v>312</v>
      </c>
      <c r="H124" s="142" t="s">
        <v>432</v>
      </c>
      <c r="J124" s="142">
        <v>45</v>
      </c>
      <c r="K124" s="142">
        <v>75</v>
      </c>
      <c r="L124" s="142" t="s">
        <v>38</v>
      </c>
      <c r="M124" s="142" t="s">
        <v>11</v>
      </c>
      <c r="N124" s="142" t="s">
        <v>427</v>
      </c>
      <c r="O124" s="142" t="s">
        <v>428</v>
      </c>
      <c r="P124" s="142">
        <v>0</v>
      </c>
      <c r="Q124" s="143" t="s">
        <v>463</v>
      </c>
      <c r="R124" s="144">
        <f>0/(0 + 50 + 50)*100</f>
        <v>0</v>
      </c>
      <c r="S124" s="144">
        <f>100 - R124 - U124 - T124</f>
        <v>48.85275520063189</v>
      </c>
      <c r="T124" s="144">
        <f>50/AQ124/(50/$AP124+50/$AQ124)*100</f>
        <v>51.14724479936811</v>
      </c>
      <c r="U124" s="145">
        <v>0</v>
      </c>
      <c r="V124" s="144">
        <v>0</v>
      </c>
      <c r="W124" s="145">
        <v>0</v>
      </c>
      <c r="X124" s="146">
        <f>12.6294</f>
        <v>12.6294</v>
      </c>
      <c r="Y124" s="146">
        <f>100 - $X124 - $Z124</f>
        <v>86.592889999999997</v>
      </c>
      <c r="Z124" s="151">
        <f>0.77771</f>
        <v>0.77771000000000001</v>
      </c>
      <c r="AA124" s="146">
        <f>10.46943</f>
        <v>10.469429999999999</v>
      </c>
      <c r="AB124" s="146">
        <f>100 - $AA124 - $AC124</f>
        <v>44.920099999999998</v>
      </c>
      <c r="AC124" s="151">
        <f>44.61047</f>
        <v>44.610469999999999</v>
      </c>
      <c r="AD124" s="146">
        <v>0</v>
      </c>
      <c r="AE124" s="146">
        <v>0</v>
      </c>
      <c r="AF124" s="151">
        <v>0</v>
      </c>
      <c r="AG124" s="142" t="s">
        <v>43</v>
      </c>
      <c r="AH124" s="142" t="s">
        <v>433</v>
      </c>
      <c r="AI124" s="156"/>
      <c r="AJ124" s="156"/>
      <c r="AN124" s="147" t="s">
        <v>47</v>
      </c>
      <c r="AO124" s="147">
        <v>1</v>
      </c>
      <c r="AP124" s="147">
        <f>X124*$AP$1+Y124*$AQ$1+Z124*$AR$1</f>
        <v>3.2923873700000001</v>
      </c>
      <c r="AQ124" s="147">
        <f>AA124*$AP$1+AB124*$AQ$1+AC124*$AR$1</f>
        <v>3.1446893149999999</v>
      </c>
      <c r="AR124" s="147">
        <v>1</v>
      </c>
      <c r="AS124" s="147"/>
      <c r="AT124" s="147"/>
      <c r="AU124" s="147"/>
    </row>
    <row r="125" spans="1:47" s="142" customFormat="1" ht="12">
      <c r="A125" s="142" t="s">
        <v>464</v>
      </c>
      <c r="B125" s="154" t="s">
        <v>465</v>
      </c>
      <c r="C125" s="155" t="s">
        <v>129</v>
      </c>
      <c r="D125" s="155" t="s">
        <v>310</v>
      </c>
      <c r="E125" s="142" t="s">
        <v>311</v>
      </c>
      <c r="G125" s="142" t="s">
        <v>312</v>
      </c>
      <c r="H125" s="142" t="s">
        <v>432</v>
      </c>
      <c r="J125" s="142">
        <v>45</v>
      </c>
      <c r="K125" s="142">
        <v>75</v>
      </c>
      <c r="L125" s="142" t="s">
        <v>38</v>
      </c>
      <c r="M125" s="142" t="s">
        <v>11</v>
      </c>
      <c r="N125" s="142" t="s">
        <v>427</v>
      </c>
      <c r="O125" s="142" t="s">
        <v>428</v>
      </c>
      <c r="P125" s="142">
        <v>0</v>
      </c>
      <c r="Q125" s="143" t="s">
        <v>463</v>
      </c>
      <c r="R125" s="144">
        <f>0/(0 + 60 + 40)*100</f>
        <v>0</v>
      </c>
      <c r="S125" s="144">
        <f>100 - R125 - U125 - T125</f>
        <v>58.893567597327333</v>
      </c>
      <c r="T125" s="144">
        <f>40/AQ125/(60/$AP125+40/$AQ125)*100</f>
        <v>41.106432402672667</v>
      </c>
      <c r="U125" s="145">
        <v>0</v>
      </c>
      <c r="V125" s="144">
        <v>0</v>
      </c>
      <c r="W125" s="145">
        <v>0</v>
      </c>
      <c r="X125" s="146">
        <f>12.6294</f>
        <v>12.6294</v>
      </c>
      <c r="Y125" s="146">
        <f>100 - $X125 - $Z125</f>
        <v>86.592889999999997</v>
      </c>
      <c r="Z125" s="151">
        <f>0.77771</f>
        <v>0.77771000000000001</v>
      </c>
      <c r="AA125" s="146">
        <f>10.46943</f>
        <v>10.469429999999999</v>
      </c>
      <c r="AB125" s="146">
        <f>100 - $AA125 - $AC125</f>
        <v>44.920099999999998</v>
      </c>
      <c r="AC125" s="151">
        <f>44.61047</f>
        <v>44.610469999999999</v>
      </c>
      <c r="AD125" s="146">
        <v>0</v>
      </c>
      <c r="AE125" s="146">
        <v>0</v>
      </c>
      <c r="AF125" s="151">
        <v>0</v>
      </c>
      <c r="AG125" s="142" t="s">
        <v>43</v>
      </c>
      <c r="AH125" s="142" t="s">
        <v>433</v>
      </c>
      <c r="AI125" s="156"/>
      <c r="AJ125" s="156"/>
      <c r="AN125" s="147" t="s">
        <v>47</v>
      </c>
      <c r="AO125" s="147">
        <v>1</v>
      </c>
      <c r="AP125" s="147">
        <f>X125*$AP$1+Y125*$AQ$1+Z125*$AR$1</f>
        <v>3.2923873700000001</v>
      </c>
      <c r="AQ125" s="147">
        <f>AA125*$AP$1+AB125*$AQ$1+AC125*$AR$1</f>
        <v>3.1446893149999999</v>
      </c>
      <c r="AR125" s="147">
        <v>1</v>
      </c>
      <c r="AS125" s="147"/>
      <c r="AT125" s="147"/>
      <c r="AU125" s="147"/>
    </row>
    <row r="126" spans="1:47" s="142" customFormat="1" ht="12">
      <c r="A126" s="142" t="s">
        <v>466</v>
      </c>
      <c r="B126" s="154" t="s">
        <v>467</v>
      </c>
      <c r="C126" s="155" t="s">
        <v>129</v>
      </c>
      <c r="D126" s="155" t="s">
        <v>310</v>
      </c>
      <c r="E126" s="142" t="s">
        <v>311</v>
      </c>
      <c r="G126" s="142" t="s">
        <v>312</v>
      </c>
      <c r="H126" s="142" t="s">
        <v>432</v>
      </c>
      <c r="J126" s="142">
        <v>45</v>
      </c>
      <c r="K126" s="142">
        <v>75</v>
      </c>
      <c r="L126" s="142" t="s">
        <v>38</v>
      </c>
      <c r="M126" s="142" t="s">
        <v>11</v>
      </c>
      <c r="N126" s="142" t="s">
        <v>427</v>
      </c>
      <c r="O126" s="142" t="s">
        <v>428</v>
      </c>
      <c r="P126" s="142">
        <v>0</v>
      </c>
      <c r="Q126" s="143" t="s">
        <v>468</v>
      </c>
      <c r="R126" s="144">
        <f>0/(0 + 40 + 60)*100</f>
        <v>0</v>
      </c>
      <c r="S126" s="144">
        <f>100 - R126 - U126 - T126</f>
        <v>38.903676000633389</v>
      </c>
      <c r="T126" s="144">
        <f>60/AQ126/(40/$AP126+60/$AQ126)*100</f>
        <v>61.096323999366611</v>
      </c>
      <c r="U126" s="145">
        <v>0</v>
      </c>
      <c r="V126" s="144">
        <v>0</v>
      </c>
      <c r="W126" s="145">
        <v>0</v>
      </c>
      <c r="X126" s="146">
        <f>12.6294</f>
        <v>12.6294</v>
      </c>
      <c r="Y126" s="146">
        <f>100 - $X126 - $Z126</f>
        <v>86.592889999999997</v>
      </c>
      <c r="Z126" s="151">
        <f>0.77771</f>
        <v>0.77771000000000001</v>
      </c>
      <c r="AA126" s="146">
        <f>10.46943</f>
        <v>10.469429999999999</v>
      </c>
      <c r="AB126" s="146">
        <f>100 - $AA126 - $AC126</f>
        <v>44.920099999999998</v>
      </c>
      <c r="AC126" s="151">
        <f>44.61047</f>
        <v>44.610469999999999</v>
      </c>
      <c r="AD126" s="146">
        <v>0</v>
      </c>
      <c r="AE126" s="146">
        <v>0</v>
      </c>
      <c r="AF126" s="151">
        <v>0</v>
      </c>
      <c r="AG126" s="142" t="s">
        <v>43</v>
      </c>
      <c r="AH126" s="142" t="s">
        <v>433</v>
      </c>
      <c r="AI126" s="156"/>
      <c r="AJ126" s="156"/>
      <c r="AN126" s="147" t="s">
        <v>47</v>
      </c>
      <c r="AO126" s="147">
        <v>1</v>
      </c>
      <c r="AP126" s="147">
        <f>X126*$AP$1+Y126*$AQ$1+Z126*$AR$1</f>
        <v>3.2923873700000001</v>
      </c>
      <c r="AQ126" s="147">
        <f>AA126*$AP$1+AB126*$AQ$1+AC126*$AR$1</f>
        <v>3.1446893149999999</v>
      </c>
      <c r="AR126" s="147">
        <v>1</v>
      </c>
      <c r="AS126" s="147"/>
      <c r="AT126" s="147"/>
      <c r="AU126" s="147"/>
    </row>
    <row r="127" spans="1:47" s="142" customFormat="1" ht="12">
      <c r="A127" s="142" t="s">
        <v>469</v>
      </c>
      <c r="B127" s="154" t="s">
        <v>470</v>
      </c>
      <c r="C127" s="155" t="s">
        <v>129</v>
      </c>
      <c r="D127" s="155" t="s">
        <v>310</v>
      </c>
      <c r="E127" s="142" t="s">
        <v>311</v>
      </c>
      <c r="G127" s="142" t="s">
        <v>312</v>
      </c>
      <c r="H127" s="142" t="s">
        <v>432</v>
      </c>
      <c r="J127" s="142">
        <v>45</v>
      </c>
      <c r="K127" s="142">
        <v>75</v>
      </c>
      <c r="L127" s="142" t="s">
        <v>38</v>
      </c>
      <c r="M127" s="142" t="s">
        <v>11</v>
      </c>
      <c r="N127" s="142" t="s">
        <v>427</v>
      </c>
      <c r="O127" s="142" t="s">
        <v>428</v>
      </c>
      <c r="P127" s="142">
        <v>0</v>
      </c>
      <c r="Q127" s="143" t="s">
        <v>471</v>
      </c>
      <c r="R127" s="144">
        <f>0/(0 + 75 + 25)*100</f>
        <v>0</v>
      </c>
      <c r="S127" s="144">
        <f>100 - R127 - U127 - T127</f>
        <v>74.129580558700923</v>
      </c>
      <c r="T127" s="144">
        <f>25/AQ127/(75/$AP127+25/$AQ127)*100</f>
        <v>25.870419441299081</v>
      </c>
      <c r="U127" s="145">
        <v>0</v>
      </c>
      <c r="V127" s="144">
        <v>0</v>
      </c>
      <c r="W127" s="145">
        <v>0</v>
      </c>
      <c r="X127" s="146">
        <f>12.6294</f>
        <v>12.6294</v>
      </c>
      <c r="Y127" s="146">
        <f>100 - $X127 - $Z127</f>
        <v>86.592889999999997</v>
      </c>
      <c r="Z127" s="151">
        <f>0.77771</f>
        <v>0.77771000000000001</v>
      </c>
      <c r="AA127" s="146">
        <f>10.46943</f>
        <v>10.469429999999999</v>
      </c>
      <c r="AB127" s="146">
        <f>100 - $AA127 - $AC127</f>
        <v>44.920099999999998</v>
      </c>
      <c r="AC127" s="151">
        <f>44.61047</f>
        <v>44.610469999999999</v>
      </c>
      <c r="AD127" s="146">
        <v>0</v>
      </c>
      <c r="AE127" s="146">
        <v>0</v>
      </c>
      <c r="AF127" s="151">
        <v>0</v>
      </c>
      <c r="AG127" s="142" t="s">
        <v>43</v>
      </c>
      <c r="AH127" s="142" t="s">
        <v>433</v>
      </c>
      <c r="AI127" s="156"/>
      <c r="AJ127" s="156"/>
      <c r="AN127" s="147" t="s">
        <v>47</v>
      </c>
      <c r="AO127" s="147">
        <v>1</v>
      </c>
      <c r="AP127" s="147">
        <f>X127*$AP$1+Y127*$AQ$1+Z127*$AR$1</f>
        <v>3.2923873700000001</v>
      </c>
      <c r="AQ127" s="147">
        <f>AA127*$AP$1+AB127*$AQ$1+AC127*$AR$1</f>
        <v>3.1446893149999999</v>
      </c>
      <c r="AR127" s="147">
        <v>1</v>
      </c>
      <c r="AS127" s="147"/>
      <c r="AT127" s="147"/>
      <c r="AU127" s="147"/>
    </row>
    <row r="128" spans="1:47" s="142" customFormat="1" ht="12">
      <c r="A128" s="142" t="s">
        <v>472</v>
      </c>
      <c r="B128" s="154" t="s">
        <v>473</v>
      </c>
      <c r="C128" s="155" t="s">
        <v>129</v>
      </c>
      <c r="D128" s="155" t="s">
        <v>310</v>
      </c>
      <c r="E128" s="142" t="s">
        <v>311</v>
      </c>
      <c r="G128" s="142" t="s">
        <v>312</v>
      </c>
      <c r="H128" s="142" t="s">
        <v>432</v>
      </c>
      <c r="J128" s="142">
        <v>45</v>
      </c>
      <c r="K128" s="142">
        <v>75</v>
      </c>
      <c r="L128" s="142" t="s">
        <v>38</v>
      </c>
      <c r="M128" s="142" t="s">
        <v>11</v>
      </c>
      <c r="N128" s="142" t="s">
        <v>427</v>
      </c>
      <c r="O128" s="142" t="s">
        <v>428</v>
      </c>
      <c r="P128" s="142">
        <v>0</v>
      </c>
      <c r="Q128" s="143" t="s">
        <v>463</v>
      </c>
      <c r="R128" s="144">
        <f>0/(0 + 25 + 75)*100</f>
        <v>0</v>
      </c>
      <c r="S128" s="144">
        <f>100 - R128 - U128 - T128</f>
        <v>24.14932571694581</v>
      </c>
      <c r="T128" s="144">
        <f>75/AQ128/(25/$AP128+75/$AQ128)*100</f>
        <v>75.85067428305419</v>
      </c>
      <c r="U128" s="145">
        <v>0</v>
      </c>
      <c r="V128" s="144">
        <v>0</v>
      </c>
      <c r="W128" s="145">
        <v>0</v>
      </c>
      <c r="X128" s="146">
        <f>12.6294</f>
        <v>12.6294</v>
      </c>
      <c r="Y128" s="146">
        <f>100 - $X128 - $Z128</f>
        <v>86.592889999999997</v>
      </c>
      <c r="Z128" s="151">
        <f>0.77771</f>
        <v>0.77771000000000001</v>
      </c>
      <c r="AA128" s="146">
        <f>10.46943</f>
        <v>10.469429999999999</v>
      </c>
      <c r="AB128" s="146">
        <f>100 - $AA128 - $AC128</f>
        <v>44.920099999999998</v>
      </c>
      <c r="AC128" s="151">
        <f>44.61047</f>
        <v>44.610469999999999</v>
      </c>
      <c r="AD128" s="146">
        <v>0</v>
      </c>
      <c r="AE128" s="146">
        <v>0</v>
      </c>
      <c r="AF128" s="151">
        <v>0</v>
      </c>
      <c r="AG128" s="142" t="s">
        <v>231</v>
      </c>
      <c r="AH128" s="142" t="s">
        <v>433</v>
      </c>
      <c r="AI128" s="156"/>
      <c r="AJ128" s="156"/>
      <c r="AN128" s="147" t="s">
        <v>47</v>
      </c>
      <c r="AO128" s="147">
        <v>1</v>
      </c>
      <c r="AP128" s="147">
        <f>X128*$AP$1+Y128*$AQ$1+Z128*$AR$1</f>
        <v>3.2923873700000001</v>
      </c>
      <c r="AQ128" s="147">
        <f>AA128*$AP$1+AB128*$AQ$1+AC128*$AR$1</f>
        <v>3.1446893149999999</v>
      </c>
      <c r="AR128" s="147">
        <v>1</v>
      </c>
      <c r="AS128" s="147"/>
      <c r="AT128" s="147"/>
      <c r="AU128" s="147"/>
    </row>
    <row r="129" spans="1:47" s="142" customFormat="1" ht="12">
      <c r="A129" s="142" t="s">
        <v>474</v>
      </c>
      <c r="B129" s="154" t="s">
        <v>475</v>
      </c>
      <c r="C129" s="155" t="s">
        <v>129</v>
      </c>
      <c r="D129" s="155" t="s">
        <v>310</v>
      </c>
      <c r="E129" s="142" t="s">
        <v>311</v>
      </c>
      <c r="G129" s="142" t="s">
        <v>312</v>
      </c>
      <c r="H129" s="142" t="s">
        <v>432</v>
      </c>
      <c r="J129" s="142">
        <v>45</v>
      </c>
      <c r="K129" s="142">
        <v>75</v>
      </c>
      <c r="L129" s="142" t="s">
        <v>38</v>
      </c>
      <c r="M129" s="142" t="s">
        <v>11</v>
      </c>
      <c r="N129" s="142" t="s">
        <v>427</v>
      </c>
      <c r="O129" s="142" t="s">
        <v>428</v>
      </c>
      <c r="P129" s="142">
        <v>0</v>
      </c>
      <c r="Q129" s="143" t="s">
        <v>463</v>
      </c>
      <c r="R129" s="144">
        <f>0/(0 + 85 + 15)*100</f>
        <v>0</v>
      </c>
      <c r="S129" s="144">
        <f>100 - R129 - U129 - T129</f>
        <v>84.405354293604461</v>
      </c>
      <c r="T129" s="144">
        <f>15/AQ129/(85/$AP129+15/$AQ129)*100</f>
        <v>15.594645706395543</v>
      </c>
      <c r="U129" s="145">
        <v>0</v>
      </c>
      <c r="V129" s="144">
        <v>0</v>
      </c>
      <c r="W129" s="145">
        <v>0</v>
      </c>
      <c r="X129" s="146">
        <f>12.6294</f>
        <v>12.6294</v>
      </c>
      <c r="Y129" s="146">
        <f>100 - $X129 - $Z129</f>
        <v>86.592889999999997</v>
      </c>
      <c r="Z129" s="151">
        <f>0.77771</f>
        <v>0.77771000000000001</v>
      </c>
      <c r="AA129" s="146">
        <f>10.46943</f>
        <v>10.469429999999999</v>
      </c>
      <c r="AB129" s="146">
        <f>100 - $AA129 - $AC129</f>
        <v>44.920099999999998</v>
      </c>
      <c r="AC129" s="151">
        <f>44.61047</f>
        <v>44.610469999999999</v>
      </c>
      <c r="AD129" s="146">
        <v>0</v>
      </c>
      <c r="AE129" s="146">
        <v>0</v>
      </c>
      <c r="AF129" s="151">
        <v>0</v>
      </c>
      <c r="AG129" s="142" t="s">
        <v>43</v>
      </c>
      <c r="AH129" s="142" t="s">
        <v>433</v>
      </c>
      <c r="AI129" s="156"/>
      <c r="AJ129" s="156"/>
      <c r="AN129" s="147" t="s">
        <v>47</v>
      </c>
      <c r="AO129" s="147">
        <v>1</v>
      </c>
      <c r="AP129" s="147">
        <f>X129*$AP$1+Y129*$AQ$1+Z129*$AR$1</f>
        <v>3.2923873700000001</v>
      </c>
      <c r="AQ129" s="147">
        <f>AA129*$AP$1+AB129*$AQ$1+AC129*$AR$1</f>
        <v>3.1446893149999999</v>
      </c>
      <c r="AR129" s="147">
        <v>1</v>
      </c>
      <c r="AS129" s="147"/>
      <c r="AT129" s="147"/>
      <c r="AU129" s="147"/>
    </row>
    <row r="130" spans="1:47" s="142" customFormat="1" ht="12">
      <c r="A130" s="142" t="s">
        <v>476</v>
      </c>
      <c r="B130" s="154" t="s">
        <v>477</v>
      </c>
      <c r="C130" s="155" t="s">
        <v>129</v>
      </c>
      <c r="D130" s="155" t="s">
        <v>310</v>
      </c>
      <c r="E130" s="142" t="s">
        <v>311</v>
      </c>
      <c r="G130" s="142" t="s">
        <v>312</v>
      </c>
      <c r="H130" s="142" t="s">
        <v>432</v>
      </c>
      <c r="J130" s="142">
        <v>45</v>
      </c>
      <c r="K130" s="142">
        <v>75</v>
      </c>
      <c r="L130" s="142" t="s">
        <v>38</v>
      </c>
      <c r="M130" s="142" t="s">
        <v>11</v>
      </c>
      <c r="N130" s="142" t="s">
        <v>427</v>
      </c>
      <c r="O130" s="142" t="s">
        <v>428</v>
      </c>
      <c r="P130" s="142">
        <v>0</v>
      </c>
      <c r="Q130" s="143" t="s">
        <v>463</v>
      </c>
      <c r="R130" s="144">
        <f>0/(0 + 15 + 85)*100</f>
        <v>0</v>
      </c>
      <c r="S130" s="144">
        <f>100 - R130 - U130 - T130</f>
        <v>14.424154059961509</v>
      </c>
      <c r="T130" s="144">
        <f>85/AQ130/(15/$AP130+85/$AQ130) * 100</f>
        <v>85.575845940038491</v>
      </c>
      <c r="U130" s="145">
        <v>0</v>
      </c>
      <c r="V130" s="144">
        <v>0</v>
      </c>
      <c r="W130" s="145">
        <v>0</v>
      </c>
      <c r="X130" s="146">
        <f>12.6294</f>
        <v>12.6294</v>
      </c>
      <c r="Y130" s="146">
        <f>100 - $X130 - $Z130</f>
        <v>86.592889999999997</v>
      </c>
      <c r="Z130" s="151">
        <f>0.77771</f>
        <v>0.77771000000000001</v>
      </c>
      <c r="AA130" s="146">
        <f>10.46943</f>
        <v>10.469429999999999</v>
      </c>
      <c r="AB130" s="146">
        <f>100 - $AA130 - $AC130</f>
        <v>44.920099999999998</v>
      </c>
      <c r="AC130" s="151">
        <f>44.61047</f>
        <v>44.610469999999999</v>
      </c>
      <c r="AD130" s="146">
        <v>0</v>
      </c>
      <c r="AE130" s="146">
        <v>0</v>
      </c>
      <c r="AF130" s="151">
        <v>0</v>
      </c>
      <c r="AG130" s="142" t="s">
        <v>231</v>
      </c>
      <c r="AH130" s="142" t="s">
        <v>433</v>
      </c>
      <c r="AI130" s="156"/>
      <c r="AJ130" s="156"/>
      <c r="AN130" s="147" t="s">
        <v>47</v>
      </c>
      <c r="AO130" s="147">
        <v>1</v>
      </c>
      <c r="AP130" s="147">
        <f>X130*$AP$1+Y130*$AQ$1+Z130*$AR$1</f>
        <v>3.2923873700000001</v>
      </c>
      <c r="AQ130" s="147">
        <f>AA130*$AP$1+AB130*$AQ$1+AC130*$AR$1</f>
        <v>3.1446893149999999</v>
      </c>
      <c r="AR130" s="147">
        <v>1</v>
      </c>
      <c r="AS130" s="147"/>
      <c r="AT130" s="147"/>
      <c r="AU130" s="147"/>
    </row>
    <row r="131" spans="1:47" s="6" customFormat="1" ht="12">
      <c r="A131" s="6" t="s">
        <v>478</v>
      </c>
      <c r="B131" s="7" t="s">
        <v>479</v>
      </c>
      <c r="C131" s="8" t="s">
        <v>79</v>
      </c>
      <c r="D131" s="8" t="s">
        <v>310</v>
      </c>
      <c r="E131" s="6" t="s">
        <v>311</v>
      </c>
      <c r="G131" s="6" t="s">
        <v>414</v>
      </c>
      <c r="H131" s="6" t="s">
        <v>480</v>
      </c>
      <c r="J131" s="6">
        <v>0</v>
      </c>
      <c r="K131" s="6">
        <v>45</v>
      </c>
      <c r="L131" s="6" t="s">
        <v>38</v>
      </c>
      <c r="M131" s="6" t="s">
        <v>39</v>
      </c>
      <c r="N131" s="6" t="s">
        <v>481</v>
      </c>
      <c r="O131" s="6" t="s">
        <v>314</v>
      </c>
      <c r="P131" s="6">
        <v>636</v>
      </c>
      <c r="Q131" s="28" t="s">
        <v>315</v>
      </c>
      <c r="R131" s="87">
        <v>0</v>
      </c>
      <c r="S131" s="87">
        <f>100 - R131 - U131 - T131</f>
        <v>0</v>
      </c>
      <c r="T131" s="87">
        <v>100</v>
      </c>
      <c r="U131" s="88">
        <v>0</v>
      </c>
      <c r="V131" s="87">
        <v>0</v>
      </c>
      <c r="W131" s="88">
        <f>IF($R131 &gt; 0, 100 - $V131, 0)</f>
        <v>0</v>
      </c>
      <c r="X131" s="71">
        <v>0</v>
      </c>
      <c r="Y131" s="71">
        <f>IF($S131 &gt; 0, 100 - $X131 - $Z131, 0)</f>
        <v>0</v>
      </c>
      <c r="Z131" s="72">
        <v>0</v>
      </c>
      <c r="AA131" s="71">
        <f>INDEX(Chemical_analyses!$A:$L, MATCH($P131, Chemical_analyses!$A:$A), 9)/$AI$1/(INDEX(Chemical_analyses!$A:$L, MATCH($P131, Chemical_analyses!$A:$A), 9)/$AI$1+INDEX(Chemical_analyses!$A:$L, MATCH($P131, Chemical_analyses!$A:$A), 11)/$AJ$1+INDEX(Chemical_analyses!$A:$L, MATCH($P131, Chemical_analyses!$A:$A), 12)/$AK$1)*100</f>
        <v>9.7076115070896218</v>
      </c>
      <c r="AB131" s="71">
        <f>IF($T131 &gt; 0, 100 - $AA131 - $AC131, 0)</f>
        <v>53.653084438022049</v>
      </c>
      <c r="AC131" s="72">
        <f>INDEX(Chemical_analyses!$A:$L, MATCH($P131, Chemical_analyses!$A:$A), 12)/$AK$1/(INDEX(Chemical_analyses!$A:$L, MATCH($P131, Chemical_analyses!$A:$A), 9)/$AI$1+INDEX(Chemical_analyses!$A:$L, MATCH($P131, Chemical_analyses!$A:$A), 11)/$AJ$1+INDEX(Chemical_analyses!$A:$L, MATCH($P131, Chemical_analyses!$A:$A), 12)/$AK$1)*100</f>
        <v>36.639304054888328</v>
      </c>
      <c r="AD131" s="71">
        <v>0</v>
      </c>
      <c r="AE131" s="71">
        <f>IF($U131 &gt; 0, 100 - $AD131 - $AF131, 0)</f>
        <v>0</v>
      </c>
      <c r="AF131" s="72">
        <v>0</v>
      </c>
      <c r="AG131" s="6" t="s">
        <v>43</v>
      </c>
      <c r="AH131" s="10" t="str">
        <f>_xlfn.CONCAT("FeO: ", INDEX(Chemical_analyses!$A:$M, MATCH($P131, Chemical_analyses!$A:$A), 9), ", MgO: ", INDEX(Chemical_analyses!$A:$M, MATCH($P131, Chemical_analyses!$A:$A), 11), ", CaO: ", INDEX(Chemical_analyses!$A:$M, MATCH($P131, Chemical_analyses!$A:$A), 12), ", MnO: ", INDEX(Chemical_analyses!$A:$M, MATCH($P131, Chemical_analyses!$A:$A), 10), ", NaO2: ", INDEX(Chemical_analyses!$A:$M, MATCH($P131, Chemical_analyses!$A:$A), 13), ", Fe2O3: ", INDEX(Chemical_analyses!$A:$M, MATCH($P131, Chemical_analyses!$A:$A), 8), ", Al2O3: ", INDEX(Chemical_analyses!$A:$M, MATCH($P131, Chemical_analyses!$A:$A), 6))</f>
        <v>FeO: 5.37, MgO: 16.65, CaO: 15.82, MnO: 0.13, NaO2: 1.27, Fe2O3: 1.08, Al2O3: 8.73</v>
      </c>
      <c r="AI131" s="10"/>
      <c r="AJ131" s="10"/>
      <c r="AN131" s="86"/>
      <c r="AO131" s="86"/>
      <c r="AP131" s="86"/>
      <c r="AQ131" s="86"/>
      <c r="AR131" s="86"/>
      <c r="AS131" s="86"/>
      <c r="AT131" s="86"/>
      <c r="AU131" s="86"/>
    </row>
    <row r="132" spans="1:47" s="6" customFormat="1" ht="12">
      <c r="A132" s="6" t="s">
        <v>482</v>
      </c>
      <c r="B132" s="7" t="s">
        <v>483</v>
      </c>
      <c r="C132" s="8" t="s">
        <v>484</v>
      </c>
      <c r="D132" s="8" t="s">
        <v>310</v>
      </c>
      <c r="E132" s="6" t="s">
        <v>311</v>
      </c>
      <c r="G132" s="6" t="s">
        <v>414</v>
      </c>
      <c r="H132" s="6" t="s">
        <v>480</v>
      </c>
      <c r="J132" s="6">
        <v>0</v>
      </c>
      <c r="K132" s="6">
        <v>25</v>
      </c>
      <c r="L132" s="6" t="s">
        <v>38</v>
      </c>
      <c r="M132" s="6" t="s">
        <v>39</v>
      </c>
      <c r="N132" s="6" t="s">
        <v>485</v>
      </c>
      <c r="O132" s="6" t="s">
        <v>486</v>
      </c>
      <c r="P132" s="6">
        <v>814</v>
      </c>
      <c r="Q132" s="28"/>
      <c r="R132" s="87">
        <v>0</v>
      </c>
      <c r="S132" s="87">
        <f>100 - R132 - U132 - T132</f>
        <v>0</v>
      </c>
      <c r="T132" s="87">
        <v>100</v>
      </c>
      <c r="U132" s="88">
        <v>0</v>
      </c>
      <c r="V132" s="87">
        <v>0</v>
      </c>
      <c r="W132" s="88">
        <f>IF($R132 &gt; 0, 100 - $V132, 0)</f>
        <v>0</v>
      </c>
      <c r="X132" s="71">
        <v>0</v>
      </c>
      <c r="Y132" s="71">
        <f>IF($S132 &gt; 0, 100 - $X132 - $Z132, 0)</f>
        <v>0</v>
      </c>
      <c r="Z132" s="72">
        <v>0</v>
      </c>
      <c r="AA132" s="71">
        <f>INDEX(Chemical_analyses!$A:$L, MATCH($P132, Chemical_analyses!$A:$A), 9)/$AI$1/(INDEX(Chemical_analyses!$A:$L, MATCH($P132, Chemical_analyses!$A:$A), 9)/$AI$1+INDEX(Chemical_analyses!$A:$L, MATCH($P132, Chemical_analyses!$A:$A), 11)/$AJ$1+INDEX(Chemical_analyses!$A:$L, MATCH($P132, Chemical_analyses!$A:$A), 12)/$AK$1)*100</f>
        <v>7.051768860678866</v>
      </c>
      <c r="AB132" s="71">
        <f>IF($T132 &gt; 0, 100 - $AA132 - $AC132, 0)</f>
        <v>45.965037636556289</v>
      </c>
      <c r="AC132" s="72">
        <f>INDEX(Chemical_analyses!$A:$L, MATCH($P132, Chemical_analyses!$A:$A), 12)/$AK$1/(INDEX(Chemical_analyses!$A:$L, MATCH($P132, Chemical_analyses!$A:$A), 9)/$AI$1+INDEX(Chemical_analyses!$A:$L, MATCH($P132, Chemical_analyses!$A:$A), 11)/$AJ$1+INDEX(Chemical_analyses!$A:$L, MATCH($P132, Chemical_analyses!$A:$A), 12)/$AK$1)*100</f>
        <v>46.983193502764848</v>
      </c>
      <c r="AD132" s="71">
        <v>0</v>
      </c>
      <c r="AE132" s="71">
        <f>IF($U132 &gt; 0, 100 - $AD132 - $AF132, 0)</f>
        <v>0</v>
      </c>
      <c r="AF132" s="72">
        <v>0</v>
      </c>
      <c r="AG132" s="6" t="s">
        <v>43</v>
      </c>
      <c r="AH132" s="10" t="str">
        <f>_xlfn.CONCAT("FeO: ", INDEX(Chemical_analyses!$A:$M, MATCH($P132, Chemical_analyses!$A:$A), 9), ", MgO: ", INDEX(Chemical_analyses!$A:$M, MATCH($P132, Chemical_analyses!$A:$A), 11), ", CaO: ", INDEX(Chemical_analyses!$A:$M, MATCH($P132, Chemical_analyses!$A:$A), 12), ", MnO: ", INDEX(Chemical_analyses!$A:$M, MATCH($P132, Chemical_analyses!$A:$A), 10), ", NaO2: ", INDEX(Chemical_analyses!$A:$M, MATCH($P132, Chemical_analyses!$A:$A), 13), ", Fe2O3: ", INDEX(Chemical_analyses!$A:$M, MATCH($P132, Chemical_analyses!$A:$A), 8), ", Al2O3: ", INDEX(Chemical_analyses!$A:$M, MATCH($P132, Chemical_analyses!$A:$A), 6))</f>
        <v>FeO: 4.34, MgO: 15.87, CaO: 22.57, MnO: 0.08, NaO2: 0.45, Fe2O3: 0, Al2O3: 4.78</v>
      </c>
      <c r="AI132" s="10"/>
      <c r="AJ132" s="10"/>
      <c r="AN132" s="86"/>
      <c r="AO132" s="86"/>
      <c r="AP132" s="86"/>
      <c r="AQ132" s="86"/>
      <c r="AR132" s="86"/>
      <c r="AS132" s="86"/>
      <c r="AT132" s="86"/>
      <c r="AU132" s="86"/>
    </row>
    <row r="133" spans="1:47" s="6" customFormat="1" ht="12">
      <c r="A133" s="6" t="s">
        <v>487</v>
      </c>
      <c r="B133" s="7" t="s">
        <v>488</v>
      </c>
      <c r="C133" s="8" t="s">
        <v>484</v>
      </c>
      <c r="D133" s="8" t="s">
        <v>310</v>
      </c>
      <c r="E133" s="6" t="s">
        <v>311</v>
      </c>
      <c r="G133" s="6" t="s">
        <v>414</v>
      </c>
      <c r="H133" s="6" t="s">
        <v>480</v>
      </c>
      <c r="J133" s="6">
        <v>25</v>
      </c>
      <c r="K133" s="6">
        <v>45</v>
      </c>
      <c r="L133" s="6" t="s">
        <v>38</v>
      </c>
      <c r="M133" s="6" t="s">
        <v>39</v>
      </c>
      <c r="N133" s="6" t="s">
        <v>485</v>
      </c>
      <c r="O133" s="6" t="s">
        <v>486</v>
      </c>
      <c r="P133" s="6">
        <v>814</v>
      </c>
      <c r="Q133" s="28"/>
      <c r="R133" s="87">
        <v>0</v>
      </c>
      <c r="S133" s="87">
        <f>100 - R133 - U133 - T133</f>
        <v>0</v>
      </c>
      <c r="T133" s="87">
        <v>100</v>
      </c>
      <c r="U133" s="87">
        <v>0</v>
      </c>
      <c r="V133" s="87">
        <v>0</v>
      </c>
      <c r="W133" s="88">
        <f>IF($R133 &gt; 0, 100 - $V133, 0)</f>
        <v>0</v>
      </c>
      <c r="X133" s="71">
        <v>0</v>
      </c>
      <c r="Y133" s="71">
        <f>IF($S133 &gt; 0, 100 - $X133 - $Z133, 0)</f>
        <v>0</v>
      </c>
      <c r="Z133" s="71">
        <v>0</v>
      </c>
      <c r="AA133" s="71">
        <f>INDEX(Chemical_analyses!$A:$L, MATCH($P133, Chemical_analyses!$A:$A), 9)/$AI$1/(INDEX(Chemical_analyses!$A:$L, MATCH($P133, Chemical_analyses!$A:$A), 9)/$AI$1+INDEX(Chemical_analyses!$A:$L, MATCH($P133, Chemical_analyses!$A:$A), 11)/$AJ$1+INDEX(Chemical_analyses!$A:$L, MATCH($P133, Chemical_analyses!$A:$A), 12)/$AK$1)*100</f>
        <v>7.051768860678866</v>
      </c>
      <c r="AB133" s="71">
        <f>IF($T133 &gt; 0, 100 - $AA133 - $AC133, 0)</f>
        <v>45.965037636556289</v>
      </c>
      <c r="AC133" s="72">
        <f>INDEX(Chemical_analyses!$A:$L, MATCH($P133, Chemical_analyses!$A:$A), 12)/$AK$1/(INDEX(Chemical_analyses!$A:$L, MATCH($P133, Chemical_analyses!$A:$A), 9)/$AI$1+INDEX(Chemical_analyses!$A:$L, MATCH($P133, Chemical_analyses!$A:$A), 11)/$AJ$1+INDEX(Chemical_analyses!$A:$L, MATCH($P133, Chemical_analyses!$A:$A), 12)/$AK$1)*100</f>
        <v>46.983193502764848</v>
      </c>
      <c r="AD133" s="71">
        <v>0</v>
      </c>
      <c r="AE133" s="71">
        <f>IF($U133 &gt; 0, 100 - $AD133 - $AF133, 0)</f>
        <v>0</v>
      </c>
      <c r="AF133" s="72">
        <v>0</v>
      </c>
      <c r="AG133" s="6" t="s">
        <v>43</v>
      </c>
      <c r="AH133" s="10" t="str">
        <f>_xlfn.CONCAT("FeO: ", INDEX(Chemical_analyses!$A:$M, MATCH($P133, Chemical_analyses!$A:$A), 9), ", MgO: ", INDEX(Chemical_analyses!$A:$M, MATCH($P133, Chemical_analyses!$A:$A), 11), ", CaO: ", INDEX(Chemical_analyses!$A:$M, MATCH($P133, Chemical_analyses!$A:$A), 12), ", MnO: ", INDEX(Chemical_analyses!$A:$M, MATCH($P133, Chemical_analyses!$A:$A), 10), ", NaO2: ", INDEX(Chemical_analyses!$A:$M, MATCH($P133, Chemical_analyses!$A:$A), 13), ", Fe2O3: ", INDEX(Chemical_analyses!$A:$M, MATCH($P133, Chemical_analyses!$A:$A), 8), ", Al2O3: ", INDEX(Chemical_analyses!$A:$M, MATCH($P133, Chemical_analyses!$A:$A), 6))</f>
        <v>FeO: 4.34, MgO: 15.87, CaO: 22.57, MnO: 0.08, NaO2: 0.45, Fe2O3: 0, Al2O3: 4.78</v>
      </c>
      <c r="AI133" s="10"/>
      <c r="AJ133" s="10"/>
      <c r="AN133" s="86"/>
      <c r="AO133" s="86"/>
      <c r="AP133" s="86"/>
      <c r="AQ133" s="86"/>
      <c r="AR133" s="86"/>
      <c r="AS133" s="86"/>
      <c r="AT133" s="86"/>
      <c r="AU133" s="86"/>
    </row>
    <row r="134" spans="1:47" s="6" customFormat="1" ht="12">
      <c r="A134" s="6" t="s">
        <v>489</v>
      </c>
      <c r="B134" s="7" t="s">
        <v>490</v>
      </c>
      <c r="C134" s="8" t="s">
        <v>484</v>
      </c>
      <c r="D134" s="8" t="s">
        <v>310</v>
      </c>
      <c r="E134" s="6" t="s">
        <v>311</v>
      </c>
      <c r="G134" s="6" t="s">
        <v>414</v>
      </c>
      <c r="H134" s="6" t="s">
        <v>480</v>
      </c>
      <c r="J134" s="6">
        <v>45</v>
      </c>
      <c r="K134" s="6">
        <v>53</v>
      </c>
      <c r="L134" s="6" t="s">
        <v>38</v>
      </c>
      <c r="M134" s="6" t="s">
        <v>39</v>
      </c>
      <c r="N134" s="6" t="s">
        <v>485</v>
      </c>
      <c r="O134" s="6" t="s">
        <v>486</v>
      </c>
      <c r="P134" s="6">
        <v>814</v>
      </c>
      <c r="Q134" s="28"/>
      <c r="R134" s="87">
        <v>0</v>
      </c>
      <c r="S134" s="87">
        <f>100 - R134 - U134 - T134</f>
        <v>0</v>
      </c>
      <c r="T134" s="87">
        <v>100</v>
      </c>
      <c r="U134" s="87">
        <v>0</v>
      </c>
      <c r="V134" s="87">
        <v>0</v>
      </c>
      <c r="W134" s="88">
        <f>IF($R134 &gt; 0, 100 - $V134, 0)</f>
        <v>0</v>
      </c>
      <c r="X134" s="71">
        <v>0</v>
      </c>
      <c r="Y134" s="71">
        <f>IF($S134 &gt; 0, 100 - $X134 - $Z134, 0)</f>
        <v>0</v>
      </c>
      <c r="Z134" s="72">
        <v>0</v>
      </c>
      <c r="AA134" s="71">
        <f>INDEX(Chemical_analyses!$A:$L, MATCH($P134, Chemical_analyses!$A:$A), 9)/$AI$1/(INDEX(Chemical_analyses!$A:$L, MATCH($P134, Chemical_analyses!$A:$A), 9)/$AI$1+INDEX(Chemical_analyses!$A:$L, MATCH($P134, Chemical_analyses!$A:$A), 11)/$AJ$1+INDEX(Chemical_analyses!$A:$L, MATCH($P134, Chemical_analyses!$A:$A), 12)/$AK$1)*100</f>
        <v>7.051768860678866</v>
      </c>
      <c r="AB134" s="71">
        <f>IF($T134 &gt; 0, 100 - $AA134 - $AC134, 0)</f>
        <v>45.965037636556289</v>
      </c>
      <c r="AC134" s="72">
        <f>INDEX(Chemical_analyses!$A:$L, MATCH($P134, Chemical_analyses!$A:$A), 12)/$AK$1/(INDEX(Chemical_analyses!$A:$L, MATCH($P134, Chemical_analyses!$A:$A), 9)/$AI$1+INDEX(Chemical_analyses!$A:$L, MATCH($P134, Chemical_analyses!$A:$A), 11)/$AJ$1+INDEX(Chemical_analyses!$A:$L, MATCH($P134, Chemical_analyses!$A:$A), 12)/$AK$1)*100</f>
        <v>46.983193502764848</v>
      </c>
      <c r="AD134" s="71">
        <v>0</v>
      </c>
      <c r="AE134" s="71">
        <f>IF($U134 &gt; 0, 100 - $AD134 - $AF134, 0)</f>
        <v>0</v>
      </c>
      <c r="AF134" s="72">
        <v>0</v>
      </c>
      <c r="AG134" s="6" t="s">
        <v>43</v>
      </c>
      <c r="AH134" s="10" t="str">
        <f>_xlfn.CONCAT("FeO: ", INDEX(Chemical_analyses!$A:$M, MATCH($P134, Chemical_analyses!$A:$A), 9), ", MgO: ", INDEX(Chemical_analyses!$A:$M, MATCH($P134, Chemical_analyses!$A:$A), 11), ", CaO: ", INDEX(Chemical_analyses!$A:$M, MATCH($P134, Chemical_analyses!$A:$A), 12), ", MnO: ", INDEX(Chemical_analyses!$A:$M, MATCH($P134, Chemical_analyses!$A:$A), 10), ", NaO2: ", INDEX(Chemical_analyses!$A:$M, MATCH($P134, Chemical_analyses!$A:$A), 13), ", Fe2O3: ", INDEX(Chemical_analyses!$A:$M, MATCH($P134, Chemical_analyses!$A:$A), 8), ", Al2O3: ", INDEX(Chemical_analyses!$A:$M, MATCH($P134, Chemical_analyses!$A:$A), 6))</f>
        <v>FeO: 4.34, MgO: 15.87, CaO: 22.57, MnO: 0.08, NaO2: 0.45, Fe2O3: 0, Al2O3: 4.78</v>
      </c>
      <c r="AI134" s="10"/>
      <c r="AJ134" s="10"/>
      <c r="AN134" s="86"/>
      <c r="AO134" s="86"/>
      <c r="AP134" s="86"/>
      <c r="AQ134" s="86"/>
      <c r="AR134" s="86"/>
      <c r="AS134" s="86"/>
      <c r="AT134" s="86"/>
      <c r="AU134" s="86"/>
    </row>
    <row r="135" spans="1:47" s="6" customFormat="1" ht="12">
      <c r="A135" s="6" t="s">
        <v>491</v>
      </c>
      <c r="B135" s="7" t="s">
        <v>492</v>
      </c>
      <c r="C135" s="8" t="s">
        <v>484</v>
      </c>
      <c r="D135" s="8" t="s">
        <v>310</v>
      </c>
      <c r="E135" s="6" t="s">
        <v>311</v>
      </c>
      <c r="G135" s="6" t="s">
        <v>414</v>
      </c>
      <c r="H135" s="6" t="s">
        <v>480</v>
      </c>
      <c r="J135" s="6">
        <v>53</v>
      </c>
      <c r="K135" s="6">
        <v>63</v>
      </c>
      <c r="L135" s="6" t="s">
        <v>38</v>
      </c>
      <c r="M135" s="6" t="s">
        <v>39</v>
      </c>
      <c r="N135" s="6" t="s">
        <v>485</v>
      </c>
      <c r="O135" s="6" t="s">
        <v>486</v>
      </c>
      <c r="P135" s="6">
        <v>814</v>
      </c>
      <c r="Q135" s="28"/>
      <c r="R135" s="87">
        <v>0</v>
      </c>
      <c r="S135" s="87">
        <f>100 - R135 - U135 - T135</f>
        <v>0</v>
      </c>
      <c r="T135" s="87">
        <v>100</v>
      </c>
      <c r="U135" s="87">
        <v>0</v>
      </c>
      <c r="V135" s="87">
        <v>0</v>
      </c>
      <c r="W135" s="88">
        <f>IF($R135 &gt; 0, 100 - $V135, 0)</f>
        <v>0</v>
      </c>
      <c r="X135" s="71">
        <v>0</v>
      </c>
      <c r="Y135" s="71">
        <f>IF($S135 &gt; 0, 100 - $X135 - $Z135, 0)</f>
        <v>0</v>
      </c>
      <c r="Z135" s="72">
        <v>0</v>
      </c>
      <c r="AA135" s="71">
        <f>INDEX(Chemical_analyses!$A:$L, MATCH($P135, Chemical_analyses!$A:$A), 9)/$AI$1/(INDEX(Chemical_analyses!$A:$L, MATCH($P135, Chemical_analyses!$A:$A), 9)/$AI$1+INDEX(Chemical_analyses!$A:$L, MATCH($P135, Chemical_analyses!$A:$A), 11)/$AJ$1+INDEX(Chemical_analyses!$A:$L, MATCH($P135, Chemical_analyses!$A:$A), 12)/$AK$1)*100</f>
        <v>7.051768860678866</v>
      </c>
      <c r="AB135" s="71">
        <f>IF($T135 &gt; 0, 100 - $AA135 - $AC135, 0)</f>
        <v>45.965037636556289</v>
      </c>
      <c r="AC135" s="72">
        <f>INDEX(Chemical_analyses!$A:$L, MATCH($P135, Chemical_analyses!$A:$A), 12)/$AK$1/(INDEX(Chemical_analyses!$A:$L, MATCH($P135, Chemical_analyses!$A:$A), 9)/$AI$1+INDEX(Chemical_analyses!$A:$L, MATCH($P135, Chemical_analyses!$A:$A), 11)/$AJ$1+INDEX(Chemical_analyses!$A:$L, MATCH($P135, Chemical_analyses!$A:$A), 12)/$AK$1)*100</f>
        <v>46.983193502764848</v>
      </c>
      <c r="AD135" s="71">
        <v>0</v>
      </c>
      <c r="AE135" s="71">
        <f>IF($U135 &gt; 0, 100 - $AD135 - $AF135, 0)</f>
        <v>0</v>
      </c>
      <c r="AF135" s="72">
        <v>0</v>
      </c>
      <c r="AG135" s="6" t="s">
        <v>43</v>
      </c>
      <c r="AH135" s="10" t="str">
        <f>_xlfn.CONCAT("FeO: ", INDEX(Chemical_analyses!$A:$M, MATCH($P135, Chemical_analyses!$A:$A), 9), ", MgO: ", INDEX(Chemical_analyses!$A:$M, MATCH($P135, Chemical_analyses!$A:$A), 11), ", CaO: ", INDEX(Chemical_analyses!$A:$M, MATCH($P135, Chemical_analyses!$A:$A), 12), ", MnO: ", INDEX(Chemical_analyses!$A:$M, MATCH($P135, Chemical_analyses!$A:$A), 10), ", NaO2: ", INDEX(Chemical_analyses!$A:$M, MATCH($P135, Chemical_analyses!$A:$A), 13), ", Fe2O3: ", INDEX(Chemical_analyses!$A:$M, MATCH($P135, Chemical_analyses!$A:$A), 8), ", Al2O3: ", INDEX(Chemical_analyses!$A:$M, MATCH($P135, Chemical_analyses!$A:$A), 6))</f>
        <v>FeO: 4.34, MgO: 15.87, CaO: 22.57, MnO: 0.08, NaO2: 0.45, Fe2O3: 0, Al2O3: 4.78</v>
      </c>
      <c r="AI135" s="10"/>
      <c r="AJ135" s="10"/>
      <c r="AN135" s="86"/>
      <c r="AO135" s="86"/>
      <c r="AP135" s="86"/>
      <c r="AQ135" s="86"/>
      <c r="AR135" s="86"/>
      <c r="AS135" s="86"/>
      <c r="AT135" s="86"/>
      <c r="AU135" s="86"/>
    </row>
    <row r="136" spans="1:47" s="6" customFormat="1" ht="12">
      <c r="A136" s="6" t="s">
        <v>493</v>
      </c>
      <c r="B136" s="7" t="s">
        <v>494</v>
      </c>
      <c r="C136" s="8" t="s">
        <v>484</v>
      </c>
      <c r="D136" s="8" t="s">
        <v>310</v>
      </c>
      <c r="E136" s="6" t="s">
        <v>311</v>
      </c>
      <c r="G136" s="6" t="s">
        <v>414</v>
      </c>
      <c r="H136" s="6" t="s">
        <v>480</v>
      </c>
      <c r="J136" s="6">
        <v>63</v>
      </c>
      <c r="K136" s="6">
        <v>75</v>
      </c>
      <c r="L136" s="6" t="s">
        <v>38</v>
      </c>
      <c r="M136" s="6" t="s">
        <v>39</v>
      </c>
      <c r="N136" s="6" t="s">
        <v>485</v>
      </c>
      <c r="O136" s="6" t="s">
        <v>486</v>
      </c>
      <c r="P136" s="6">
        <v>814</v>
      </c>
      <c r="Q136" s="28"/>
      <c r="R136" s="87">
        <v>0</v>
      </c>
      <c r="S136" s="87">
        <f>100 - R136 - U136 - T136</f>
        <v>0</v>
      </c>
      <c r="T136" s="87">
        <v>100</v>
      </c>
      <c r="U136" s="88">
        <v>0</v>
      </c>
      <c r="V136" s="87">
        <v>0</v>
      </c>
      <c r="W136" s="88">
        <f>IF($R136 &gt; 0, 100 - $V136, 0)</f>
        <v>0</v>
      </c>
      <c r="X136" s="71">
        <v>0</v>
      </c>
      <c r="Y136" s="71">
        <f>IF($S136 &gt; 0, 100 - $X136 - $Z136, 0)</f>
        <v>0</v>
      </c>
      <c r="Z136" s="72">
        <v>0</v>
      </c>
      <c r="AA136" s="71">
        <f>INDEX(Chemical_analyses!$A:$L, MATCH($P136, Chemical_analyses!$A:$A), 9)/$AI$1/(INDEX(Chemical_analyses!$A:$L, MATCH($P136, Chemical_analyses!$A:$A), 9)/$AI$1+INDEX(Chemical_analyses!$A:$L, MATCH($P136, Chemical_analyses!$A:$A), 11)/$AJ$1+INDEX(Chemical_analyses!$A:$L, MATCH($P136, Chemical_analyses!$A:$A), 12)/$AK$1)*100</f>
        <v>7.051768860678866</v>
      </c>
      <c r="AB136" s="71">
        <f>IF($T136 &gt; 0, 100 - $AA136 - $AC136, 0)</f>
        <v>45.965037636556289</v>
      </c>
      <c r="AC136" s="72">
        <f>INDEX(Chemical_analyses!$A:$L, MATCH($P136, Chemical_analyses!$A:$A), 12)/$AK$1/(INDEX(Chemical_analyses!$A:$L, MATCH($P136, Chemical_analyses!$A:$A), 9)/$AI$1+INDEX(Chemical_analyses!$A:$L, MATCH($P136, Chemical_analyses!$A:$A), 11)/$AJ$1+INDEX(Chemical_analyses!$A:$L, MATCH($P136, Chemical_analyses!$A:$A), 12)/$AK$1)*100</f>
        <v>46.983193502764848</v>
      </c>
      <c r="AD136" s="71">
        <v>0</v>
      </c>
      <c r="AE136" s="71">
        <f>IF($U136 &gt; 0, 100 - $AD136 - $AF136, 0)</f>
        <v>0</v>
      </c>
      <c r="AF136" s="72">
        <v>0</v>
      </c>
      <c r="AG136" s="6" t="s">
        <v>43</v>
      </c>
      <c r="AH136" s="10" t="str">
        <f>_xlfn.CONCAT("FeO: ", INDEX(Chemical_analyses!$A:$M, MATCH($P136, Chemical_analyses!$A:$A), 9), ", MgO: ", INDEX(Chemical_analyses!$A:$M, MATCH($P136, Chemical_analyses!$A:$A), 11), ", CaO: ", INDEX(Chemical_analyses!$A:$M, MATCH($P136, Chemical_analyses!$A:$A), 12), ", MnO: ", INDEX(Chemical_analyses!$A:$M, MATCH($P136, Chemical_analyses!$A:$A), 10), ", NaO2: ", INDEX(Chemical_analyses!$A:$M, MATCH($P136, Chemical_analyses!$A:$A), 13), ", Fe2O3: ", INDEX(Chemical_analyses!$A:$M, MATCH($P136, Chemical_analyses!$A:$A), 8), ", Al2O3: ", INDEX(Chemical_analyses!$A:$M, MATCH($P136, Chemical_analyses!$A:$A), 6))</f>
        <v>FeO: 4.34, MgO: 15.87, CaO: 22.57, MnO: 0.08, NaO2: 0.45, Fe2O3: 0, Al2O3: 4.78</v>
      </c>
      <c r="AI136" s="10"/>
      <c r="AJ136" s="10"/>
      <c r="AN136" s="86"/>
      <c r="AO136" s="86"/>
      <c r="AP136" s="86"/>
      <c r="AQ136" s="86"/>
      <c r="AR136" s="86"/>
      <c r="AS136" s="86"/>
      <c r="AT136" s="86"/>
      <c r="AU136" s="86"/>
    </row>
    <row r="137" spans="1:47" s="6" customFormat="1" ht="12">
      <c r="A137" s="6" t="s">
        <v>495</v>
      </c>
      <c r="B137" s="7" t="s">
        <v>496</v>
      </c>
      <c r="C137" s="8" t="s">
        <v>484</v>
      </c>
      <c r="D137" s="8" t="s">
        <v>310</v>
      </c>
      <c r="E137" s="6" t="s">
        <v>311</v>
      </c>
      <c r="G137" s="6" t="s">
        <v>414</v>
      </c>
      <c r="H137" s="6" t="s">
        <v>480</v>
      </c>
      <c r="J137" s="6">
        <v>75</v>
      </c>
      <c r="K137" s="6">
        <v>150</v>
      </c>
      <c r="L137" s="6" t="s">
        <v>38</v>
      </c>
      <c r="M137" s="6" t="s">
        <v>39</v>
      </c>
      <c r="N137" s="6" t="s">
        <v>485</v>
      </c>
      <c r="O137" s="6" t="s">
        <v>486</v>
      </c>
      <c r="P137" s="6">
        <v>814</v>
      </c>
      <c r="Q137" s="28"/>
      <c r="R137" s="87">
        <v>0</v>
      </c>
      <c r="S137" s="87">
        <f>100 - R137 - U137 - T137</f>
        <v>0</v>
      </c>
      <c r="T137" s="87">
        <v>100</v>
      </c>
      <c r="U137" s="88">
        <v>0</v>
      </c>
      <c r="V137" s="87">
        <v>0</v>
      </c>
      <c r="W137" s="88">
        <f>IF($R137 &gt; 0, 100 - $V137, 0)</f>
        <v>0</v>
      </c>
      <c r="X137" s="71">
        <v>0</v>
      </c>
      <c r="Y137" s="71">
        <f>IF($S137 &gt; 0, 100 - $X137 - $Z137, 0)</f>
        <v>0</v>
      </c>
      <c r="Z137" s="72">
        <v>0</v>
      </c>
      <c r="AA137" s="71">
        <f>INDEX(Chemical_analyses!$A:$L, MATCH($P137, Chemical_analyses!$A:$A), 9)/$AI$1/(INDEX(Chemical_analyses!$A:$L, MATCH($P137, Chemical_analyses!$A:$A), 9)/$AI$1+INDEX(Chemical_analyses!$A:$L, MATCH($P137, Chemical_analyses!$A:$A), 11)/$AJ$1+INDEX(Chemical_analyses!$A:$L, MATCH($P137, Chemical_analyses!$A:$A), 12)/$AK$1)*100</f>
        <v>7.051768860678866</v>
      </c>
      <c r="AB137" s="71">
        <f>IF($T137 &gt; 0, 100 - $AA137 - $AC137, 0)</f>
        <v>45.965037636556289</v>
      </c>
      <c r="AC137" s="72">
        <f>INDEX(Chemical_analyses!$A:$L, MATCH($P137, Chemical_analyses!$A:$A), 12)/$AK$1/(INDEX(Chemical_analyses!$A:$L, MATCH($P137, Chemical_analyses!$A:$A), 9)/$AI$1+INDEX(Chemical_analyses!$A:$L, MATCH($P137, Chemical_analyses!$A:$A), 11)/$AJ$1+INDEX(Chemical_analyses!$A:$L, MATCH($P137, Chemical_analyses!$A:$A), 12)/$AK$1)*100</f>
        <v>46.983193502764848</v>
      </c>
      <c r="AD137" s="71">
        <v>0</v>
      </c>
      <c r="AE137" s="71">
        <f>IF($U137 &gt; 0, 100 - $AD137 - $AF137, 0)</f>
        <v>0</v>
      </c>
      <c r="AF137" s="72">
        <v>0</v>
      </c>
      <c r="AG137" s="6" t="s">
        <v>43</v>
      </c>
      <c r="AH137" s="10" t="str">
        <f>_xlfn.CONCAT("FeO: ", INDEX(Chemical_analyses!$A:$M, MATCH($P137, Chemical_analyses!$A:$A), 9), ", MgO: ", INDEX(Chemical_analyses!$A:$M, MATCH($P137, Chemical_analyses!$A:$A), 11), ", CaO: ", INDEX(Chemical_analyses!$A:$M, MATCH($P137, Chemical_analyses!$A:$A), 12), ", MnO: ", INDEX(Chemical_analyses!$A:$M, MATCH($P137, Chemical_analyses!$A:$A), 10), ", NaO2: ", INDEX(Chemical_analyses!$A:$M, MATCH($P137, Chemical_analyses!$A:$A), 13), ", Fe2O3: ", INDEX(Chemical_analyses!$A:$M, MATCH($P137, Chemical_analyses!$A:$A), 8), ", Al2O3: ", INDEX(Chemical_analyses!$A:$M, MATCH($P137, Chemical_analyses!$A:$A), 6))</f>
        <v>FeO: 4.34, MgO: 15.87, CaO: 22.57, MnO: 0.08, NaO2: 0.45, Fe2O3: 0, Al2O3: 4.78</v>
      </c>
      <c r="AI137" s="10"/>
      <c r="AJ137" s="10"/>
      <c r="AN137" s="86"/>
      <c r="AO137" s="86"/>
      <c r="AP137" s="86"/>
      <c r="AQ137" s="86"/>
      <c r="AR137" s="86"/>
      <c r="AS137" s="86"/>
      <c r="AT137" s="86"/>
      <c r="AU137" s="86"/>
    </row>
    <row r="138" spans="1:47" s="6" customFormat="1" ht="12">
      <c r="A138" s="6" t="s">
        <v>497</v>
      </c>
      <c r="B138" s="7" t="s">
        <v>498</v>
      </c>
      <c r="C138" s="8" t="s">
        <v>499</v>
      </c>
      <c r="D138" s="8" t="s">
        <v>224</v>
      </c>
      <c r="E138" s="6" t="s">
        <v>311</v>
      </c>
      <c r="G138" s="6" t="s">
        <v>414</v>
      </c>
      <c r="H138" s="6" t="s">
        <v>480</v>
      </c>
      <c r="J138" s="6">
        <v>0</v>
      </c>
      <c r="K138" s="6">
        <v>50</v>
      </c>
      <c r="L138" s="6" t="s">
        <v>38</v>
      </c>
      <c r="M138" s="6" t="s">
        <v>284</v>
      </c>
      <c r="N138" s="6" t="s">
        <v>500</v>
      </c>
      <c r="O138" s="6" t="s">
        <v>501</v>
      </c>
      <c r="P138" s="6">
        <v>0</v>
      </c>
      <c r="Q138" s="28" t="s">
        <v>502</v>
      </c>
      <c r="R138" s="87">
        <v>0</v>
      </c>
      <c r="S138" s="87">
        <f>100 - R138 - U138 - T138</f>
        <v>0</v>
      </c>
      <c r="T138" s="87">
        <v>100</v>
      </c>
      <c r="U138" s="88">
        <v>0</v>
      </c>
      <c r="V138" s="87">
        <v>0</v>
      </c>
      <c r="W138" s="88">
        <f>IF($R138 &gt; 0, 100 - $V138, 0)</f>
        <v>0</v>
      </c>
      <c r="X138" s="71">
        <v>0</v>
      </c>
      <c r="Y138" s="71">
        <f>IF($S138 &gt; 0, 100 - $X138 - $Z138, 0)</f>
        <v>0</v>
      </c>
      <c r="Z138" s="72">
        <v>0</v>
      </c>
      <c r="AA138" s="71">
        <v>23</v>
      </c>
      <c r="AB138" s="71">
        <f>IF($T138 &gt; 0, 100 - $AA138 - $AC138, 0)</f>
        <v>38</v>
      </c>
      <c r="AC138" s="72">
        <v>39</v>
      </c>
      <c r="AD138" s="71">
        <v>0</v>
      </c>
      <c r="AE138" s="71">
        <f>IF($U138 &gt; 0, 100 - $AD138 - $AF138, 0)</f>
        <v>0</v>
      </c>
      <c r="AF138" s="72">
        <v>0</v>
      </c>
      <c r="AG138" s="6" t="s">
        <v>43</v>
      </c>
      <c r="AH138" s="77" t="s">
        <v>503</v>
      </c>
      <c r="AI138" s="10" t="s">
        <v>504</v>
      </c>
      <c r="AJ138" s="10"/>
      <c r="AN138" s="86"/>
      <c r="AO138" s="86"/>
      <c r="AP138" s="86"/>
      <c r="AQ138" s="86"/>
      <c r="AR138" s="86"/>
      <c r="AS138" s="86"/>
      <c r="AT138" s="86"/>
      <c r="AU138" s="86"/>
    </row>
    <row r="139" spans="1:47" s="6" customFormat="1" ht="12">
      <c r="A139" s="6" t="s">
        <v>505</v>
      </c>
      <c r="B139" s="7" t="s">
        <v>506</v>
      </c>
      <c r="C139" s="8" t="s">
        <v>499</v>
      </c>
      <c r="D139" s="8" t="s">
        <v>224</v>
      </c>
      <c r="E139" s="6" t="s">
        <v>311</v>
      </c>
      <c r="G139" s="6" t="s">
        <v>414</v>
      </c>
      <c r="H139" s="6" t="s">
        <v>507</v>
      </c>
      <c r="J139" s="6">
        <v>0</v>
      </c>
      <c r="K139" s="6">
        <v>50</v>
      </c>
      <c r="L139" s="6" t="s">
        <v>38</v>
      </c>
      <c r="M139" s="6" t="s">
        <v>284</v>
      </c>
      <c r="N139" s="6" t="s">
        <v>508</v>
      </c>
      <c r="O139" s="6" t="s">
        <v>501</v>
      </c>
      <c r="P139" s="6">
        <v>563</v>
      </c>
      <c r="Q139" s="6" t="s">
        <v>502</v>
      </c>
      <c r="R139" s="87">
        <v>0</v>
      </c>
      <c r="S139" s="87">
        <f>100 - R139 - U139 - T139</f>
        <v>0</v>
      </c>
      <c r="T139" s="87">
        <v>100</v>
      </c>
      <c r="U139" s="88">
        <v>0</v>
      </c>
      <c r="V139" s="87">
        <v>0</v>
      </c>
      <c r="W139" s="88">
        <f>IF($R139 &gt; 0, 100 - $V139, 0)</f>
        <v>0</v>
      </c>
      <c r="X139" s="71">
        <v>0</v>
      </c>
      <c r="Y139" s="71">
        <f>IF($S139 &gt; 0, 100 - $X139 - $Z139, 0)</f>
        <v>0</v>
      </c>
      <c r="Z139" s="72">
        <v>0</v>
      </c>
      <c r="AA139" s="71">
        <f>INDEX(Chemical_analyses!$A:$L, MATCH($P139, Chemical_analyses!$A:$A), 9)/$AI$1/(INDEX(Chemical_analyses!$A:$L, MATCH($P139, Chemical_analyses!$A:$A), 9)/$AI$1+INDEX(Chemical_analyses!$A:$L, MATCH($P139, Chemical_analyses!$A:$A), 11)/$AJ$1+INDEX(Chemical_analyses!$A:$L, MATCH($P139, Chemical_analyses!$A:$A), 12)/$AK$1)*100</f>
        <v>48.723863369030333</v>
      </c>
      <c r="AB139" s="71">
        <f>IF($T139 &gt; 0, 100 - $AA139 - $AC139, 0)</f>
        <v>24.235969712322966</v>
      </c>
      <c r="AC139" s="72">
        <f>INDEX(Chemical_analyses!$A:$L, MATCH($P139, Chemical_analyses!$A:$A), 12)/$AK$1/(INDEX(Chemical_analyses!$A:$L, MATCH($P139, Chemical_analyses!$A:$A), 9)/$AI$1+INDEX(Chemical_analyses!$A:$L, MATCH($P139, Chemical_analyses!$A:$A), 11)/$AJ$1+INDEX(Chemical_analyses!$A:$L, MATCH($P139, Chemical_analyses!$A:$A), 12)/$AK$1)*100</f>
        <v>27.040166918646701</v>
      </c>
      <c r="AD139" s="71">
        <v>0</v>
      </c>
      <c r="AE139" s="71">
        <f>IF($U139 &gt; 0, 100 - $AD139 - $AF139, 0)</f>
        <v>0</v>
      </c>
      <c r="AF139" s="72">
        <v>0</v>
      </c>
      <c r="AG139" s="6" t="s">
        <v>43</v>
      </c>
      <c r="AH139" s="10" t="str">
        <f>_xlfn.CONCAT("FeO: ", INDEX(Chemical_analyses!$A:$M, MATCH($P139, Chemical_analyses!$A:$A), 9), ", MgO: ", INDEX(Chemical_analyses!$A:$M, MATCH($P139, Chemical_analyses!$A:$A), 11), ", CaO: ", INDEX(Chemical_analyses!$A:$M, MATCH($P139, Chemical_analyses!$A:$A), 12), ", MnO: ", INDEX(Chemical_analyses!$A:$M, MATCH($P139, Chemical_analyses!$A:$A), 10), ", NaO2: ", INDEX(Chemical_analyses!$A:$M, MATCH($P139, Chemical_analyses!$A:$A), 13), ", Fe2O3: ", INDEX(Chemical_analyses!$A:$M, MATCH($P139, Chemical_analyses!$A:$A), 8), ", Al2O3: ", INDEX(Chemical_analyses!$A:$M, MATCH($P139, Chemical_analyses!$A:$A), 6))</f>
        <v>FeO: 29.78, MgO: 8.31, CaO: 12.9, MnO: 0.81, NaO2: 0.11, Fe2O3: 0, Al2O3: 0.89</v>
      </c>
      <c r="AN139" s="86"/>
      <c r="AO139" s="86"/>
      <c r="AP139" s="86"/>
      <c r="AQ139" s="86"/>
      <c r="AR139" s="86"/>
      <c r="AS139" s="86"/>
      <c r="AT139" s="86"/>
      <c r="AU139" s="86"/>
    </row>
    <row r="140" spans="1:47" s="6" customFormat="1" ht="12">
      <c r="A140" s="6" t="s">
        <v>509</v>
      </c>
      <c r="B140" s="7" t="s">
        <v>510</v>
      </c>
      <c r="C140" s="8" t="s">
        <v>499</v>
      </c>
      <c r="D140" s="8" t="s">
        <v>224</v>
      </c>
      <c r="E140" s="6" t="s">
        <v>311</v>
      </c>
      <c r="G140" s="6" t="s">
        <v>414</v>
      </c>
      <c r="H140" s="6" t="s">
        <v>507</v>
      </c>
      <c r="J140" s="6">
        <v>0</v>
      </c>
      <c r="K140" s="6">
        <v>50</v>
      </c>
      <c r="L140" s="6" t="s">
        <v>38</v>
      </c>
      <c r="M140" s="6" t="s">
        <v>284</v>
      </c>
      <c r="N140" s="6" t="s">
        <v>511</v>
      </c>
      <c r="O140" s="6" t="s">
        <v>501</v>
      </c>
      <c r="P140" s="6">
        <v>564</v>
      </c>
      <c r="Q140" s="28" t="s">
        <v>502</v>
      </c>
      <c r="R140" s="87">
        <v>0</v>
      </c>
      <c r="S140" s="87">
        <f>100 - R140 - U140 - T140</f>
        <v>0</v>
      </c>
      <c r="T140" s="87">
        <v>100</v>
      </c>
      <c r="U140" s="88">
        <v>0</v>
      </c>
      <c r="V140" s="87">
        <v>0</v>
      </c>
      <c r="W140" s="88">
        <f>IF($R140 &gt; 0, 100 - $V140, 0)</f>
        <v>0</v>
      </c>
      <c r="X140" s="71">
        <v>0</v>
      </c>
      <c r="Y140" s="71">
        <f>IF($S140 &gt; 0, 100 - $X140 - $Z140, 0)</f>
        <v>0</v>
      </c>
      <c r="Z140" s="72">
        <v>0</v>
      </c>
      <c r="AA140" s="71">
        <f>INDEX(Chemical_analyses!$A:$L, MATCH($P140, Chemical_analyses!$A:$A), 9)/$AI$1/(INDEX(Chemical_analyses!$A:$L, MATCH($P140, Chemical_analyses!$A:$A), 9)/$AI$1+INDEX(Chemical_analyses!$A:$L, MATCH($P140, Chemical_analyses!$A:$A), 11)/$AJ$1+INDEX(Chemical_analyses!$A:$L, MATCH($P140, Chemical_analyses!$A:$A), 12)/$AK$1)*100</f>
        <v>41.985523613795593</v>
      </c>
      <c r="AB140" s="71">
        <f>IF($T140 &gt; 0, 100 - $AA140 - $AC140, 0)</f>
        <v>4.0568237839511383</v>
      </c>
      <c r="AC140" s="72">
        <f>INDEX(Chemical_analyses!$A:$L, MATCH($P140, Chemical_analyses!$A:$A), 12)/$AK$1/(INDEX(Chemical_analyses!$A:$L, MATCH($P140, Chemical_analyses!$A:$A), 9)/$AI$1+INDEX(Chemical_analyses!$A:$L, MATCH($P140, Chemical_analyses!$A:$A), 11)/$AJ$1+INDEX(Chemical_analyses!$A:$L, MATCH($P140, Chemical_analyses!$A:$A), 12)/$AK$1)*100</f>
        <v>53.957652602253269</v>
      </c>
      <c r="AD140" s="71">
        <v>0</v>
      </c>
      <c r="AE140" s="71">
        <f>IF($U140 &gt; 0, 100 - $AD140 - $AF140, 0)</f>
        <v>0</v>
      </c>
      <c r="AF140" s="72">
        <v>0</v>
      </c>
      <c r="AG140" s="6" t="s">
        <v>43</v>
      </c>
      <c r="AH140" s="10" t="str">
        <f>_xlfn.CONCAT("FeO: ", INDEX(Chemical_analyses!$A:$M, MATCH($P140, Chemical_analyses!$A:$A), 9), ", MgO: ", INDEX(Chemical_analyses!$A:$M, MATCH($P140, Chemical_analyses!$A:$A), 11), ", CaO: ", INDEX(Chemical_analyses!$A:$M, MATCH($P140, Chemical_analyses!$A:$A), 12), ", MnO: ", INDEX(Chemical_analyses!$A:$M, MATCH($P140, Chemical_analyses!$A:$A), 10), ", NaO2: ", INDEX(Chemical_analyses!$A:$M, MATCH($P140, Chemical_analyses!$A:$A), 13), ", Fe2O3: ", INDEX(Chemical_analyses!$A:$M, MATCH($P140, Chemical_analyses!$A:$A), 8), ", Al2O3: ", INDEX(Chemical_analyses!$A:$M, MATCH($P140, Chemical_analyses!$A:$A), 6))</f>
        <v>FeO: 16.05, MgO: 0.87, CaO: 16.1, MnO: 0.58, NaO2: 14.35, Fe2O3: 0, Al2O3: 0</v>
      </c>
      <c r="AN140" s="86"/>
      <c r="AO140" s="86"/>
      <c r="AP140" s="86"/>
      <c r="AQ140" s="86"/>
      <c r="AR140" s="86"/>
      <c r="AS140" s="86"/>
      <c r="AT140" s="86"/>
      <c r="AU140" s="86"/>
    </row>
    <row r="141" spans="1:47" s="6" customFormat="1" ht="12">
      <c r="A141" s="6" t="s">
        <v>512</v>
      </c>
      <c r="B141" s="7" t="s">
        <v>513</v>
      </c>
      <c r="C141" s="8" t="s">
        <v>499</v>
      </c>
      <c r="D141" s="8" t="s">
        <v>224</v>
      </c>
      <c r="E141" s="6" t="s">
        <v>311</v>
      </c>
      <c r="G141" s="6" t="s">
        <v>414</v>
      </c>
      <c r="H141" s="6" t="s">
        <v>507</v>
      </c>
      <c r="J141" s="6">
        <v>0</v>
      </c>
      <c r="K141" s="6">
        <v>45</v>
      </c>
      <c r="L141" s="6" t="s">
        <v>38</v>
      </c>
      <c r="M141" s="6" t="s">
        <v>39</v>
      </c>
      <c r="N141" s="6" t="s">
        <v>514</v>
      </c>
      <c r="O141" s="6" t="s">
        <v>515</v>
      </c>
      <c r="P141" s="6">
        <v>0</v>
      </c>
      <c r="R141" s="87">
        <v>0</v>
      </c>
      <c r="S141" s="87">
        <f>100 - R141 - U141 - T141</f>
        <v>0</v>
      </c>
      <c r="T141" s="87">
        <v>100</v>
      </c>
      <c r="U141" s="88">
        <v>0</v>
      </c>
      <c r="V141" s="87">
        <v>0</v>
      </c>
      <c r="W141" s="88">
        <f>IF($R141 &gt; 0, 100 - $V141, 0)</f>
        <v>0</v>
      </c>
      <c r="X141" s="71">
        <v>0</v>
      </c>
      <c r="Y141" s="71">
        <f>IF($S141 &gt; 0, 100 - $X141 - $Z141, 0)</f>
        <v>0</v>
      </c>
      <c r="Z141" s="72">
        <v>0</v>
      </c>
      <c r="AA141" s="87">
        <v>26</v>
      </c>
      <c r="AB141" s="71">
        <f>IF($T141 &gt; 0, 100 - $AA141 - $AC141, 0)</f>
        <v>65</v>
      </c>
      <c r="AC141" s="88">
        <v>9</v>
      </c>
      <c r="AD141" s="71">
        <v>0</v>
      </c>
      <c r="AE141" s="71">
        <f>IF($U141 &gt; 0, 100 - $AD141 - $AF141, 0)</f>
        <v>0</v>
      </c>
      <c r="AF141" s="72">
        <v>0</v>
      </c>
      <c r="AG141" s="6" t="s">
        <v>43</v>
      </c>
      <c r="AH141" s="77" t="s">
        <v>516</v>
      </c>
      <c r="AI141" s="6" t="s">
        <v>517</v>
      </c>
      <c r="AJ141" s="157"/>
      <c r="AK141" s="12"/>
      <c r="AN141" s="86"/>
      <c r="AO141" s="86"/>
      <c r="AP141" s="86"/>
      <c r="AQ141" s="86"/>
      <c r="AR141" s="86"/>
      <c r="AS141" s="86"/>
      <c r="AT141" s="86"/>
      <c r="AU141" s="86"/>
    </row>
    <row r="142" spans="1:47" s="6" customFormat="1" ht="12">
      <c r="A142" s="6" t="s">
        <v>518</v>
      </c>
      <c r="B142" s="7" t="s">
        <v>519</v>
      </c>
      <c r="C142" s="8" t="s">
        <v>499</v>
      </c>
      <c r="D142" s="8" t="s">
        <v>224</v>
      </c>
      <c r="E142" s="6" t="s">
        <v>311</v>
      </c>
      <c r="G142" s="6" t="s">
        <v>414</v>
      </c>
      <c r="H142" s="6" t="s">
        <v>507</v>
      </c>
      <c r="J142" s="6">
        <v>0</v>
      </c>
      <c r="K142" s="6">
        <v>45</v>
      </c>
      <c r="L142" s="6" t="s">
        <v>38</v>
      </c>
      <c r="M142" s="6" t="s">
        <v>39</v>
      </c>
      <c r="N142" s="6" t="s">
        <v>514</v>
      </c>
      <c r="O142" s="6" t="s">
        <v>515</v>
      </c>
      <c r="P142" s="6">
        <v>0</v>
      </c>
      <c r="Q142" s="28"/>
      <c r="R142" s="87">
        <v>0</v>
      </c>
      <c r="S142" s="87">
        <f>100 - R142 - U142 - T142</f>
        <v>0</v>
      </c>
      <c r="T142" s="87">
        <v>100</v>
      </c>
      <c r="U142" s="88">
        <v>0</v>
      </c>
      <c r="V142" s="87">
        <v>0</v>
      </c>
      <c r="W142" s="88">
        <f>IF($R142 &gt; 0, 100 - $V142, 0)</f>
        <v>0</v>
      </c>
      <c r="X142" s="71">
        <v>0</v>
      </c>
      <c r="Y142" s="71">
        <f>IF($S142 &gt; 0, 100 - $X142 - $Z142, 0)</f>
        <v>0</v>
      </c>
      <c r="Z142" s="72">
        <v>0</v>
      </c>
      <c r="AA142" s="87">
        <v>27</v>
      </c>
      <c r="AB142" s="71">
        <f>IF($T142 &gt; 0, 100 - $AA142 - $AC142, 0)</f>
        <v>64</v>
      </c>
      <c r="AC142" s="88">
        <v>9</v>
      </c>
      <c r="AD142" s="71">
        <v>0</v>
      </c>
      <c r="AE142" s="71">
        <f>IF($U142 &gt; 0, 100 - $AD142 - $AF142, 0)</f>
        <v>0</v>
      </c>
      <c r="AF142" s="72">
        <v>0</v>
      </c>
      <c r="AG142" s="6" t="s">
        <v>43</v>
      </c>
      <c r="AH142" s="77" t="s">
        <v>516</v>
      </c>
      <c r="AI142" s="6" t="s">
        <v>517</v>
      </c>
      <c r="AJ142" s="157"/>
      <c r="AK142" s="12"/>
      <c r="AN142" s="86"/>
      <c r="AO142" s="86"/>
      <c r="AP142" s="86"/>
      <c r="AQ142" s="86"/>
      <c r="AR142" s="86"/>
      <c r="AS142" s="86"/>
      <c r="AT142" s="86"/>
      <c r="AU142" s="86"/>
    </row>
    <row r="143" spans="1:47" s="6" customFormat="1" ht="12">
      <c r="A143" s="6" t="s">
        <v>520</v>
      </c>
      <c r="B143" s="7" t="s">
        <v>521</v>
      </c>
      <c r="C143" s="8" t="s">
        <v>129</v>
      </c>
      <c r="D143" s="8" t="s">
        <v>413</v>
      </c>
      <c r="E143" s="6" t="s">
        <v>311</v>
      </c>
      <c r="G143" s="6" t="s">
        <v>414</v>
      </c>
      <c r="H143" s="6" t="s">
        <v>522</v>
      </c>
      <c r="J143" s="6">
        <v>0</v>
      </c>
      <c r="K143" s="6">
        <v>100</v>
      </c>
      <c r="L143" s="6" t="s">
        <v>38</v>
      </c>
      <c r="M143" s="6" t="s">
        <v>284</v>
      </c>
      <c r="N143" s="6" t="s">
        <v>523</v>
      </c>
      <c r="P143" s="6">
        <v>0</v>
      </c>
      <c r="Q143" s="28" t="s">
        <v>524</v>
      </c>
      <c r="R143" s="87">
        <v>0</v>
      </c>
      <c r="S143" s="87">
        <f>100 - R143 - U143 - T143</f>
        <v>0</v>
      </c>
      <c r="T143" s="87">
        <v>100</v>
      </c>
      <c r="U143" s="88">
        <v>0</v>
      </c>
      <c r="V143" s="87">
        <v>0</v>
      </c>
      <c r="W143" s="88">
        <f>IF($R143 &gt; 0, 100 - $V143, 0)</f>
        <v>0</v>
      </c>
      <c r="X143" s="71">
        <v>0</v>
      </c>
      <c r="Y143" s="71">
        <f>IF($S143 &gt; 0, 100 - $X143 - $Z143, 0)</f>
        <v>0</v>
      </c>
      <c r="Z143" s="72">
        <v>0</v>
      </c>
      <c r="AA143" s="71">
        <v>45</v>
      </c>
      <c r="AB143" s="71">
        <f>IF($T143 &gt; 0, 100 - $AA143 - $AC143, 0)</f>
        <v>45</v>
      </c>
      <c r="AC143" s="72">
        <v>10</v>
      </c>
      <c r="AD143" s="71">
        <v>0</v>
      </c>
      <c r="AE143" s="71">
        <f>IF($U143 &gt; 0, 100 - $AD143 - $AF143, 0)</f>
        <v>0</v>
      </c>
      <c r="AF143" s="72">
        <v>0</v>
      </c>
      <c r="AG143" s="6" t="s">
        <v>43</v>
      </c>
      <c r="AH143" s="6" t="s">
        <v>525</v>
      </c>
      <c r="AI143" s="10"/>
      <c r="AJ143" s="10"/>
      <c r="AN143" s="86"/>
      <c r="AO143" s="86"/>
      <c r="AP143" s="86"/>
      <c r="AQ143" s="86"/>
      <c r="AR143" s="86"/>
      <c r="AS143" s="86"/>
      <c r="AT143" s="86"/>
      <c r="AU143" s="86"/>
    </row>
    <row r="144" spans="1:47" s="6" customFormat="1" ht="12">
      <c r="A144" s="6" t="s">
        <v>526</v>
      </c>
      <c r="B144" s="7" t="s">
        <v>527</v>
      </c>
      <c r="C144" s="8" t="s">
        <v>129</v>
      </c>
      <c r="D144" s="8" t="s">
        <v>413</v>
      </c>
      <c r="E144" s="6" t="s">
        <v>311</v>
      </c>
      <c r="G144" s="6" t="s">
        <v>414</v>
      </c>
      <c r="H144" s="6" t="s">
        <v>522</v>
      </c>
      <c r="J144" s="6">
        <v>0</v>
      </c>
      <c r="K144" s="6">
        <v>45</v>
      </c>
      <c r="L144" s="6" t="s">
        <v>38</v>
      </c>
      <c r="M144" s="6" t="s">
        <v>284</v>
      </c>
      <c r="N144" s="6" t="s">
        <v>523</v>
      </c>
      <c r="P144" s="6">
        <v>0</v>
      </c>
      <c r="Q144" s="28" t="s">
        <v>528</v>
      </c>
      <c r="R144" s="87">
        <v>0</v>
      </c>
      <c r="S144" s="87">
        <f>100 - R144 - U144 - T144</f>
        <v>0</v>
      </c>
      <c r="T144" s="87">
        <v>100</v>
      </c>
      <c r="U144" s="88">
        <v>0</v>
      </c>
      <c r="V144" s="87">
        <v>0</v>
      </c>
      <c r="W144" s="88">
        <f>IF($R144 &gt; 0, 100 - $V144, 0)</f>
        <v>0</v>
      </c>
      <c r="X144" s="71">
        <v>0</v>
      </c>
      <c r="Y144" s="71">
        <f>IF($S144 &gt; 0, 100 - $X144 - $Z144, 0)</f>
        <v>0</v>
      </c>
      <c r="Z144" s="72">
        <v>0</v>
      </c>
      <c r="AA144" s="71">
        <v>45</v>
      </c>
      <c r="AB144" s="71">
        <f>IF($T144 &gt; 0, 100 - $AA144 - $AC144, 0)</f>
        <v>45</v>
      </c>
      <c r="AC144" s="72">
        <v>10</v>
      </c>
      <c r="AD144" s="71">
        <v>0</v>
      </c>
      <c r="AE144" s="71">
        <f>IF($U144 &gt; 0, 100 - $AD144 - $AF144, 0)</f>
        <v>0</v>
      </c>
      <c r="AF144" s="72">
        <v>0</v>
      </c>
      <c r="AG144" s="6" t="s">
        <v>43</v>
      </c>
      <c r="AH144" s="6" t="s">
        <v>525</v>
      </c>
      <c r="AI144" s="10"/>
      <c r="AJ144" s="10"/>
      <c r="AN144" s="86"/>
      <c r="AO144" s="86"/>
      <c r="AP144" s="86"/>
      <c r="AQ144" s="86"/>
      <c r="AR144" s="86"/>
      <c r="AS144" s="86"/>
      <c r="AT144" s="86"/>
      <c r="AU144" s="86"/>
    </row>
    <row r="145" spans="1:47" s="6" customFormat="1" ht="12">
      <c r="A145" s="6" t="s">
        <v>529</v>
      </c>
      <c r="B145" s="7" t="s">
        <v>530</v>
      </c>
      <c r="C145" s="8" t="s">
        <v>129</v>
      </c>
      <c r="D145" s="8" t="s">
        <v>413</v>
      </c>
      <c r="E145" s="6" t="s">
        <v>311</v>
      </c>
      <c r="G145" s="6" t="s">
        <v>414</v>
      </c>
      <c r="H145" s="6" t="s">
        <v>522</v>
      </c>
      <c r="J145" s="6">
        <v>0</v>
      </c>
      <c r="K145" s="6">
        <v>100</v>
      </c>
      <c r="L145" s="6" t="s">
        <v>38</v>
      </c>
      <c r="M145" s="6" t="s">
        <v>284</v>
      </c>
      <c r="N145" s="6" t="s">
        <v>523</v>
      </c>
      <c r="P145" s="6">
        <v>0</v>
      </c>
      <c r="Q145" s="28" t="s">
        <v>524</v>
      </c>
      <c r="R145" s="87">
        <v>0</v>
      </c>
      <c r="S145" s="87">
        <f>100 - R145 - U145 - T145</f>
        <v>0</v>
      </c>
      <c r="T145" s="87">
        <v>100</v>
      </c>
      <c r="U145" s="88">
        <v>0</v>
      </c>
      <c r="V145" s="87">
        <v>0</v>
      </c>
      <c r="W145" s="88">
        <f>IF($R145 &gt; 0, 100 - $V145, 0)</f>
        <v>0</v>
      </c>
      <c r="X145" s="71">
        <v>0</v>
      </c>
      <c r="Y145" s="71">
        <f>IF($S145 &gt; 0, 100 - $X145 - $Z145, 0)</f>
        <v>0</v>
      </c>
      <c r="Z145" s="72">
        <v>0</v>
      </c>
      <c r="AA145" s="71">
        <v>27</v>
      </c>
      <c r="AB145" s="71">
        <f>IF($T145 &gt; 0, 100 - $AA145 - $AC145, 0)</f>
        <v>63</v>
      </c>
      <c r="AC145" s="72">
        <v>10</v>
      </c>
      <c r="AD145" s="71">
        <v>0</v>
      </c>
      <c r="AE145" s="71">
        <f>IF($U145 &gt; 0, 100 - $AD145 - $AF145, 0)</f>
        <v>0</v>
      </c>
      <c r="AF145" s="72">
        <v>0</v>
      </c>
      <c r="AG145" s="6" t="s">
        <v>43</v>
      </c>
      <c r="AH145" s="6" t="s">
        <v>525</v>
      </c>
      <c r="AI145" s="10"/>
      <c r="AJ145" s="10"/>
      <c r="AN145" s="86"/>
      <c r="AO145" s="86"/>
      <c r="AP145" s="86"/>
      <c r="AQ145" s="86"/>
      <c r="AR145" s="86"/>
      <c r="AS145" s="86"/>
      <c r="AT145" s="86"/>
      <c r="AU145" s="86"/>
    </row>
    <row r="146" spans="1:47" s="6" customFormat="1" ht="12">
      <c r="A146" s="6" t="s">
        <v>531</v>
      </c>
      <c r="B146" s="7" t="s">
        <v>532</v>
      </c>
      <c r="C146" s="8" t="s">
        <v>129</v>
      </c>
      <c r="D146" s="8" t="s">
        <v>413</v>
      </c>
      <c r="E146" s="6" t="s">
        <v>311</v>
      </c>
      <c r="G146" s="6" t="s">
        <v>414</v>
      </c>
      <c r="H146" s="6" t="s">
        <v>522</v>
      </c>
      <c r="J146" s="6">
        <v>0</v>
      </c>
      <c r="K146" s="6">
        <v>45</v>
      </c>
      <c r="L146" s="6" t="s">
        <v>38</v>
      </c>
      <c r="M146" s="6" t="s">
        <v>284</v>
      </c>
      <c r="N146" s="6" t="s">
        <v>523</v>
      </c>
      <c r="P146" s="6">
        <v>0</v>
      </c>
      <c r="Q146" s="28" t="s">
        <v>528</v>
      </c>
      <c r="R146" s="87">
        <v>0</v>
      </c>
      <c r="S146" s="87">
        <f>100 - R146 - U146 - T146</f>
        <v>0</v>
      </c>
      <c r="T146" s="87">
        <v>100</v>
      </c>
      <c r="U146" s="88">
        <v>0</v>
      </c>
      <c r="V146" s="87">
        <v>0</v>
      </c>
      <c r="W146" s="88">
        <f>IF($R146 &gt; 0, 100 - $V146, 0)</f>
        <v>0</v>
      </c>
      <c r="X146" s="71">
        <v>0</v>
      </c>
      <c r="Y146" s="71">
        <f>IF($S146 &gt; 0, 100 - $X146 - $Z146, 0)</f>
        <v>0</v>
      </c>
      <c r="Z146" s="72">
        <v>0</v>
      </c>
      <c r="AA146" s="71">
        <v>27</v>
      </c>
      <c r="AB146" s="71">
        <f>IF($T146 &gt; 0, 100 - $AA146 - $AC146, 0)</f>
        <v>63</v>
      </c>
      <c r="AC146" s="72">
        <v>10</v>
      </c>
      <c r="AD146" s="71">
        <v>0</v>
      </c>
      <c r="AE146" s="71">
        <f>IF($U146 &gt; 0, 100 - $AD146 - $AF146, 0)</f>
        <v>0</v>
      </c>
      <c r="AF146" s="72">
        <v>0</v>
      </c>
      <c r="AG146" s="6" t="s">
        <v>43</v>
      </c>
      <c r="AH146" s="6" t="s">
        <v>525</v>
      </c>
      <c r="AI146" s="10"/>
      <c r="AJ146" s="10"/>
      <c r="AN146" s="86"/>
      <c r="AO146" s="86"/>
      <c r="AP146" s="86"/>
      <c r="AQ146" s="86"/>
      <c r="AR146" s="86"/>
      <c r="AS146" s="86"/>
      <c r="AT146" s="86"/>
      <c r="AU146" s="86"/>
    </row>
    <row r="147" spans="1:47" s="6" customFormat="1" ht="12">
      <c r="A147" s="6" t="s">
        <v>533</v>
      </c>
      <c r="B147" s="7" t="s">
        <v>534</v>
      </c>
      <c r="C147" s="8" t="s">
        <v>129</v>
      </c>
      <c r="D147" s="8" t="s">
        <v>413</v>
      </c>
      <c r="E147" s="6" t="s">
        <v>311</v>
      </c>
      <c r="G147" s="6" t="s">
        <v>414</v>
      </c>
      <c r="H147" s="6" t="s">
        <v>522</v>
      </c>
      <c r="J147" s="6">
        <v>0</v>
      </c>
      <c r="K147" s="6">
        <v>100</v>
      </c>
      <c r="L147" s="6" t="s">
        <v>38</v>
      </c>
      <c r="M147" s="6" t="s">
        <v>284</v>
      </c>
      <c r="N147" s="6" t="s">
        <v>523</v>
      </c>
      <c r="P147" s="6">
        <v>0</v>
      </c>
      <c r="Q147" s="28" t="s">
        <v>524</v>
      </c>
      <c r="R147" s="87">
        <v>0</v>
      </c>
      <c r="S147" s="87">
        <f>100 - R147 - U147 - T147</f>
        <v>0</v>
      </c>
      <c r="T147" s="87">
        <v>100</v>
      </c>
      <c r="U147" s="88">
        <v>0</v>
      </c>
      <c r="V147" s="87">
        <v>0</v>
      </c>
      <c r="W147" s="88">
        <f>IF($R147 &gt; 0, 100 - $V147, 0)</f>
        <v>0</v>
      </c>
      <c r="X147" s="71">
        <v>0</v>
      </c>
      <c r="Y147" s="71">
        <f>IF($S147 &gt; 0, 100 - $X147 - $Z147, 0)</f>
        <v>0</v>
      </c>
      <c r="Z147" s="72">
        <v>0</v>
      </c>
      <c r="AA147" s="71">
        <v>54</v>
      </c>
      <c r="AB147" s="71">
        <f>IF($T147 &gt; 0, 100 - $AA147 - $AC147, 0)</f>
        <v>36</v>
      </c>
      <c r="AC147" s="72">
        <v>10</v>
      </c>
      <c r="AD147" s="71">
        <v>0</v>
      </c>
      <c r="AE147" s="71">
        <f>IF($U147 &gt; 0, 100 - $AD147 - $AF147, 0)</f>
        <v>0</v>
      </c>
      <c r="AF147" s="72">
        <v>0</v>
      </c>
      <c r="AG147" s="6" t="s">
        <v>43</v>
      </c>
      <c r="AH147" s="6" t="s">
        <v>525</v>
      </c>
      <c r="AI147" s="10"/>
      <c r="AJ147" s="10"/>
      <c r="AN147" s="86"/>
      <c r="AO147" s="86"/>
      <c r="AP147" s="86"/>
      <c r="AQ147" s="86"/>
      <c r="AR147" s="86"/>
      <c r="AS147" s="86"/>
      <c r="AT147" s="86"/>
      <c r="AU147" s="86"/>
    </row>
    <row r="148" spans="1:47" s="6" customFormat="1" ht="12">
      <c r="A148" s="6" t="s">
        <v>535</v>
      </c>
      <c r="B148" s="7" t="s">
        <v>536</v>
      </c>
      <c r="C148" s="8" t="s">
        <v>129</v>
      </c>
      <c r="D148" s="8" t="s">
        <v>413</v>
      </c>
      <c r="E148" s="6" t="s">
        <v>311</v>
      </c>
      <c r="G148" s="6" t="s">
        <v>414</v>
      </c>
      <c r="H148" s="6" t="s">
        <v>522</v>
      </c>
      <c r="J148" s="6">
        <v>0</v>
      </c>
      <c r="K148" s="6">
        <v>45</v>
      </c>
      <c r="L148" s="6" t="s">
        <v>38</v>
      </c>
      <c r="M148" s="6" t="s">
        <v>284</v>
      </c>
      <c r="N148" s="6" t="s">
        <v>523</v>
      </c>
      <c r="P148" s="6">
        <v>0</v>
      </c>
      <c r="Q148" s="28" t="s">
        <v>528</v>
      </c>
      <c r="R148" s="87">
        <v>0</v>
      </c>
      <c r="S148" s="87">
        <f>100 - R148 - U148 - T148</f>
        <v>0</v>
      </c>
      <c r="T148" s="87">
        <v>100</v>
      </c>
      <c r="U148" s="88">
        <v>0</v>
      </c>
      <c r="V148" s="87">
        <v>0</v>
      </c>
      <c r="W148" s="88">
        <f>IF($R148 &gt; 0, 100 - $V148, 0)</f>
        <v>0</v>
      </c>
      <c r="X148" s="71">
        <v>0</v>
      </c>
      <c r="Y148" s="71">
        <f>IF($S148 &gt; 0, 100 - $X148 - $Z148, 0)</f>
        <v>0</v>
      </c>
      <c r="Z148" s="72">
        <v>0</v>
      </c>
      <c r="AA148" s="71">
        <v>54</v>
      </c>
      <c r="AB148" s="71">
        <f>IF($T148 &gt; 0, 100 - $AA148 - $AC148, 0)</f>
        <v>36</v>
      </c>
      <c r="AC148" s="72">
        <v>10</v>
      </c>
      <c r="AD148" s="71">
        <v>0</v>
      </c>
      <c r="AE148" s="71">
        <f>IF($U148 &gt; 0, 100 - $AD148 - $AF148, 0)</f>
        <v>0</v>
      </c>
      <c r="AF148" s="72">
        <v>0</v>
      </c>
      <c r="AG148" s="6" t="s">
        <v>43</v>
      </c>
      <c r="AH148" s="6" t="s">
        <v>525</v>
      </c>
      <c r="AI148" s="10"/>
      <c r="AJ148" s="10"/>
      <c r="AN148" s="86"/>
      <c r="AO148" s="86"/>
      <c r="AP148" s="86"/>
      <c r="AQ148" s="86"/>
      <c r="AR148" s="86"/>
      <c r="AS148" s="86"/>
      <c r="AT148" s="86"/>
      <c r="AU148" s="86"/>
    </row>
    <row r="149" spans="1:47" s="6" customFormat="1" ht="12">
      <c r="A149" s="6" t="s">
        <v>537</v>
      </c>
      <c r="B149" s="7" t="s">
        <v>538</v>
      </c>
      <c r="C149" s="8" t="s">
        <v>129</v>
      </c>
      <c r="D149" s="8" t="s">
        <v>413</v>
      </c>
      <c r="E149" s="6" t="s">
        <v>311</v>
      </c>
      <c r="G149" s="6" t="s">
        <v>414</v>
      </c>
      <c r="H149" s="6" t="s">
        <v>522</v>
      </c>
      <c r="J149" s="6">
        <v>0</v>
      </c>
      <c r="K149" s="6">
        <v>100</v>
      </c>
      <c r="L149" s="6" t="s">
        <v>38</v>
      </c>
      <c r="M149" s="6" t="s">
        <v>284</v>
      </c>
      <c r="N149" s="6" t="s">
        <v>523</v>
      </c>
      <c r="P149" s="6">
        <v>0</v>
      </c>
      <c r="Q149" s="28" t="s">
        <v>524</v>
      </c>
      <c r="R149" s="87">
        <v>0</v>
      </c>
      <c r="S149" s="87">
        <f>100 - R149 - U149 - T149</f>
        <v>0</v>
      </c>
      <c r="T149" s="87">
        <v>100</v>
      </c>
      <c r="U149" s="88">
        <v>0</v>
      </c>
      <c r="V149" s="87">
        <v>0</v>
      </c>
      <c r="W149" s="88">
        <f>IF($R149 &gt; 0, 100 - $V149, 0)</f>
        <v>0</v>
      </c>
      <c r="X149" s="71">
        <v>0</v>
      </c>
      <c r="Y149" s="71">
        <f>IF($S149 &gt; 0, 100 - $X149 - $Z149, 0)</f>
        <v>0</v>
      </c>
      <c r="Z149" s="72">
        <v>0</v>
      </c>
      <c r="AA149" s="71">
        <v>46</v>
      </c>
      <c r="AB149" s="71">
        <f>IF($T149 &gt; 0, 100 - $AA149 - $AC149, 0)</f>
        <v>46</v>
      </c>
      <c r="AC149" s="72">
        <v>8</v>
      </c>
      <c r="AD149" s="71">
        <v>0</v>
      </c>
      <c r="AE149" s="71">
        <f>IF($U149 &gt; 0, 100 - $AD149 - $AF149, 0)</f>
        <v>0</v>
      </c>
      <c r="AF149" s="72">
        <v>0</v>
      </c>
      <c r="AG149" s="6" t="s">
        <v>43</v>
      </c>
      <c r="AH149" s="6" t="s">
        <v>525</v>
      </c>
      <c r="AI149" s="10"/>
      <c r="AJ149" s="10"/>
      <c r="AN149" s="86"/>
      <c r="AO149" s="86"/>
      <c r="AP149" s="86"/>
      <c r="AQ149" s="86"/>
      <c r="AR149" s="86"/>
      <c r="AS149" s="86"/>
      <c r="AT149" s="86"/>
      <c r="AU149" s="86"/>
    </row>
    <row r="150" spans="1:47" s="6" customFormat="1" ht="12">
      <c r="A150" s="6" t="s">
        <v>539</v>
      </c>
      <c r="B150" s="7" t="s">
        <v>540</v>
      </c>
      <c r="C150" s="8" t="s">
        <v>129</v>
      </c>
      <c r="D150" s="8" t="s">
        <v>413</v>
      </c>
      <c r="E150" s="6" t="s">
        <v>311</v>
      </c>
      <c r="G150" s="6" t="s">
        <v>414</v>
      </c>
      <c r="H150" s="6" t="s">
        <v>522</v>
      </c>
      <c r="J150" s="6">
        <v>0</v>
      </c>
      <c r="K150" s="6">
        <v>45</v>
      </c>
      <c r="L150" s="6" t="s">
        <v>38</v>
      </c>
      <c r="M150" s="6" t="s">
        <v>39</v>
      </c>
      <c r="N150" s="6" t="s">
        <v>523</v>
      </c>
      <c r="P150" s="6">
        <v>0</v>
      </c>
      <c r="Q150" s="28" t="s">
        <v>541</v>
      </c>
      <c r="R150" s="87">
        <v>0</v>
      </c>
      <c r="S150" s="87">
        <f>100 - R150 - U150 - T150</f>
        <v>0</v>
      </c>
      <c r="T150" s="87">
        <v>100</v>
      </c>
      <c r="U150" s="88">
        <v>0</v>
      </c>
      <c r="V150" s="87">
        <v>0</v>
      </c>
      <c r="W150" s="88">
        <f>IF($R150 &gt; 0, 100 - $V150, 0)</f>
        <v>0</v>
      </c>
      <c r="X150" s="71">
        <v>0</v>
      </c>
      <c r="Y150" s="71">
        <f>IF($S150 &gt; 0, 100 - $X150 - $Z150, 0)</f>
        <v>0</v>
      </c>
      <c r="Z150" s="72">
        <v>0</v>
      </c>
      <c r="AA150" s="71">
        <v>46</v>
      </c>
      <c r="AB150" s="71">
        <f>IF($T150 &gt; 0, 100 - $AA150 - $AC150, 0)</f>
        <v>46</v>
      </c>
      <c r="AC150" s="72">
        <v>8</v>
      </c>
      <c r="AD150" s="71">
        <v>0</v>
      </c>
      <c r="AE150" s="71">
        <f>IF($U150 &gt; 0, 100 - $AD150 - $AF150, 0)</f>
        <v>0</v>
      </c>
      <c r="AF150" s="72">
        <v>0</v>
      </c>
      <c r="AG150" s="6" t="s">
        <v>43</v>
      </c>
      <c r="AH150" s="6" t="s">
        <v>525</v>
      </c>
      <c r="AI150" s="10"/>
      <c r="AJ150" s="10"/>
      <c r="AN150" s="86"/>
      <c r="AO150" s="86"/>
      <c r="AP150" s="86"/>
      <c r="AQ150" s="86"/>
      <c r="AR150" s="86"/>
      <c r="AS150" s="86"/>
      <c r="AT150" s="86"/>
      <c r="AU150" s="86"/>
    </row>
    <row r="151" spans="1:47" s="6" customFormat="1" ht="12">
      <c r="A151" s="6" t="s">
        <v>542</v>
      </c>
      <c r="B151" s="7" t="s">
        <v>543</v>
      </c>
      <c r="C151" s="8" t="s">
        <v>129</v>
      </c>
      <c r="D151" s="8" t="s">
        <v>413</v>
      </c>
      <c r="E151" s="6" t="s">
        <v>311</v>
      </c>
      <c r="G151" s="6" t="s">
        <v>414</v>
      </c>
      <c r="H151" s="6" t="s">
        <v>522</v>
      </c>
      <c r="J151" s="6">
        <v>0</v>
      </c>
      <c r="K151" s="6">
        <v>45</v>
      </c>
      <c r="L151" s="6" t="s">
        <v>38</v>
      </c>
      <c r="M151" s="6" t="s">
        <v>39</v>
      </c>
      <c r="N151" s="6" t="s">
        <v>523</v>
      </c>
      <c r="P151" s="6">
        <v>0</v>
      </c>
      <c r="Q151" s="28" t="s">
        <v>541</v>
      </c>
      <c r="R151" s="87">
        <v>0</v>
      </c>
      <c r="S151" s="87">
        <f>100 - R151 - U151 - T151</f>
        <v>0</v>
      </c>
      <c r="T151" s="87">
        <v>100</v>
      </c>
      <c r="U151" s="88">
        <v>0</v>
      </c>
      <c r="V151" s="87">
        <v>0</v>
      </c>
      <c r="W151" s="88">
        <f>IF($R151 &gt; 0, 100 - $V151, 0)</f>
        <v>0</v>
      </c>
      <c r="X151" s="71">
        <v>0</v>
      </c>
      <c r="Y151" s="71">
        <f>IF($S151 &gt; 0, 100 - $X151 - $Z151, 0)</f>
        <v>0</v>
      </c>
      <c r="Z151" s="72">
        <v>0</v>
      </c>
      <c r="AA151" s="71">
        <v>16</v>
      </c>
      <c r="AB151" s="71">
        <f>IF($T151 &gt; 0, 100 - $AA151 - $AC151, 0)</f>
        <v>64</v>
      </c>
      <c r="AC151" s="72">
        <v>20</v>
      </c>
      <c r="AD151" s="71">
        <v>0</v>
      </c>
      <c r="AE151" s="71">
        <f>IF($U151 &gt; 0, 100 - $AD151 - $AF151, 0)</f>
        <v>0</v>
      </c>
      <c r="AF151" s="72">
        <v>0</v>
      </c>
      <c r="AG151" s="6" t="s">
        <v>43</v>
      </c>
      <c r="AH151" s="6" t="s">
        <v>525</v>
      </c>
      <c r="AI151" s="10"/>
      <c r="AJ151" s="10"/>
      <c r="AN151" s="86"/>
      <c r="AO151" s="86"/>
      <c r="AP151" s="86"/>
      <c r="AQ151" s="86"/>
      <c r="AR151" s="86"/>
      <c r="AS151" s="86"/>
      <c r="AT151" s="86"/>
      <c r="AU151" s="86"/>
    </row>
    <row r="152" spans="1:47" s="6" customFormat="1" ht="12">
      <c r="A152" s="6" t="s">
        <v>544</v>
      </c>
      <c r="B152" s="7" t="s">
        <v>545</v>
      </c>
      <c r="C152" s="8" t="s">
        <v>129</v>
      </c>
      <c r="D152" s="8" t="s">
        <v>413</v>
      </c>
      <c r="E152" s="6" t="s">
        <v>311</v>
      </c>
      <c r="G152" s="6" t="s">
        <v>414</v>
      </c>
      <c r="H152" s="6" t="s">
        <v>522</v>
      </c>
      <c r="J152" s="6">
        <v>0</v>
      </c>
      <c r="K152" s="6">
        <v>45</v>
      </c>
      <c r="L152" s="6" t="s">
        <v>38</v>
      </c>
      <c r="M152" s="6" t="s">
        <v>39</v>
      </c>
      <c r="N152" s="6" t="s">
        <v>523</v>
      </c>
      <c r="P152" s="6">
        <v>0</v>
      </c>
      <c r="Q152" s="6" t="s">
        <v>541</v>
      </c>
      <c r="R152" s="87">
        <v>0</v>
      </c>
      <c r="S152" s="87">
        <f>100 - R152 - U152 - T152</f>
        <v>0</v>
      </c>
      <c r="T152" s="87">
        <v>100</v>
      </c>
      <c r="U152" s="87">
        <v>0</v>
      </c>
      <c r="V152" s="87">
        <v>0</v>
      </c>
      <c r="W152" s="88">
        <f>IF($R152 &gt; 0, 100 - $V152, 0)</f>
        <v>0</v>
      </c>
      <c r="X152" s="71">
        <v>0</v>
      </c>
      <c r="Y152" s="71">
        <f>IF($S152 &gt; 0, 100 - $X152 - $Z152, 0)</f>
        <v>0</v>
      </c>
      <c r="Z152" s="72">
        <v>0</v>
      </c>
      <c r="AA152" s="71">
        <v>18</v>
      </c>
      <c r="AB152" s="71">
        <f>IF($T152 &gt; 0, 100 - $AA152 - $AC152, 0)</f>
        <v>72</v>
      </c>
      <c r="AC152" s="72">
        <v>10</v>
      </c>
      <c r="AD152" s="71">
        <v>0</v>
      </c>
      <c r="AE152" s="71">
        <f>IF($U152 &gt; 0, 100 - $AD152 - $AF152, 0)</f>
        <v>0</v>
      </c>
      <c r="AF152" s="72">
        <v>0</v>
      </c>
      <c r="AG152" s="6" t="s">
        <v>43</v>
      </c>
      <c r="AH152" s="6" t="s">
        <v>525</v>
      </c>
      <c r="AI152" s="10"/>
      <c r="AJ152" s="10"/>
      <c r="AN152" s="86"/>
      <c r="AO152" s="86"/>
      <c r="AP152" s="86"/>
      <c r="AQ152" s="86"/>
      <c r="AR152" s="86"/>
      <c r="AS152" s="86"/>
      <c r="AT152" s="86"/>
      <c r="AU152" s="86"/>
    </row>
    <row r="153" spans="1:47" s="6" customFormat="1" ht="12">
      <c r="A153" s="6" t="s">
        <v>546</v>
      </c>
      <c r="B153" s="7" t="s">
        <v>547</v>
      </c>
      <c r="C153" s="8" t="s">
        <v>129</v>
      </c>
      <c r="D153" s="8" t="s">
        <v>413</v>
      </c>
      <c r="E153" s="6" t="s">
        <v>311</v>
      </c>
      <c r="G153" s="6" t="s">
        <v>414</v>
      </c>
      <c r="H153" s="6" t="s">
        <v>522</v>
      </c>
      <c r="J153" s="6">
        <v>0</v>
      </c>
      <c r="K153" s="6">
        <v>45</v>
      </c>
      <c r="L153" s="6" t="s">
        <v>38</v>
      </c>
      <c r="M153" s="6" t="s">
        <v>39</v>
      </c>
      <c r="N153" s="6" t="s">
        <v>523</v>
      </c>
      <c r="P153" s="6">
        <v>0</v>
      </c>
      <c r="Q153" s="28" t="s">
        <v>541</v>
      </c>
      <c r="R153" s="87">
        <v>0</v>
      </c>
      <c r="S153" s="87">
        <f>100 - R153 - U153 - T153</f>
        <v>0</v>
      </c>
      <c r="T153" s="87">
        <v>100</v>
      </c>
      <c r="U153" s="87">
        <v>0</v>
      </c>
      <c r="V153" s="87">
        <v>0</v>
      </c>
      <c r="W153" s="88">
        <f>IF($R153 &gt; 0, 100 - $V153, 0)</f>
        <v>0</v>
      </c>
      <c r="X153" s="71">
        <v>0</v>
      </c>
      <c r="Y153" s="71">
        <f>IF($S153 &gt; 0, 100 - $X153 - $Z153, 0)</f>
        <v>0</v>
      </c>
      <c r="Z153" s="72">
        <v>0</v>
      </c>
      <c r="AA153" s="71">
        <v>24</v>
      </c>
      <c r="AB153" s="71">
        <f>IF($T153 &gt; 0, 100 - $AA153 - $AC153, 0)</f>
        <v>56</v>
      </c>
      <c r="AC153" s="72">
        <v>20</v>
      </c>
      <c r="AD153" s="71">
        <v>0</v>
      </c>
      <c r="AE153" s="71">
        <f>IF($U153 &gt; 0, 100 - $AD153 - $AF153, 0)</f>
        <v>0</v>
      </c>
      <c r="AF153" s="72">
        <v>0</v>
      </c>
      <c r="AG153" s="6" t="s">
        <v>43</v>
      </c>
      <c r="AH153" s="6" t="s">
        <v>525</v>
      </c>
      <c r="AI153" s="10"/>
      <c r="AJ153" s="10"/>
      <c r="AN153" s="86"/>
      <c r="AO153" s="86"/>
      <c r="AP153" s="86"/>
      <c r="AQ153" s="86"/>
      <c r="AR153" s="86"/>
      <c r="AS153" s="86"/>
      <c r="AT153" s="86"/>
      <c r="AU153" s="86"/>
    </row>
    <row r="154" spans="1:47" s="6" customFormat="1" ht="12">
      <c r="A154" s="6" t="s">
        <v>548</v>
      </c>
      <c r="B154" s="7" t="s">
        <v>549</v>
      </c>
      <c r="C154" s="8" t="s">
        <v>129</v>
      </c>
      <c r="D154" s="8" t="s">
        <v>413</v>
      </c>
      <c r="E154" s="6" t="s">
        <v>311</v>
      </c>
      <c r="G154" s="6" t="s">
        <v>414</v>
      </c>
      <c r="H154" s="6" t="s">
        <v>522</v>
      </c>
      <c r="J154" s="6">
        <v>0</v>
      </c>
      <c r="K154" s="6">
        <v>45</v>
      </c>
      <c r="L154" s="6" t="s">
        <v>38</v>
      </c>
      <c r="M154" s="6" t="s">
        <v>39</v>
      </c>
      <c r="N154" s="6" t="s">
        <v>523</v>
      </c>
      <c r="P154" s="6">
        <v>0</v>
      </c>
      <c r="Q154" s="6" t="s">
        <v>541</v>
      </c>
      <c r="R154" s="87">
        <v>0</v>
      </c>
      <c r="S154" s="87">
        <f>100 - R154 - U154 - T154</f>
        <v>0</v>
      </c>
      <c r="T154" s="87">
        <v>100</v>
      </c>
      <c r="U154" s="87">
        <v>0</v>
      </c>
      <c r="V154" s="87">
        <v>0</v>
      </c>
      <c r="W154" s="88">
        <f>IF($R154 &gt; 0, 100 - $V154, 0)</f>
        <v>0</v>
      </c>
      <c r="X154" s="71">
        <v>0</v>
      </c>
      <c r="Y154" s="71">
        <f>IF($S154 &gt; 0, 100 - $X154 - $Z154, 0)</f>
        <v>0</v>
      </c>
      <c r="Z154" s="72">
        <v>0</v>
      </c>
      <c r="AA154" s="71">
        <v>25</v>
      </c>
      <c r="AB154" s="71">
        <f>IF($T154 &gt; 0, 100 - $AA154 - $AC154, 0)</f>
        <v>25</v>
      </c>
      <c r="AC154" s="72">
        <v>50</v>
      </c>
      <c r="AD154" s="71">
        <v>0</v>
      </c>
      <c r="AE154" s="71">
        <f>IF($U154 &gt; 0, 100 - $AD154 - $AF154, 0)</f>
        <v>0</v>
      </c>
      <c r="AF154" s="72">
        <v>0</v>
      </c>
      <c r="AG154" s="6" t="s">
        <v>43</v>
      </c>
      <c r="AH154" s="6" t="s">
        <v>525</v>
      </c>
      <c r="AI154" s="10"/>
      <c r="AJ154" s="10"/>
      <c r="AN154" s="86"/>
      <c r="AO154" s="86"/>
      <c r="AP154" s="86"/>
      <c r="AQ154" s="86"/>
      <c r="AR154" s="86"/>
      <c r="AS154" s="86"/>
      <c r="AT154" s="86"/>
      <c r="AU154" s="86"/>
    </row>
    <row r="155" spans="1:47" s="6" customFormat="1" ht="12">
      <c r="A155" s="6" t="s">
        <v>550</v>
      </c>
      <c r="B155" s="7" t="s">
        <v>551</v>
      </c>
      <c r="C155" s="8" t="s">
        <v>129</v>
      </c>
      <c r="D155" s="8" t="s">
        <v>413</v>
      </c>
      <c r="E155" s="6" t="s">
        <v>311</v>
      </c>
      <c r="G155" s="6" t="s">
        <v>414</v>
      </c>
      <c r="H155" s="6" t="s">
        <v>552</v>
      </c>
      <c r="J155" s="6">
        <v>0</v>
      </c>
      <c r="K155" s="6">
        <v>45</v>
      </c>
      <c r="L155" s="6" t="s">
        <v>38</v>
      </c>
      <c r="M155" s="6" t="s">
        <v>39</v>
      </c>
      <c r="N155" s="6" t="s">
        <v>523</v>
      </c>
      <c r="P155" s="6">
        <v>0</v>
      </c>
      <c r="Q155" s="6" t="s">
        <v>541</v>
      </c>
      <c r="R155" s="87">
        <v>0</v>
      </c>
      <c r="S155" s="87">
        <f>100 - R155 - U155 - T155</f>
        <v>0</v>
      </c>
      <c r="T155" s="87">
        <v>100</v>
      </c>
      <c r="U155" s="87">
        <v>0</v>
      </c>
      <c r="V155" s="87">
        <v>0</v>
      </c>
      <c r="W155" s="88">
        <f>IF($R155 &gt; 0, 100 - $V155, 0)</f>
        <v>0</v>
      </c>
      <c r="X155" s="71">
        <v>0</v>
      </c>
      <c r="Y155" s="71">
        <f>IF($S155 &gt; 0, 100 - $X155 - $Z155, 0)</f>
        <v>0</v>
      </c>
      <c r="Z155" s="72">
        <v>0</v>
      </c>
      <c r="AA155" s="87">
        <v>51</v>
      </c>
      <c r="AB155" s="71">
        <f>IF($T155 &gt; 0, 100 - $AA155 - $AC155, 0)</f>
        <v>34</v>
      </c>
      <c r="AC155" s="88">
        <v>15</v>
      </c>
      <c r="AD155" s="71">
        <v>0</v>
      </c>
      <c r="AE155" s="71">
        <f>IF($U155 &gt; 0, 100 - $AD155 - $AF155, 0)</f>
        <v>0</v>
      </c>
      <c r="AF155" s="72">
        <v>0</v>
      </c>
      <c r="AG155" s="6" t="s">
        <v>43</v>
      </c>
      <c r="AH155" s="6" t="s">
        <v>525</v>
      </c>
      <c r="AN155" s="86"/>
      <c r="AO155" s="86"/>
      <c r="AP155" s="86"/>
      <c r="AQ155" s="86"/>
      <c r="AR155" s="86"/>
      <c r="AS155" s="86"/>
      <c r="AT155" s="86"/>
      <c r="AU155" s="86"/>
    </row>
    <row r="156" spans="1:47" s="6" customFormat="1" ht="12">
      <c r="A156" s="6" t="s">
        <v>553</v>
      </c>
      <c r="B156" s="7" t="s">
        <v>554</v>
      </c>
      <c r="C156" s="8" t="s">
        <v>129</v>
      </c>
      <c r="D156" s="8" t="s">
        <v>413</v>
      </c>
      <c r="E156" s="6" t="s">
        <v>311</v>
      </c>
      <c r="G156" s="6" t="s">
        <v>414</v>
      </c>
      <c r="H156" s="6" t="s">
        <v>522</v>
      </c>
      <c r="J156" s="6">
        <v>0</v>
      </c>
      <c r="K156" s="6">
        <v>45</v>
      </c>
      <c r="L156" s="6" t="s">
        <v>38</v>
      </c>
      <c r="M156" s="6" t="s">
        <v>39</v>
      </c>
      <c r="N156" s="6" t="s">
        <v>523</v>
      </c>
      <c r="P156" s="6">
        <v>0</v>
      </c>
      <c r="Q156" s="28" t="s">
        <v>541</v>
      </c>
      <c r="R156" s="87">
        <v>0</v>
      </c>
      <c r="S156" s="87">
        <f>100 - R156 - U156 - T156</f>
        <v>0</v>
      </c>
      <c r="T156" s="87">
        <v>100</v>
      </c>
      <c r="U156" s="88">
        <v>0</v>
      </c>
      <c r="V156" s="87">
        <v>0</v>
      </c>
      <c r="W156" s="88">
        <f>IF($R156 &gt; 0, 100 - $V156, 0)</f>
        <v>0</v>
      </c>
      <c r="X156" s="71">
        <v>0</v>
      </c>
      <c r="Y156" s="71">
        <f>IF($S156 &gt; 0, 100 - $X156 - $Z156, 0)</f>
        <v>0</v>
      </c>
      <c r="Z156" s="72">
        <v>0</v>
      </c>
      <c r="AA156" s="71">
        <v>45</v>
      </c>
      <c r="AB156" s="71">
        <f>IF($T156 &gt; 0, 100 - $AA156 - $AC156, 0)</f>
        <v>30</v>
      </c>
      <c r="AC156" s="72">
        <v>25</v>
      </c>
      <c r="AD156" s="71">
        <v>0</v>
      </c>
      <c r="AE156" s="71">
        <f>IF($U156 &gt; 0, 100 - $AD156 - $AF156, 0)</f>
        <v>0</v>
      </c>
      <c r="AF156" s="72">
        <v>0</v>
      </c>
      <c r="AG156" s="6" t="s">
        <v>43</v>
      </c>
      <c r="AH156" s="6" t="s">
        <v>525</v>
      </c>
      <c r="AI156" s="10"/>
      <c r="AJ156" s="10"/>
      <c r="AN156" s="86"/>
      <c r="AO156" s="86"/>
      <c r="AP156" s="86"/>
      <c r="AQ156" s="86"/>
      <c r="AR156" s="86"/>
      <c r="AS156" s="86"/>
      <c r="AT156" s="86"/>
      <c r="AU156" s="86"/>
    </row>
    <row r="157" spans="1:47" s="6" customFormat="1" ht="12">
      <c r="A157" s="6" t="s">
        <v>555</v>
      </c>
      <c r="B157" s="7" t="s">
        <v>556</v>
      </c>
      <c r="C157" s="8" t="s">
        <v>129</v>
      </c>
      <c r="D157" s="8" t="s">
        <v>413</v>
      </c>
      <c r="E157" s="6" t="s">
        <v>311</v>
      </c>
      <c r="G157" s="6" t="s">
        <v>414</v>
      </c>
      <c r="H157" s="6" t="s">
        <v>557</v>
      </c>
      <c r="J157" s="6">
        <v>0</v>
      </c>
      <c r="K157" s="6">
        <v>45</v>
      </c>
      <c r="L157" s="6" t="s">
        <v>38</v>
      </c>
      <c r="M157" s="6" t="s">
        <v>39</v>
      </c>
      <c r="N157" s="6" t="s">
        <v>523</v>
      </c>
      <c r="P157" s="6">
        <v>0</v>
      </c>
      <c r="Q157" s="28" t="s">
        <v>558</v>
      </c>
      <c r="R157" s="87">
        <v>0</v>
      </c>
      <c r="S157" s="87">
        <f>100 - R157 - U157 - T157</f>
        <v>0</v>
      </c>
      <c r="T157" s="87">
        <v>100</v>
      </c>
      <c r="U157" s="87">
        <v>0</v>
      </c>
      <c r="V157" s="87">
        <v>0</v>
      </c>
      <c r="W157" s="88">
        <f>IF($R157 &gt; 0, 100 - $V157, 0)</f>
        <v>0</v>
      </c>
      <c r="X157" s="71">
        <v>0</v>
      </c>
      <c r="Y157" s="71">
        <f>IF($S157 &gt; 0, 100 - $X157 - $Z157, 0)</f>
        <v>0</v>
      </c>
      <c r="Z157" s="72">
        <v>0</v>
      </c>
      <c r="AA157" s="71">
        <v>76.5</v>
      </c>
      <c r="AB157" s="71">
        <f>IF($T157 &gt; 0, 100 - $AA157 - $AC157, 0)</f>
        <v>13.5</v>
      </c>
      <c r="AC157" s="72">
        <v>10</v>
      </c>
      <c r="AD157" s="71">
        <v>0</v>
      </c>
      <c r="AE157" s="71">
        <f>IF($U157 &gt; 0, 100 - $AD157 - $AF157, 0)</f>
        <v>0</v>
      </c>
      <c r="AF157" s="72">
        <v>0</v>
      </c>
      <c r="AG157" s="6" t="s">
        <v>43</v>
      </c>
      <c r="AH157" s="6" t="s">
        <v>525</v>
      </c>
      <c r="AI157" s="10"/>
      <c r="AJ157" s="10"/>
      <c r="AN157" s="86"/>
      <c r="AO157" s="86"/>
      <c r="AP157" s="86"/>
      <c r="AQ157" s="86"/>
      <c r="AR157" s="86"/>
      <c r="AS157" s="86"/>
      <c r="AT157" s="86"/>
      <c r="AU157" s="86"/>
    </row>
    <row r="158" spans="1:47" s="6" customFormat="1" ht="12">
      <c r="A158" s="6" t="s">
        <v>559</v>
      </c>
      <c r="B158" s="7" t="s">
        <v>560</v>
      </c>
      <c r="C158" s="8" t="s">
        <v>129</v>
      </c>
      <c r="D158" s="8" t="s">
        <v>413</v>
      </c>
      <c r="E158" s="6" t="s">
        <v>311</v>
      </c>
      <c r="G158" s="6" t="s">
        <v>414</v>
      </c>
      <c r="H158" s="6" t="s">
        <v>557</v>
      </c>
      <c r="J158" s="6">
        <v>0</v>
      </c>
      <c r="K158" s="6">
        <v>45</v>
      </c>
      <c r="L158" s="6" t="s">
        <v>38</v>
      </c>
      <c r="M158" s="6" t="s">
        <v>39</v>
      </c>
      <c r="N158" s="6" t="s">
        <v>523</v>
      </c>
      <c r="P158" s="6">
        <v>0</v>
      </c>
      <c r="Q158" s="28" t="s">
        <v>558</v>
      </c>
      <c r="R158" s="87">
        <v>0</v>
      </c>
      <c r="S158" s="87">
        <f>100 - R158 - U158 - T158</f>
        <v>0</v>
      </c>
      <c r="T158" s="87">
        <v>100</v>
      </c>
      <c r="U158" s="88">
        <v>0</v>
      </c>
      <c r="V158" s="87">
        <v>0</v>
      </c>
      <c r="W158" s="88">
        <f>IF($R158 &gt; 0, 100 - $V158, 0)</f>
        <v>0</v>
      </c>
      <c r="X158" s="71">
        <v>0</v>
      </c>
      <c r="Y158" s="71">
        <f>IF($S158 &gt; 0, 100 - $X158 - $Z158, 0)</f>
        <v>0</v>
      </c>
      <c r="Z158" s="72">
        <v>0</v>
      </c>
      <c r="AA158" s="71">
        <v>76.5</v>
      </c>
      <c r="AB158" s="71">
        <f>IF($T158 &gt; 0, 100 - $AA158 - $AC158, 0)</f>
        <v>13.5</v>
      </c>
      <c r="AC158" s="72">
        <v>10</v>
      </c>
      <c r="AD158" s="71">
        <v>0</v>
      </c>
      <c r="AE158" s="71">
        <f>IF($U158 &gt; 0, 100 - $AD158 - $AF158, 0)</f>
        <v>0</v>
      </c>
      <c r="AF158" s="72">
        <v>0</v>
      </c>
      <c r="AG158" s="6" t="s">
        <v>43</v>
      </c>
      <c r="AH158" s="6" t="s">
        <v>525</v>
      </c>
      <c r="AI158" s="10"/>
      <c r="AJ158" s="10"/>
      <c r="AN158" s="86"/>
      <c r="AO158" s="86"/>
      <c r="AP158" s="86"/>
      <c r="AQ158" s="86"/>
      <c r="AR158" s="86"/>
      <c r="AS158" s="86"/>
      <c r="AT158" s="86"/>
      <c r="AU158" s="86"/>
    </row>
    <row r="159" spans="1:47" s="6" customFormat="1" ht="12">
      <c r="A159" s="6" t="s">
        <v>561</v>
      </c>
      <c r="B159" s="7" t="s">
        <v>562</v>
      </c>
      <c r="C159" s="8" t="s">
        <v>129</v>
      </c>
      <c r="D159" s="8" t="s">
        <v>413</v>
      </c>
      <c r="E159" s="6" t="s">
        <v>311</v>
      </c>
      <c r="G159" s="6" t="s">
        <v>414</v>
      </c>
      <c r="H159" s="6" t="s">
        <v>522</v>
      </c>
      <c r="J159" s="6">
        <v>0</v>
      </c>
      <c r="K159" s="6">
        <v>45</v>
      </c>
      <c r="L159" s="6" t="s">
        <v>38</v>
      </c>
      <c r="M159" s="6" t="s">
        <v>39</v>
      </c>
      <c r="N159" s="6" t="s">
        <v>523</v>
      </c>
      <c r="P159" s="6">
        <v>0</v>
      </c>
      <c r="Q159" s="28" t="s">
        <v>558</v>
      </c>
      <c r="R159" s="87">
        <v>0</v>
      </c>
      <c r="S159" s="87">
        <f>100 - R159 - U159 - T159</f>
        <v>0</v>
      </c>
      <c r="T159" s="87">
        <v>100</v>
      </c>
      <c r="U159" s="87">
        <v>0</v>
      </c>
      <c r="V159" s="87">
        <v>0</v>
      </c>
      <c r="W159" s="88">
        <f>IF($R159 &gt; 0, 100 - $V159, 0)</f>
        <v>0</v>
      </c>
      <c r="X159" s="71">
        <v>0</v>
      </c>
      <c r="Y159" s="71">
        <f>IF($S159 &gt; 0, 100 - $X159 - $Z159, 0)</f>
        <v>0</v>
      </c>
      <c r="Z159" s="72">
        <v>0</v>
      </c>
      <c r="AA159" s="71">
        <v>64</v>
      </c>
      <c r="AB159" s="71">
        <f>IF($T159 &gt; 0, 100 - $AA159 - $AC159, 0)</f>
        <v>21</v>
      </c>
      <c r="AC159" s="72">
        <v>15</v>
      </c>
      <c r="AD159" s="71">
        <v>0</v>
      </c>
      <c r="AE159" s="71">
        <f>IF($U159 &gt; 0, 100 - $AD159 - $AF159, 0)</f>
        <v>0</v>
      </c>
      <c r="AF159" s="72">
        <v>0</v>
      </c>
      <c r="AG159" s="6" t="s">
        <v>43</v>
      </c>
      <c r="AH159" s="6" t="s">
        <v>525</v>
      </c>
      <c r="AI159" s="10"/>
      <c r="AJ159" s="10"/>
      <c r="AN159" s="86"/>
      <c r="AO159" s="86"/>
      <c r="AP159" s="86"/>
      <c r="AQ159" s="86"/>
      <c r="AR159" s="86"/>
      <c r="AS159" s="86"/>
      <c r="AT159" s="86"/>
      <c r="AU159" s="86"/>
    </row>
    <row r="160" spans="1:47" s="6" customFormat="1" ht="12">
      <c r="A160" s="6" t="s">
        <v>563</v>
      </c>
      <c r="B160" s="7" t="s">
        <v>564</v>
      </c>
      <c r="C160" s="8" t="s">
        <v>129</v>
      </c>
      <c r="D160" s="8" t="s">
        <v>413</v>
      </c>
      <c r="E160" s="6" t="s">
        <v>311</v>
      </c>
      <c r="G160" s="6" t="s">
        <v>414</v>
      </c>
      <c r="H160" s="6" t="s">
        <v>522</v>
      </c>
      <c r="J160" s="6">
        <v>0</v>
      </c>
      <c r="K160" s="6">
        <v>45</v>
      </c>
      <c r="L160" s="6" t="s">
        <v>38</v>
      </c>
      <c r="M160" s="6" t="s">
        <v>39</v>
      </c>
      <c r="N160" s="6" t="s">
        <v>523</v>
      </c>
      <c r="P160" s="6">
        <v>0</v>
      </c>
      <c r="Q160" s="28" t="s">
        <v>541</v>
      </c>
      <c r="R160" s="87">
        <v>0</v>
      </c>
      <c r="S160" s="87">
        <f>100 - R160 - U160 - T160</f>
        <v>0</v>
      </c>
      <c r="T160" s="87">
        <v>100</v>
      </c>
      <c r="U160" s="87">
        <v>0</v>
      </c>
      <c r="V160" s="87">
        <v>0</v>
      </c>
      <c r="W160" s="88">
        <f>IF($R160 &gt; 0, 100 - $V160, 0)</f>
        <v>0</v>
      </c>
      <c r="X160" s="71">
        <v>0</v>
      </c>
      <c r="Y160" s="71">
        <f>IF($S160 &gt; 0, 100 - $X160 - $Z160, 0)</f>
        <v>0</v>
      </c>
      <c r="Z160" s="72">
        <v>0</v>
      </c>
      <c r="AA160" s="71">
        <v>40</v>
      </c>
      <c r="AB160" s="71">
        <f>IF($T160 &gt; 0, 100 - $AA160 - $AC160, 0)</f>
        <v>40</v>
      </c>
      <c r="AC160" s="72">
        <v>20</v>
      </c>
      <c r="AD160" s="71">
        <v>0</v>
      </c>
      <c r="AE160" s="71">
        <f>IF($U160 &gt; 0, 100 - $AD160 - $AF160, 0)</f>
        <v>0</v>
      </c>
      <c r="AF160" s="72">
        <v>0</v>
      </c>
      <c r="AG160" s="6" t="s">
        <v>43</v>
      </c>
      <c r="AH160" s="6" t="s">
        <v>525</v>
      </c>
      <c r="AI160" s="10"/>
      <c r="AJ160" s="10"/>
      <c r="AN160" s="86"/>
      <c r="AO160" s="86"/>
      <c r="AP160" s="86"/>
      <c r="AQ160" s="86"/>
      <c r="AR160" s="86"/>
      <c r="AS160" s="86"/>
      <c r="AT160" s="86"/>
      <c r="AU160" s="86"/>
    </row>
    <row r="161" spans="1:47" s="6" customFormat="1" ht="12">
      <c r="A161" s="6" t="s">
        <v>565</v>
      </c>
      <c r="B161" s="7" t="s">
        <v>566</v>
      </c>
      <c r="C161" s="8" t="s">
        <v>129</v>
      </c>
      <c r="D161" s="8" t="s">
        <v>413</v>
      </c>
      <c r="E161" s="6" t="s">
        <v>311</v>
      </c>
      <c r="G161" s="6" t="s">
        <v>414</v>
      </c>
      <c r="H161" s="6" t="s">
        <v>522</v>
      </c>
      <c r="J161" s="6">
        <v>0</v>
      </c>
      <c r="K161" s="6">
        <v>45</v>
      </c>
      <c r="L161" s="6" t="s">
        <v>38</v>
      </c>
      <c r="M161" s="6" t="s">
        <v>39</v>
      </c>
      <c r="N161" s="6" t="s">
        <v>523</v>
      </c>
      <c r="P161" s="6">
        <v>0</v>
      </c>
      <c r="Q161" s="28" t="s">
        <v>558</v>
      </c>
      <c r="R161" s="87">
        <v>0</v>
      </c>
      <c r="S161" s="87">
        <f>100 - R161 - U161 - T161</f>
        <v>0</v>
      </c>
      <c r="T161" s="87">
        <v>100</v>
      </c>
      <c r="U161" s="88">
        <v>0</v>
      </c>
      <c r="V161" s="87">
        <v>0</v>
      </c>
      <c r="W161" s="88">
        <f>IF($R161 &gt; 0, 100 - $V161, 0)</f>
        <v>0</v>
      </c>
      <c r="X161" s="71">
        <v>0</v>
      </c>
      <c r="Y161" s="71">
        <f>IF($S161 &gt; 0, 100 - $X161 - $Z161, 0)</f>
        <v>0</v>
      </c>
      <c r="Z161" s="72">
        <v>0</v>
      </c>
      <c r="AA161" s="71">
        <v>67.5</v>
      </c>
      <c r="AB161" s="71">
        <f>IF($T161 &gt; 0, 100 - $AA161 - $AC161, 0)</f>
        <v>22.5</v>
      </c>
      <c r="AC161" s="72">
        <v>10</v>
      </c>
      <c r="AD161" s="71">
        <v>0</v>
      </c>
      <c r="AE161" s="71">
        <f>IF($U161 &gt; 0, 100 - $AD161 - $AF161, 0)</f>
        <v>0</v>
      </c>
      <c r="AF161" s="72">
        <v>0</v>
      </c>
      <c r="AG161" s="6" t="s">
        <v>43</v>
      </c>
      <c r="AH161" s="6" t="s">
        <v>525</v>
      </c>
      <c r="AI161" s="10"/>
      <c r="AJ161" s="10"/>
      <c r="AN161" s="86"/>
      <c r="AO161" s="86"/>
      <c r="AP161" s="86"/>
      <c r="AQ161" s="86"/>
      <c r="AR161" s="86"/>
      <c r="AS161" s="86"/>
      <c r="AT161" s="86"/>
      <c r="AU161" s="86"/>
    </row>
    <row r="162" spans="1:47" s="6" customFormat="1" ht="12">
      <c r="A162" s="6" t="s">
        <v>567</v>
      </c>
      <c r="B162" s="7" t="s">
        <v>568</v>
      </c>
      <c r="C162" s="8" t="s">
        <v>129</v>
      </c>
      <c r="D162" s="8" t="s">
        <v>413</v>
      </c>
      <c r="E162" s="6" t="s">
        <v>311</v>
      </c>
      <c r="G162" s="6" t="s">
        <v>414</v>
      </c>
      <c r="H162" s="6" t="s">
        <v>522</v>
      </c>
      <c r="J162" s="6">
        <v>0</v>
      </c>
      <c r="K162" s="6">
        <v>45</v>
      </c>
      <c r="L162" s="6" t="s">
        <v>38</v>
      </c>
      <c r="M162" s="6" t="s">
        <v>39</v>
      </c>
      <c r="N162" s="6" t="s">
        <v>523</v>
      </c>
      <c r="P162" s="6">
        <v>0</v>
      </c>
      <c r="Q162" s="28" t="s">
        <v>558</v>
      </c>
      <c r="R162" s="87">
        <v>0</v>
      </c>
      <c r="S162" s="87">
        <f>100 - R162 - U162 - T162</f>
        <v>0</v>
      </c>
      <c r="T162" s="87">
        <v>100</v>
      </c>
      <c r="U162" s="88">
        <v>0</v>
      </c>
      <c r="V162" s="87">
        <v>0</v>
      </c>
      <c r="W162" s="88">
        <f>IF($R162 &gt; 0, 100 - $V162, 0)</f>
        <v>0</v>
      </c>
      <c r="X162" s="71">
        <v>0</v>
      </c>
      <c r="Y162" s="71">
        <f>IF($S162 &gt; 0, 100 - $X162 - $Z162, 0)</f>
        <v>0</v>
      </c>
      <c r="Z162" s="72">
        <v>0</v>
      </c>
      <c r="AA162" s="71">
        <v>78</v>
      </c>
      <c r="AB162" s="71">
        <f>IF($T162 &gt; 0, 100 - $AA162 - $AC162, 0)</f>
        <v>7</v>
      </c>
      <c r="AC162" s="72">
        <v>15</v>
      </c>
      <c r="AD162" s="71">
        <v>0</v>
      </c>
      <c r="AE162" s="71">
        <f>IF($U162 &gt; 0, 100 - $AD162 - $AF162, 0)</f>
        <v>0</v>
      </c>
      <c r="AF162" s="72">
        <v>0</v>
      </c>
      <c r="AG162" s="6" t="s">
        <v>43</v>
      </c>
      <c r="AH162" s="6" t="s">
        <v>525</v>
      </c>
      <c r="AI162" s="10"/>
      <c r="AJ162" s="10"/>
      <c r="AN162" s="86"/>
      <c r="AO162" s="86"/>
      <c r="AP162" s="86"/>
      <c r="AQ162" s="86"/>
      <c r="AR162" s="86"/>
      <c r="AS162" s="86"/>
      <c r="AT162" s="86"/>
      <c r="AU162" s="86"/>
    </row>
    <row r="163" spans="1:47" s="6" customFormat="1" ht="12">
      <c r="A163" s="6" t="s">
        <v>569</v>
      </c>
      <c r="B163" s="7" t="s">
        <v>570</v>
      </c>
      <c r="C163" s="8" t="s">
        <v>129</v>
      </c>
      <c r="D163" s="8" t="s">
        <v>413</v>
      </c>
      <c r="E163" s="6" t="s">
        <v>311</v>
      </c>
      <c r="G163" s="6" t="s">
        <v>414</v>
      </c>
      <c r="H163" s="6" t="s">
        <v>522</v>
      </c>
      <c r="J163" s="6">
        <v>0</v>
      </c>
      <c r="K163" s="6">
        <v>45</v>
      </c>
      <c r="L163" s="6" t="s">
        <v>38</v>
      </c>
      <c r="M163" s="6" t="s">
        <v>39</v>
      </c>
      <c r="N163" s="6" t="s">
        <v>523</v>
      </c>
      <c r="P163" s="6">
        <v>0</v>
      </c>
      <c r="Q163" s="28" t="s">
        <v>558</v>
      </c>
      <c r="R163" s="87">
        <v>0</v>
      </c>
      <c r="S163" s="87">
        <f>100 - R163 - U163 - T163</f>
        <v>0</v>
      </c>
      <c r="T163" s="87">
        <v>100</v>
      </c>
      <c r="U163" s="88">
        <v>0</v>
      </c>
      <c r="V163" s="87">
        <v>0</v>
      </c>
      <c r="W163" s="88">
        <f>IF($R163 &gt; 0, 100 - $V163, 0)</f>
        <v>0</v>
      </c>
      <c r="X163" s="71">
        <v>0</v>
      </c>
      <c r="Y163" s="71">
        <f>IF($S163 &gt; 0, 100 - $X163 - $Z163, 0)</f>
        <v>0</v>
      </c>
      <c r="Z163" s="72">
        <v>0</v>
      </c>
      <c r="AA163" s="71">
        <v>60</v>
      </c>
      <c r="AB163" s="71">
        <f>IF($T163 &gt; 0, 100 - $AA163 - $AC163, 0)</f>
        <v>20</v>
      </c>
      <c r="AC163" s="72">
        <v>20</v>
      </c>
      <c r="AD163" s="71">
        <v>0</v>
      </c>
      <c r="AE163" s="71">
        <f>IF($U163 &gt; 0, 100 - $AD163 - $AF163, 0)</f>
        <v>0</v>
      </c>
      <c r="AF163" s="72">
        <v>0</v>
      </c>
      <c r="AG163" s="6" t="s">
        <v>43</v>
      </c>
      <c r="AH163" s="6" t="s">
        <v>525</v>
      </c>
      <c r="AI163" s="10"/>
      <c r="AJ163" s="10"/>
      <c r="AN163" s="86"/>
      <c r="AO163" s="86"/>
      <c r="AP163" s="86"/>
      <c r="AQ163" s="86"/>
      <c r="AR163" s="86"/>
      <c r="AS163" s="86"/>
      <c r="AT163" s="86"/>
      <c r="AU163" s="86"/>
    </row>
    <row r="164" spans="1:47" s="6" customFormat="1" ht="12">
      <c r="A164" s="6" t="s">
        <v>571</v>
      </c>
      <c r="B164" s="7" t="s">
        <v>572</v>
      </c>
      <c r="C164" s="8" t="s">
        <v>129</v>
      </c>
      <c r="D164" s="8" t="s">
        <v>413</v>
      </c>
      <c r="E164" s="6" t="s">
        <v>311</v>
      </c>
      <c r="G164" s="6" t="s">
        <v>414</v>
      </c>
      <c r="H164" s="6" t="s">
        <v>522</v>
      </c>
      <c r="J164" s="6">
        <v>0</v>
      </c>
      <c r="K164" s="6">
        <v>45</v>
      </c>
      <c r="L164" s="6" t="s">
        <v>38</v>
      </c>
      <c r="M164" s="6" t="s">
        <v>39</v>
      </c>
      <c r="N164" s="6" t="s">
        <v>523</v>
      </c>
      <c r="P164" s="6">
        <v>0</v>
      </c>
      <c r="Q164" s="28" t="s">
        <v>558</v>
      </c>
      <c r="R164" s="87">
        <v>0</v>
      </c>
      <c r="S164" s="87">
        <f>100 - R164 - U164 - T164</f>
        <v>0</v>
      </c>
      <c r="T164" s="87">
        <v>100</v>
      </c>
      <c r="U164" s="88">
        <v>0</v>
      </c>
      <c r="V164" s="87">
        <v>0</v>
      </c>
      <c r="W164" s="88">
        <f>IF($R164 &gt; 0, 100 - $V164, 0)</f>
        <v>0</v>
      </c>
      <c r="X164" s="71">
        <v>0</v>
      </c>
      <c r="Y164" s="71">
        <f>IF($S164 &gt; 0, 100 - $X164 - $Z164, 0)</f>
        <v>0</v>
      </c>
      <c r="Z164" s="72">
        <v>0</v>
      </c>
      <c r="AA164" s="71">
        <v>60</v>
      </c>
      <c r="AB164" s="71">
        <f>IF($T164 &gt; 0, 100 - $AA164 - $AC164, 0)</f>
        <v>20</v>
      </c>
      <c r="AC164" s="72">
        <v>20</v>
      </c>
      <c r="AD164" s="71">
        <v>0</v>
      </c>
      <c r="AE164" s="71">
        <f>IF($U164 &gt; 0, 100 - $AD164 - $AF164, 0)</f>
        <v>0</v>
      </c>
      <c r="AF164" s="72">
        <v>0</v>
      </c>
      <c r="AG164" s="6" t="s">
        <v>43</v>
      </c>
      <c r="AH164" s="6" t="s">
        <v>525</v>
      </c>
      <c r="AI164" s="10"/>
      <c r="AJ164" s="10"/>
      <c r="AN164" s="86"/>
      <c r="AO164" s="86"/>
      <c r="AP164" s="86"/>
      <c r="AQ164" s="86"/>
      <c r="AR164" s="86"/>
      <c r="AS164" s="86"/>
      <c r="AT164" s="86"/>
      <c r="AU164" s="86"/>
    </row>
    <row r="165" spans="1:47" s="6" customFormat="1" ht="12">
      <c r="A165" s="6" t="s">
        <v>573</v>
      </c>
      <c r="B165" s="7" t="s">
        <v>574</v>
      </c>
      <c r="C165" s="8" t="s">
        <v>129</v>
      </c>
      <c r="D165" s="8" t="s">
        <v>413</v>
      </c>
      <c r="E165" s="6" t="s">
        <v>311</v>
      </c>
      <c r="G165" s="6" t="s">
        <v>414</v>
      </c>
      <c r="H165" s="6" t="s">
        <v>522</v>
      </c>
      <c r="J165" s="6">
        <v>0</v>
      </c>
      <c r="K165" s="6">
        <v>45</v>
      </c>
      <c r="L165" s="6" t="s">
        <v>38</v>
      </c>
      <c r="M165" s="6" t="s">
        <v>39</v>
      </c>
      <c r="N165" s="6" t="s">
        <v>523</v>
      </c>
      <c r="P165" s="6">
        <v>0</v>
      </c>
      <c r="Q165" s="28" t="s">
        <v>541</v>
      </c>
      <c r="R165" s="87">
        <v>0</v>
      </c>
      <c r="S165" s="87">
        <f>100 - R165 - U165 - T165</f>
        <v>0</v>
      </c>
      <c r="T165" s="87">
        <v>100</v>
      </c>
      <c r="U165" s="88">
        <v>0</v>
      </c>
      <c r="V165" s="87">
        <v>0</v>
      </c>
      <c r="W165" s="88">
        <f>IF($R165 &gt; 0, 100 - $V165, 0)</f>
        <v>0</v>
      </c>
      <c r="X165" s="71">
        <v>0</v>
      </c>
      <c r="Y165" s="71">
        <f>IF($S165 &gt; 0, 100 - $X165 - $Z165, 0)</f>
        <v>0</v>
      </c>
      <c r="Z165" s="72">
        <v>0</v>
      </c>
      <c r="AA165" s="71">
        <v>48</v>
      </c>
      <c r="AB165" s="71">
        <f>IF($T165 &gt; 0, 100 - $AA165 - $AC165, 0)</f>
        <v>32</v>
      </c>
      <c r="AC165" s="72">
        <v>20</v>
      </c>
      <c r="AD165" s="71">
        <v>0</v>
      </c>
      <c r="AE165" s="71">
        <f>IF($U165 &gt; 0, 100 - $AD165 - $AF165, 0)</f>
        <v>0</v>
      </c>
      <c r="AF165" s="72">
        <v>0</v>
      </c>
      <c r="AG165" s="6" t="s">
        <v>43</v>
      </c>
      <c r="AH165" s="6" t="s">
        <v>525</v>
      </c>
      <c r="AI165" s="10"/>
      <c r="AJ165" s="10"/>
      <c r="AN165" s="86"/>
      <c r="AO165" s="86"/>
      <c r="AP165" s="86"/>
      <c r="AQ165" s="86"/>
      <c r="AR165" s="86"/>
      <c r="AS165" s="86"/>
      <c r="AT165" s="86"/>
      <c r="AU165" s="86"/>
    </row>
    <row r="166" spans="1:47" s="6" customFormat="1" ht="12">
      <c r="A166" s="6" t="s">
        <v>575</v>
      </c>
      <c r="B166" s="7" t="s">
        <v>576</v>
      </c>
      <c r="C166" s="8" t="s">
        <v>129</v>
      </c>
      <c r="D166" s="8" t="s">
        <v>413</v>
      </c>
      <c r="E166" s="6" t="s">
        <v>311</v>
      </c>
      <c r="G166" s="6" t="s">
        <v>414</v>
      </c>
      <c r="H166" s="6" t="s">
        <v>522</v>
      </c>
      <c r="J166" s="6">
        <v>0</v>
      </c>
      <c r="K166" s="6">
        <v>45</v>
      </c>
      <c r="L166" s="6" t="s">
        <v>38</v>
      </c>
      <c r="M166" s="6" t="s">
        <v>39</v>
      </c>
      <c r="N166" s="6" t="s">
        <v>523</v>
      </c>
      <c r="P166" s="6">
        <v>0</v>
      </c>
      <c r="Q166" s="28" t="s">
        <v>558</v>
      </c>
      <c r="R166" s="87">
        <v>0</v>
      </c>
      <c r="S166" s="87">
        <f>100 - R166 - U166 - T166</f>
        <v>0</v>
      </c>
      <c r="T166" s="87">
        <v>100</v>
      </c>
      <c r="U166" s="87">
        <v>0</v>
      </c>
      <c r="V166" s="87">
        <v>0</v>
      </c>
      <c r="W166" s="88">
        <f>IF($R166 &gt; 0, 100 - $V166, 0)</f>
        <v>0</v>
      </c>
      <c r="X166" s="71">
        <v>0</v>
      </c>
      <c r="Y166" s="71">
        <f>IF($S166 &gt; 0, 100 - $X166 - $Z166, 0)</f>
        <v>0</v>
      </c>
      <c r="Z166" s="72">
        <v>0</v>
      </c>
      <c r="AA166" s="71">
        <v>45</v>
      </c>
      <c r="AB166" s="71">
        <f>IF($T166 &gt; 0, 100 - $AA166 - $AC166, 0)</f>
        <v>30</v>
      </c>
      <c r="AC166" s="72">
        <v>25</v>
      </c>
      <c r="AD166" s="71">
        <v>0</v>
      </c>
      <c r="AE166" s="71">
        <f>IF($U166 &gt; 0, 100 - $AD166 - $AF166, 0)</f>
        <v>0</v>
      </c>
      <c r="AF166" s="72">
        <v>0</v>
      </c>
      <c r="AG166" s="6" t="s">
        <v>43</v>
      </c>
      <c r="AH166" s="6" t="s">
        <v>525</v>
      </c>
      <c r="AI166" s="10"/>
      <c r="AJ166" s="10"/>
      <c r="AN166" s="86"/>
      <c r="AO166" s="86"/>
      <c r="AP166" s="86"/>
      <c r="AQ166" s="86"/>
      <c r="AR166" s="86"/>
      <c r="AS166" s="86"/>
      <c r="AT166" s="86"/>
      <c r="AU166" s="86"/>
    </row>
    <row r="167" spans="1:47" s="6" customFormat="1" ht="12">
      <c r="A167" s="6" t="s">
        <v>577</v>
      </c>
      <c r="B167" s="7" t="s">
        <v>578</v>
      </c>
      <c r="C167" s="8" t="s">
        <v>129</v>
      </c>
      <c r="D167" s="8" t="s">
        <v>413</v>
      </c>
      <c r="E167" s="6" t="s">
        <v>311</v>
      </c>
      <c r="G167" s="6" t="s">
        <v>414</v>
      </c>
      <c r="H167" s="6" t="s">
        <v>522</v>
      </c>
      <c r="J167" s="6">
        <v>0</v>
      </c>
      <c r="K167" s="6">
        <v>45</v>
      </c>
      <c r="L167" s="6" t="s">
        <v>38</v>
      </c>
      <c r="M167" s="6" t="s">
        <v>39</v>
      </c>
      <c r="N167" s="6" t="s">
        <v>523</v>
      </c>
      <c r="P167" s="6">
        <v>0</v>
      </c>
      <c r="Q167" s="28" t="s">
        <v>558</v>
      </c>
      <c r="R167" s="87">
        <v>0</v>
      </c>
      <c r="S167" s="87">
        <f>100 - R167 - U167 - T167</f>
        <v>0</v>
      </c>
      <c r="T167" s="87">
        <v>100</v>
      </c>
      <c r="U167" s="88">
        <v>0</v>
      </c>
      <c r="V167" s="87">
        <v>0</v>
      </c>
      <c r="W167" s="88">
        <f>IF($R167 &gt; 0, 100 - $V167, 0)</f>
        <v>0</v>
      </c>
      <c r="X167" s="71">
        <v>0</v>
      </c>
      <c r="Y167" s="71">
        <f>IF($S167 &gt; 0, 100 - $X167 - $Z167, 0)</f>
        <v>0</v>
      </c>
      <c r="Z167" s="72">
        <v>0</v>
      </c>
      <c r="AA167" s="71">
        <v>52.5</v>
      </c>
      <c r="AB167" s="71">
        <f>IF($T167 &gt; 0, 100 - $AA167 - $AC167, 0)</f>
        <v>17.5</v>
      </c>
      <c r="AC167" s="72">
        <v>30</v>
      </c>
      <c r="AD167" s="71">
        <v>0</v>
      </c>
      <c r="AE167" s="71">
        <f>IF($U167 &gt; 0, 100 - $AD167 - $AF167, 0)</f>
        <v>0</v>
      </c>
      <c r="AF167" s="72">
        <v>0</v>
      </c>
      <c r="AG167" s="6" t="s">
        <v>43</v>
      </c>
      <c r="AH167" s="6" t="s">
        <v>525</v>
      </c>
      <c r="AI167" s="10"/>
      <c r="AJ167" s="10"/>
      <c r="AN167" s="86"/>
      <c r="AO167" s="86"/>
      <c r="AP167" s="86"/>
      <c r="AQ167" s="86"/>
      <c r="AR167" s="86"/>
      <c r="AS167" s="86"/>
      <c r="AT167" s="86"/>
      <c r="AU167" s="86"/>
    </row>
    <row r="168" spans="1:47" s="6" customFormat="1" ht="12">
      <c r="A168" s="6" t="s">
        <v>579</v>
      </c>
      <c r="B168" s="7" t="s">
        <v>580</v>
      </c>
      <c r="C168" s="8" t="s">
        <v>129</v>
      </c>
      <c r="D168" s="8" t="s">
        <v>413</v>
      </c>
      <c r="E168" s="6" t="s">
        <v>311</v>
      </c>
      <c r="G168" s="6" t="s">
        <v>414</v>
      </c>
      <c r="H168" s="6" t="s">
        <v>522</v>
      </c>
      <c r="J168" s="6">
        <v>0</v>
      </c>
      <c r="K168" s="6">
        <v>45</v>
      </c>
      <c r="L168" s="6" t="s">
        <v>38</v>
      </c>
      <c r="M168" s="6" t="s">
        <v>39</v>
      </c>
      <c r="N168" s="6" t="s">
        <v>523</v>
      </c>
      <c r="P168" s="6">
        <v>0</v>
      </c>
      <c r="Q168" s="28" t="s">
        <v>541</v>
      </c>
      <c r="R168" s="87">
        <v>0</v>
      </c>
      <c r="S168" s="87">
        <f>100 - R168 - U168 - T168</f>
        <v>0</v>
      </c>
      <c r="T168" s="87">
        <v>100</v>
      </c>
      <c r="U168" s="88">
        <v>0</v>
      </c>
      <c r="V168" s="87">
        <v>0</v>
      </c>
      <c r="W168" s="88">
        <f>IF($R168 &gt; 0, 100 - $V168, 0)</f>
        <v>0</v>
      </c>
      <c r="X168" s="71">
        <v>0</v>
      </c>
      <c r="Y168" s="71">
        <f>IF($S168 &gt; 0, 100 - $X168 - $Z168, 0)</f>
        <v>0</v>
      </c>
      <c r="Z168" s="72">
        <v>0</v>
      </c>
      <c r="AA168" s="71">
        <v>21</v>
      </c>
      <c r="AB168" s="71">
        <f>IF($T168 &gt; 0, 100 - $AA168 - $AC168, 0)</f>
        <v>49</v>
      </c>
      <c r="AC168" s="72">
        <v>30</v>
      </c>
      <c r="AD168" s="71">
        <v>0</v>
      </c>
      <c r="AE168" s="71">
        <f>IF($U168 &gt; 0, 100 - $AD168 - $AF168, 0)</f>
        <v>0</v>
      </c>
      <c r="AF168" s="72">
        <v>0</v>
      </c>
      <c r="AG168" s="6" t="s">
        <v>43</v>
      </c>
      <c r="AH168" s="6" t="s">
        <v>525</v>
      </c>
      <c r="AI168" s="10"/>
      <c r="AJ168" s="10"/>
      <c r="AN168" s="86"/>
      <c r="AO168" s="86"/>
      <c r="AP168" s="86"/>
      <c r="AQ168" s="86"/>
      <c r="AR168" s="86"/>
      <c r="AS168" s="86"/>
      <c r="AT168" s="86"/>
      <c r="AU168" s="86"/>
    </row>
    <row r="169" spans="1:47" s="6" customFormat="1" ht="12">
      <c r="A169" s="6" t="s">
        <v>581</v>
      </c>
      <c r="B169" s="7" t="s">
        <v>582</v>
      </c>
      <c r="C169" s="8" t="s">
        <v>129</v>
      </c>
      <c r="D169" s="8" t="s">
        <v>413</v>
      </c>
      <c r="E169" s="6" t="s">
        <v>311</v>
      </c>
      <c r="G169" s="6" t="s">
        <v>414</v>
      </c>
      <c r="H169" s="6" t="s">
        <v>522</v>
      </c>
      <c r="J169" s="6">
        <v>0</v>
      </c>
      <c r="K169" s="6">
        <v>45</v>
      </c>
      <c r="L169" s="6" t="s">
        <v>38</v>
      </c>
      <c r="M169" s="6" t="s">
        <v>39</v>
      </c>
      <c r="N169" s="6" t="s">
        <v>523</v>
      </c>
      <c r="P169" s="6">
        <v>0</v>
      </c>
      <c r="Q169" s="28" t="s">
        <v>541</v>
      </c>
      <c r="R169" s="87">
        <v>0</v>
      </c>
      <c r="S169" s="87">
        <f>100 - R169 - U169 - T169</f>
        <v>0</v>
      </c>
      <c r="T169" s="87">
        <v>100</v>
      </c>
      <c r="U169" s="88">
        <v>0</v>
      </c>
      <c r="V169" s="87">
        <v>0</v>
      </c>
      <c r="W169" s="88">
        <f>IF($R169 &gt; 0, 100 - $V169, 0)</f>
        <v>0</v>
      </c>
      <c r="X169" s="71">
        <v>0</v>
      </c>
      <c r="Y169" s="71">
        <f>IF($S169 &gt; 0, 100 - $X169 - $Z169, 0)</f>
        <v>0</v>
      </c>
      <c r="Z169" s="72">
        <v>0</v>
      </c>
      <c r="AA169" s="71">
        <v>42</v>
      </c>
      <c r="AB169" s="71">
        <f>IF($T169 &gt; 0, 100 - $AA169 - $AC169, 0)</f>
        <v>28</v>
      </c>
      <c r="AC169" s="72">
        <v>30</v>
      </c>
      <c r="AD169" s="71">
        <v>0</v>
      </c>
      <c r="AE169" s="71">
        <f>IF($U169 &gt; 0, 100 - $AD169 - $AF169, 0)</f>
        <v>0</v>
      </c>
      <c r="AF169" s="72">
        <v>0</v>
      </c>
      <c r="AG169" s="6" t="s">
        <v>43</v>
      </c>
      <c r="AH169" s="6" t="s">
        <v>525</v>
      </c>
      <c r="AI169" s="10"/>
      <c r="AJ169" s="10"/>
      <c r="AN169" s="86"/>
      <c r="AO169" s="86"/>
      <c r="AP169" s="86"/>
      <c r="AQ169" s="86"/>
      <c r="AR169" s="86"/>
      <c r="AS169" s="86"/>
      <c r="AT169" s="86"/>
      <c r="AU169" s="86"/>
    </row>
    <row r="170" spans="1:47" s="6" customFormat="1" ht="12">
      <c r="A170" s="6" t="s">
        <v>583</v>
      </c>
      <c r="B170" s="7" t="s">
        <v>584</v>
      </c>
      <c r="C170" s="8" t="s">
        <v>129</v>
      </c>
      <c r="D170" s="8" t="s">
        <v>413</v>
      </c>
      <c r="E170" s="6" t="s">
        <v>311</v>
      </c>
      <c r="G170" s="6" t="s">
        <v>414</v>
      </c>
      <c r="H170" s="6" t="s">
        <v>522</v>
      </c>
      <c r="J170" s="6">
        <v>0</v>
      </c>
      <c r="K170" s="6">
        <v>45</v>
      </c>
      <c r="L170" s="6" t="s">
        <v>38</v>
      </c>
      <c r="M170" s="6" t="s">
        <v>39</v>
      </c>
      <c r="N170" s="6" t="s">
        <v>523</v>
      </c>
      <c r="P170" s="6">
        <v>0</v>
      </c>
      <c r="Q170" s="28" t="s">
        <v>541</v>
      </c>
      <c r="R170" s="87">
        <v>0</v>
      </c>
      <c r="S170" s="87">
        <f>100 - R170 - U170 - T170</f>
        <v>0</v>
      </c>
      <c r="T170" s="87">
        <v>100</v>
      </c>
      <c r="U170" s="88">
        <v>0</v>
      </c>
      <c r="V170" s="87">
        <v>0</v>
      </c>
      <c r="W170" s="88">
        <f>IF($R170 &gt; 0, 100 - $V170, 0)</f>
        <v>0</v>
      </c>
      <c r="X170" s="71">
        <v>0</v>
      </c>
      <c r="Y170" s="71">
        <f>IF($S170 &gt; 0, 100 - $X170 - $Z170, 0)</f>
        <v>0</v>
      </c>
      <c r="Z170" s="72">
        <v>0</v>
      </c>
      <c r="AA170" s="71">
        <v>46</v>
      </c>
      <c r="AB170" s="71">
        <f>IF($T170 &gt; 0, 100 - $AA170 - $AC170, 0)</f>
        <v>19</v>
      </c>
      <c r="AC170" s="72">
        <v>35</v>
      </c>
      <c r="AD170" s="71">
        <v>0</v>
      </c>
      <c r="AE170" s="71">
        <f>IF($U170 &gt; 0, 100 - $AD170 - $AF170, 0)</f>
        <v>0</v>
      </c>
      <c r="AF170" s="72">
        <v>0</v>
      </c>
      <c r="AG170" s="6" t="s">
        <v>43</v>
      </c>
      <c r="AH170" s="6" t="s">
        <v>525</v>
      </c>
      <c r="AI170" s="10"/>
      <c r="AJ170" s="10"/>
      <c r="AN170" s="86"/>
      <c r="AO170" s="86"/>
      <c r="AP170" s="86"/>
      <c r="AQ170" s="86"/>
      <c r="AR170" s="86"/>
      <c r="AS170" s="86"/>
      <c r="AT170" s="86"/>
      <c r="AU170" s="86"/>
    </row>
    <row r="171" spans="1:47" s="6" customFormat="1" ht="12">
      <c r="A171" s="6" t="s">
        <v>585</v>
      </c>
      <c r="B171" s="7" t="s">
        <v>586</v>
      </c>
      <c r="C171" s="8" t="s">
        <v>129</v>
      </c>
      <c r="D171" s="8" t="s">
        <v>413</v>
      </c>
      <c r="E171" s="6" t="s">
        <v>311</v>
      </c>
      <c r="G171" s="6" t="s">
        <v>414</v>
      </c>
      <c r="H171" s="6" t="s">
        <v>522</v>
      </c>
      <c r="J171" s="6">
        <v>0</v>
      </c>
      <c r="K171" s="6">
        <v>45</v>
      </c>
      <c r="L171" s="6" t="s">
        <v>38</v>
      </c>
      <c r="M171" s="6" t="s">
        <v>39</v>
      </c>
      <c r="N171" s="6" t="s">
        <v>523</v>
      </c>
      <c r="P171" s="6">
        <v>0</v>
      </c>
      <c r="Q171" s="28" t="s">
        <v>541</v>
      </c>
      <c r="R171" s="87">
        <v>0</v>
      </c>
      <c r="S171" s="87">
        <f>100 - R171 - U171 - T171</f>
        <v>0</v>
      </c>
      <c r="T171" s="87">
        <v>100</v>
      </c>
      <c r="U171" s="88">
        <v>0</v>
      </c>
      <c r="V171" s="87">
        <v>0</v>
      </c>
      <c r="W171" s="88">
        <f>IF($R171 &gt; 0, 100 - $V171, 0)</f>
        <v>0</v>
      </c>
      <c r="X171" s="71">
        <v>0</v>
      </c>
      <c r="Y171" s="71">
        <f>IF($S171 &gt; 0, 100 - $X171 - $Z171, 0)</f>
        <v>0</v>
      </c>
      <c r="Z171" s="72">
        <v>0</v>
      </c>
      <c r="AA171" s="71">
        <v>45</v>
      </c>
      <c r="AB171" s="71">
        <f>IF($T171 &gt; 0, 100 - $AA171 - $AC171, 0)</f>
        <v>15</v>
      </c>
      <c r="AC171" s="72">
        <v>40</v>
      </c>
      <c r="AD171" s="71">
        <v>0</v>
      </c>
      <c r="AE171" s="71">
        <f>IF($U171 &gt; 0, 100 - $AD171 - $AF171, 0)</f>
        <v>0</v>
      </c>
      <c r="AF171" s="72">
        <v>0</v>
      </c>
      <c r="AG171" s="6" t="s">
        <v>43</v>
      </c>
      <c r="AH171" s="6" t="s">
        <v>525</v>
      </c>
      <c r="AI171" s="10"/>
      <c r="AJ171" s="10"/>
      <c r="AN171" s="86"/>
      <c r="AO171" s="86"/>
      <c r="AP171" s="86"/>
      <c r="AQ171" s="86"/>
      <c r="AR171" s="86"/>
      <c r="AS171" s="86"/>
      <c r="AT171" s="86"/>
      <c r="AU171" s="86"/>
    </row>
    <row r="172" spans="1:47" s="6" customFormat="1" ht="12">
      <c r="A172" s="6" t="s">
        <v>587</v>
      </c>
      <c r="B172" s="7" t="s">
        <v>588</v>
      </c>
      <c r="C172" s="8" t="s">
        <v>129</v>
      </c>
      <c r="D172" s="8" t="s">
        <v>413</v>
      </c>
      <c r="E172" s="6" t="s">
        <v>311</v>
      </c>
      <c r="G172" s="6" t="s">
        <v>414</v>
      </c>
      <c r="H172" s="6" t="s">
        <v>522</v>
      </c>
      <c r="J172" s="6">
        <v>0</v>
      </c>
      <c r="K172" s="6">
        <v>45</v>
      </c>
      <c r="L172" s="6" t="s">
        <v>38</v>
      </c>
      <c r="M172" s="6" t="s">
        <v>39</v>
      </c>
      <c r="N172" s="6" t="s">
        <v>523</v>
      </c>
      <c r="P172" s="6">
        <v>0</v>
      </c>
      <c r="Q172" s="28" t="s">
        <v>541</v>
      </c>
      <c r="R172" s="87">
        <v>0</v>
      </c>
      <c r="S172" s="87">
        <f>100 - R172 - U172 - T172</f>
        <v>0</v>
      </c>
      <c r="T172" s="87">
        <v>100</v>
      </c>
      <c r="U172" s="88">
        <v>0</v>
      </c>
      <c r="V172" s="87">
        <v>0</v>
      </c>
      <c r="W172" s="88">
        <f>IF($R172 &gt; 0, 100 - $V172, 0)</f>
        <v>0</v>
      </c>
      <c r="X172" s="71">
        <v>0</v>
      </c>
      <c r="Y172" s="71">
        <f>IF($S172 &gt; 0, 100 - $X172 - $Z172, 0)</f>
        <v>0</v>
      </c>
      <c r="Z172" s="72">
        <v>0</v>
      </c>
      <c r="AA172" s="71">
        <v>36</v>
      </c>
      <c r="AB172" s="71">
        <f>IF($T172 &gt; 0, 100 - $AA172 - $AC172, 0)</f>
        <v>24</v>
      </c>
      <c r="AC172" s="72">
        <v>40</v>
      </c>
      <c r="AD172" s="71">
        <v>0</v>
      </c>
      <c r="AE172" s="71">
        <f>IF($U172 &gt; 0, 100 - $AD172 - $AF172, 0)</f>
        <v>0</v>
      </c>
      <c r="AF172" s="72">
        <v>0</v>
      </c>
      <c r="AG172" s="6" t="s">
        <v>43</v>
      </c>
      <c r="AH172" s="6" t="s">
        <v>525</v>
      </c>
      <c r="AI172" s="10"/>
      <c r="AJ172" s="10"/>
      <c r="AN172" s="86"/>
      <c r="AO172" s="86"/>
      <c r="AP172" s="86"/>
      <c r="AQ172" s="86"/>
      <c r="AR172" s="86"/>
      <c r="AS172" s="86"/>
      <c r="AT172" s="86"/>
      <c r="AU172" s="86"/>
    </row>
    <row r="173" spans="1:47" s="6" customFormat="1" ht="12">
      <c r="A173" s="6" t="s">
        <v>589</v>
      </c>
      <c r="B173" s="7" t="s">
        <v>590</v>
      </c>
      <c r="C173" s="8" t="s">
        <v>129</v>
      </c>
      <c r="D173" s="8" t="s">
        <v>413</v>
      </c>
      <c r="E173" s="6" t="s">
        <v>311</v>
      </c>
      <c r="G173" s="6" t="s">
        <v>414</v>
      </c>
      <c r="H173" s="6" t="s">
        <v>522</v>
      </c>
      <c r="J173" s="6">
        <v>0</v>
      </c>
      <c r="K173" s="6">
        <v>45</v>
      </c>
      <c r="L173" s="6" t="s">
        <v>38</v>
      </c>
      <c r="M173" s="6" t="s">
        <v>39</v>
      </c>
      <c r="N173" s="6" t="s">
        <v>523</v>
      </c>
      <c r="P173" s="6">
        <v>0</v>
      </c>
      <c r="Q173" s="28" t="s">
        <v>541</v>
      </c>
      <c r="R173" s="87">
        <v>0</v>
      </c>
      <c r="S173" s="87">
        <f>100 - R173 - U173 - T173</f>
        <v>0</v>
      </c>
      <c r="T173" s="87">
        <v>100</v>
      </c>
      <c r="U173" s="88">
        <v>0</v>
      </c>
      <c r="V173" s="87">
        <v>0</v>
      </c>
      <c r="W173" s="88">
        <f>IF($R173 &gt; 0, 100 - $V173, 0)</f>
        <v>0</v>
      </c>
      <c r="X173" s="71">
        <v>0</v>
      </c>
      <c r="Y173" s="71">
        <f>IF($S173 &gt; 0, 100 - $X173 - $Z173, 0)</f>
        <v>0</v>
      </c>
      <c r="Z173" s="72">
        <v>0</v>
      </c>
      <c r="AA173" s="71">
        <v>35</v>
      </c>
      <c r="AB173" s="71">
        <f>IF($T173 &gt; 0, 100 - $AA173 - $AC173, 0)</f>
        <v>35</v>
      </c>
      <c r="AC173" s="72">
        <v>30</v>
      </c>
      <c r="AD173" s="71">
        <v>0</v>
      </c>
      <c r="AE173" s="71">
        <f>IF($U173 &gt; 0, 100 - $AD173 - $AF173, 0)</f>
        <v>0</v>
      </c>
      <c r="AF173" s="72">
        <v>0</v>
      </c>
      <c r="AG173" s="6" t="s">
        <v>43</v>
      </c>
      <c r="AH173" s="6" t="s">
        <v>525</v>
      </c>
      <c r="AI173" s="10"/>
      <c r="AJ173" s="10"/>
      <c r="AN173" s="86"/>
      <c r="AO173" s="86"/>
      <c r="AP173" s="86"/>
      <c r="AQ173" s="86"/>
      <c r="AR173" s="86"/>
      <c r="AS173" s="86"/>
      <c r="AT173" s="86"/>
      <c r="AU173" s="86"/>
    </row>
    <row r="174" spans="1:47" s="6" customFormat="1" ht="12">
      <c r="A174" s="6" t="s">
        <v>591</v>
      </c>
      <c r="B174" s="7" t="s">
        <v>592</v>
      </c>
      <c r="C174" s="8" t="s">
        <v>129</v>
      </c>
      <c r="D174" s="8" t="s">
        <v>413</v>
      </c>
      <c r="E174" s="6" t="s">
        <v>311</v>
      </c>
      <c r="G174" s="6" t="s">
        <v>414</v>
      </c>
      <c r="H174" s="6" t="s">
        <v>522</v>
      </c>
      <c r="J174" s="6">
        <v>0</v>
      </c>
      <c r="K174" s="6">
        <v>45</v>
      </c>
      <c r="L174" s="6" t="s">
        <v>38</v>
      </c>
      <c r="M174" s="6" t="s">
        <v>39</v>
      </c>
      <c r="N174" s="6" t="s">
        <v>523</v>
      </c>
      <c r="P174" s="6">
        <v>0</v>
      </c>
      <c r="Q174" s="28" t="s">
        <v>541</v>
      </c>
      <c r="R174" s="87">
        <v>0</v>
      </c>
      <c r="S174" s="87">
        <f>100 - R174 - U174 - T174</f>
        <v>0</v>
      </c>
      <c r="T174" s="87">
        <v>100</v>
      </c>
      <c r="U174" s="88">
        <v>0</v>
      </c>
      <c r="V174" s="87">
        <v>0</v>
      </c>
      <c r="W174" s="88">
        <f>IF($R174 &gt; 0, 100 - $V174, 0)</f>
        <v>0</v>
      </c>
      <c r="X174" s="71">
        <v>0</v>
      </c>
      <c r="Y174" s="71">
        <f>IF($S174 &gt; 0, 100 - $X174 - $Z174, 0)</f>
        <v>0</v>
      </c>
      <c r="Z174" s="72">
        <v>0</v>
      </c>
      <c r="AA174" s="71">
        <v>49</v>
      </c>
      <c r="AB174" s="71">
        <f>IF($T174 &gt; 0, 100 - $AA174 - $AC174, 0)</f>
        <v>21</v>
      </c>
      <c r="AC174" s="72">
        <v>30</v>
      </c>
      <c r="AD174" s="71">
        <v>0</v>
      </c>
      <c r="AE174" s="71">
        <f>IF($U174 &gt; 0, 100 - $AD174 - $AF174, 0)</f>
        <v>0</v>
      </c>
      <c r="AF174" s="72">
        <v>0</v>
      </c>
      <c r="AG174" s="6" t="s">
        <v>43</v>
      </c>
      <c r="AH174" s="6" t="s">
        <v>525</v>
      </c>
      <c r="AI174" s="10"/>
      <c r="AJ174" s="10"/>
      <c r="AN174" s="86"/>
      <c r="AO174" s="86"/>
      <c r="AP174" s="86"/>
      <c r="AQ174" s="86"/>
      <c r="AR174" s="86"/>
      <c r="AS174" s="86"/>
      <c r="AT174" s="86"/>
      <c r="AU174" s="86"/>
    </row>
    <row r="175" spans="1:47" s="6" customFormat="1" ht="12">
      <c r="A175" s="6" t="s">
        <v>593</v>
      </c>
      <c r="B175" s="7" t="s">
        <v>594</v>
      </c>
      <c r="C175" s="8" t="s">
        <v>129</v>
      </c>
      <c r="D175" s="8" t="s">
        <v>413</v>
      </c>
      <c r="E175" s="6" t="s">
        <v>311</v>
      </c>
      <c r="G175" s="6" t="s">
        <v>414</v>
      </c>
      <c r="H175" s="6" t="s">
        <v>522</v>
      </c>
      <c r="J175" s="6">
        <v>0</v>
      </c>
      <c r="K175" s="6">
        <v>45</v>
      </c>
      <c r="L175" s="6" t="s">
        <v>38</v>
      </c>
      <c r="M175" s="6" t="s">
        <v>39</v>
      </c>
      <c r="N175" s="6" t="s">
        <v>523</v>
      </c>
      <c r="P175" s="6">
        <v>0</v>
      </c>
      <c r="Q175" s="28" t="s">
        <v>541</v>
      </c>
      <c r="R175" s="87">
        <v>0</v>
      </c>
      <c r="S175" s="87">
        <f>100 - R175 - U175 - T175</f>
        <v>0</v>
      </c>
      <c r="T175" s="87">
        <v>100</v>
      </c>
      <c r="U175" s="88">
        <v>0</v>
      </c>
      <c r="V175" s="87">
        <v>0</v>
      </c>
      <c r="W175" s="88">
        <f>IF($R175 &gt; 0, 100 - $V175, 0)</f>
        <v>0</v>
      </c>
      <c r="X175" s="71">
        <v>0</v>
      </c>
      <c r="Y175" s="71">
        <f>IF($S175 &gt; 0, 100 - $X175 - $Z175, 0)</f>
        <v>0</v>
      </c>
      <c r="Z175" s="72">
        <v>0</v>
      </c>
      <c r="AA175" s="71">
        <v>12</v>
      </c>
      <c r="AB175" s="71">
        <f>IF($T175 &gt; 0, 100 - $AA175 - $AC175, 0)</f>
        <v>48</v>
      </c>
      <c r="AC175" s="72">
        <v>40</v>
      </c>
      <c r="AD175" s="71">
        <v>0</v>
      </c>
      <c r="AE175" s="71">
        <f>IF($U175 &gt; 0, 100 - $AD175 - $AF175, 0)</f>
        <v>0</v>
      </c>
      <c r="AF175" s="72">
        <v>0</v>
      </c>
      <c r="AG175" s="6" t="s">
        <v>43</v>
      </c>
      <c r="AH175" s="6" t="s">
        <v>525</v>
      </c>
      <c r="AI175" s="10"/>
      <c r="AJ175" s="10"/>
      <c r="AN175" s="86"/>
      <c r="AO175" s="86"/>
      <c r="AP175" s="86"/>
      <c r="AQ175" s="86"/>
      <c r="AR175" s="86"/>
      <c r="AS175" s="86"/>
      <c r="AT175" s="86"/>
      <c r="AU175" s="86"/>
    </row>
    <row r="176" spans="1:47" s="6" customFormat="1" ht="12">
      <c r="A176" s="6" t="s">
        <v>595</v>
      </c>
      <c r="B176" s="7" t="s">
        <v>596</v>
      </c>
      <c r="C176" s="8" t="s">
        <v>129</v>
      </c>
      <c r="D176" s="8" t="s">
        <v>413</v>
      </c>
      <c r="E176" s="6" t="s">
        <v>311</v>
      </c>
      <c r="G176" s="6" t="s">
        <v>414</v>
      </c>
      <c r="H176" s="6" t="s">
        <v>522</v>
      </c>
      <c r="J176" s="6">
        <v>0</v>
      </c>
      <c r="K176" s="6">
        <v>45</v>
      </c>
      <c r="L176" s="6" t="s">
        <v>38</v>
      </c>
      <c r="M176" s="6" t="s">
        <v>39</v>
      </c>
      <c r="N176" s="6" t="s">
        <v>523</v>
      </c>
      <c r="P176" s="6">
        <v>0</v>
      </c>
      <c r="Q176" s="6" t="s">
        <v>541</v>
      </c>
      <c r="R176" s="87">
        <v>0</v>
      </c>
      <c r="S176" s="87">
        <f>100 - R176 - U176 - T176</f>
        <v>0</v>
      </c>
      <c r="T176" s="87">
        <v>100</v>
      </c>
      <c r="U176" s="87">
        <v>0</v>
      </c>
      <c r="V176" s="87">
        <v>0</v>
      </c>
      <c r="W176" s="88">
        <f>IF($R176 &gt; 0, 100 - $V176, 0)</f>
        <v>0</v>
      </c>
      <c r="X176" s="71">
        <v>0</v>
      </c>
      <c r="Y176" s="71">
        <f>IF($S176 &gt; 0, 100 - $X176 - $Z176, 0)</f>
        <v>0</v>
      </c>
      <c r="Z176" s="72">
        <v>0</v>
      </c>
      <c r="AA176" s="71">
        <v>50</v>
      </c>
      <c r="AB176" s="71">
        <f>IF($T176 &gt; 0, 100 - $AA176 - $AC176, 0)</f>
        <v>10</v>
      </c>
      <c r="AC176" s="72">
        <v>40</v>
      </c>
      <c r="AD176" s="71">
        <v>0</v>
      </c>
      <c r="AE176" s="71">
        <f>IF($U176 &gt; 0, 100 - $AD176 - $AF176, 0)</f>
        <v>0</v>
      </c>
      <c r="AF176" s="72">
        <v>0</v>
      </c>
      <c r="AG176" s="6" t="s">
        <v>43</v>
      </c>
      <c r="AH176" s="6" t="s">
        <v>525</v>
      </c>
      <c r="AI176" s="10"/>
      <c r="AJ176" s="10"/>
      <c r="AN176" s="86"/>
      <c r="AO176" s="86"/>
      <c r="AP176" s="86"/>
      <c r="AQ176" s="86"/>
      <c r="AR176" s="86"/>
      <c r="AS176" s="86"/>
      <c r="AT176" s="86"/>
      <c r="AU176" s="86"/>
    </row>
    <row r="177" spans="1:47" s="6" customFormat="1" ht="12">
      <c r="A177" s="6" t="s">
        <v>597</v>
      </c>
      <c r="B177" s="7" t="s">
        <v>598</v>
      </c>
      <c r="C177" s="8" t="s">
        <v>129</v>
      </c>
      <c r="D177" s="8" t="s">
        <v>413</v>
      </c>
      <c r="E177" s="6" t="s">
        <v>311</v>
      </c>
      <c r="G177" s="6" t="s">
        <v>414</v>
      </c>
      <c r="H177" s="6" t="s">
        <v>522</v>
      </c>
      <c r="J177" s="6">
        <v>0</v>
      </c>
      <c r="K177" s="6">
        <v>45</v>
      </c>
      <c r="L177" s="6" t="s">
        <v>38</v>
      </c>
      <c r="M177" s="6" t="s">
        <v>39</v>
      </c>
      <c r="N177" s="6" t="s">
        <v>523</v>
      </c>
      <c r="P177" s="6">
        <v>0</v>
      </c>
      <c r="Q177" s="28" t="s">
        <v>541</v>
      </c>
      <c r="R177" s="87">
        <v>0</v>
      </c>
      <c r="S177" s="87">
        <f>100 - R177 - U177 - T177</f>
        <v>0</v>
      </c>
      <c r="T177" s="87">
        <v>100</v>
      </c>
      <c r="U177" s="87">
        <v>0</v>
      </c>
      <c r="V177" s="87">
        <v>0</v>
      </c>
      <c r="W177" s="88">
        <f>IF($R177 &gt; 0, 100 - $V177, 0)</f>
        <v>0</v>
      </c>
      <c r="X177" s="71">
        <v>0</v>
      </c>
      <c r="Y177" s="71">
        <f>IF($S177 &gt; 0, 100 - $X177 - $Z177, 0)</f>
        <v>0</v>
      </c>
      <c r="Z177" s="72">
        <v>0</v>
      </c>
      <c r="AA177" s="71">
        <v>5</v>
      </c>
      <c r="AB177" s="71">
        <f>IF($T177 &gt; 0, 100 - $AA177 - $AC177, 0)</f>
        <v>55</v>
      </c>
      <c r="AC177" s="72">
        <v>40</v>
      </c>
      <c r="AD177" s="71">
        <v>0</v>
      </c>
      <c r="AE177" s="71">
        <f>IF($U177 &gt; 0, 100 - $AD177 - $AF177, 0)</f>
        <v>0</v>
      </c>
      <c r="AF177" s="72">
        <v>0</v>
      </c>
      <c r="AG177" s="6" t="s">
        <v>43</v>
      </c>
      <c r="AH177" s="6" t="s">
        <v>525</v>
      </c>
      <c r="AI177" s="10"/>
      <c r="AJ177" s="10"/>
      <c r="AN177" s="86"/>
      <c r="AO177" s="86"/>
      <c r="AP177" s="86"/>
      <c r="AQ177" s="86"/>
      <c r="AR177" s="86"/>
      <c r="AS177" s="86"/>
      <c r="AT177" s="86"/>
      <c r="AU177" s="86"/>
    </row>
    <row r="178" spans="1:47" s="6" customFormat="1" ht="12">
      <c r="A178" s="6" t="s">
        <v>599</v>
      </c>
      <c r="B178" s="7" t="s">
        <v>600</v>
      </c>
      <c r="C178" s="8" t="s">
        <v>129</v>
      </c>
      <c r="D178" s="8" t="s">
        <v>413</v>
      </c>
      <c r="E178" s="6" t="s">
        <v>311</v>
      </c>
      <c r="G178" s="6" t="s">
        <v>414</v>
      </c>
      <c r="H178" s="6" t="s">
        <v>522</v>
      </c>
      <c r="J178" s="6">
        <v>0</v>
      </c>
      <c r="K178" s="6">
        <v>45</v>
      </c>
      <c r="L178" s="6" t="s">
        <v>38</v>
      </c>
      <c r="M178" s="6" t="s">
        <v>39</v>
      </c>
      <c r="N178" s="6" t="s">
        <v>523</v>
      </c>
      <c r="P178" s="6">
        <v>0</v>
      </c>
      <c r="Q178" s="6" t="s">
        <v>541</v>
      </c>
      <c r="R178" s="87">
        <v>0</v>
      </c>
      <c r="S178" s="87">
        <f>100 - R178 - U178 - T178</f>
        <v>0</v>
      </c>
      <c r="T178" s="87">
        <v>100</v>
      </c>
      <c r="U178" s="88">
        <v>0</v>
      </c>
      <c r="V178" s="87">
        <v>0</v>
      </c>
      <c r="W178" s="88">
        <f>IF($R178 &gt; 0, 100 - $V178, 0)</f>
        <v>0</v>
      </c>
      <c r="X178" s="71">
        <v>0</v>
      </c>
      <c r="Y178" s="71">
        <f>IF($S178 &gt; 0, 100 - $X178 - $Z178, 0)</f>
        <v>0</v>
      </c>
      <c r="Z178" s="72">
        <v>0</v>
      </c>
      <c r="AA178" s="71">
        <v>30</v>
      </c>
      <c r="AB178" s="71">
        <f>IF($T178 &gt; 0, 100 - $AA178 - $AC178, 0)</f>
        <v>30</v>
      </c>
      <c r="AC178" s="72">
        <v>40</v>
      </c>
      <c r="AD178" s="71">
        <v>0</v>
      </c>
      <c r="AE178" s="71">
        <f>IF($U178 &gt; 0, 100 - $AD178 - $AF178, 0)</f>
        <v>0</v>
      </c>
      <c r="AF178" s="72">
        <v>0</v>
      </c>
      <c r="AG178" s="6" t="s">
        <v>43</v>
      </c>
      <c r="AH178" s="6" t="s">
        <v>525</v>
      </c>
      <c r="AI178" s="10"/>
      <c r="AJ178" s="10"/>
      <c r="AN178" s="86"/>
      <c r="AO178" s="86"/>
      <c r="AP178" s="86"/>
      <c r="AQ178" s="86"/>
      <c r="AR178" s="86"/>
      <c r="AS178" s="86"/>
      <c r="AT178" s="86"/>
      <c r="AU178" s="86"/>
    </row>
    <row r="179" spans="1:47" s="6" customFormat="1" ht="12">
      <c r="A179" s="6" t="s">
        <v>601</v>
      </c>
      <c r="B179" s="7" t="s">
        <v>602</v>
      </c>
      <c r="C179" s="8" t="s">
        <v>129</v>
      </c>
      <c r="D179" s="8" t="s">
        <v>413</v>
      </c>
      <c r="E179" s="6" t="s">
        <v>311</v>
      </c>
      <c r="G179" s="6" t="s">
        <v>414</v>
      </c>
      <c r="H179" s="6" t="s">
        <v>522</v>
      </c>
      <c r="J179" s="6">
        <v>0</v>
      </c>
      <c r="K179" s="6">
        <v>45</v>
      </c>
      <c r="L179" s="6" t="s">
        <v>38</v>
      </c>
      <c r="M179" s="6" t="s">
        <v>39</v>
      </c>
      <c r="N179" s="6" t="s">
        <v>523</v>
      </c>
      <c r="P179" s="6">
        <v>0</v>
      </c>
      <c r="Q179" s="6" t="s">
        <v>541</v>
      </c>
      <c r="R179" s="87">
        <v>0</v>
      </c>
      <c r="S179" s="87">
        <f>100 - R179 - U179 - T179</f>
        <v>0</v>
      </c>
      <c r="T179" s="87">
        <v>100</v>
      </c>
      <c r="U179" s="88">
        <v>0</v>
      </c>
      <c r="V179" s="87">
        <v>0</v>
      </c>
      <c r="W179" s="88">
        <f>IF($R179 &gt; 0, 100 - $V179, 0)</f>
        <v>0</v>
      </c>
      <c r="X179" s="71">
        <v>0</v>
      </c>
      <c r="Y179" s="71">
        <f>IF($S179 &gt; 0, 100 - $X179 - $Z179, 0)</f>
        <v>0</v>
      </c>
      <c r="Z179" s="72">
        <v>0</v>
      </c>
      <c r="AA179" s="71">
        <v>40</v>
      </c>
      <c r="AB179" s="71">
        <f>IF($T179 &gt; 0, 100 - $AA179 - $AC179, 0)</f>
        <v>20</v>
      </c>
      <c r="AC179" s="72">
        <v>40</v>
      </c>
      <c r="AD179" s="71">
        <v>0</v>
      </c>
      <c r="AE179" s="71">
        <f>IF($U179 &gt; 0, 100 - $AD179 - $AF179, 0)</f>
        <v>0</v>
      </c>
      <c r="AF179" s="72">
        <v>0</v>
      </c>
      <c r="AG179" s="6" t="s">
        <v>43</v>
      </c>
      <c r="AH179" s="6" t="s">
        <v>525</v>
      </c>
      <c r="AI179" s="10"/>
      <c r="AJ179" s="10"/>
      <c r="AN179" s="86"/>
      <c r="AO179" s="86"/>
      <c r="AP179" s="86"/>
      <c r="AQ179" s="86"/>
      <c r="AR179" s="86"/>
      <c r="AS179" s="86"/>
      <c r="AT179" s="86"/>
      <c r="AU179" s="86"/>
    </row>
    <row r="180" spans="1:47" s="6" customFormat="1" ht="12">
      <c r="A180" s="6" t="s">
        <v>603</v>
      </c>
      <c r="B180" s="7" t="s">
        <v>604</v>
      </c>
      <c r="C180" s="8" t="s">
        <v>129</v>
      </c>
      <c r="D180" s="8" t="s">
        <v>413</v>
      </c>
      <c r="E180" s="6" t="s">
        <v>311</v>
      </c>
      <c r="G180" s="6" t="s">
        <v>414</v>
      </c>
      <c r="H180" s="6" t="s">
        <v>522</v>
      </c>
      <c r="J180" s="6">
        <v>0</v>
      </c>
      <c r="K180" s="6">
        <v>45</v>
      </c>
      <c r="L180" s="6" t="s">
        <v>38</v>
      </c>
      <c r="M180" s="6" t="s">
        <v>39</v>
      </c>
      <c r="N180" s="6" t="s">
        <v>523</v>
      </c>
      <c r="P180" s="6">
        <v>0</v>
      </c>
      <c r="Q180" s="6" t="s">
        <v>541</v>
      </c>
      <c r="R180" s="87">
        <v>0</v>
      </c>
      <c r="S180" s="87">
        <f>100 - R180 - U180 - T180</f>
        <v>0</v>
      </c>
      <c r="T180" s="87">
        <v>100</v>
      </c>
      <c r="U180" s="88">
        <v>0</v>
      </c>
      <c r="V180" s="87">
        <v>0</v>
      </c>
      <c r="W180" s="88">
        <f>IF($R180 &gt; 0, 100 - $V180, 0)</f>
        <v>0</v>
      </c>
      <c r="X180" s="71">
        <v>0</v>
      </c>
      <c r="Y180" s="71">
        <f>IF($S180 &gt; 0, 100 - $X180 - $Z180, 0)</f>
        <v>0</v>
      </c>
      <c r="Z180" s="72">
        <v>0</v>
      </c>
      <c r="AA180" s="71">
        <v>39</v>
      </c>
      <c r="AB180" s="71">
        <f>IF($T180 &gt; 0, 100 - $AA180 - $AC180, 0)</f>
        <v>26</v>
      </c>
      <c r="AC180" s="72">
        <v>35</v>
      </c>
      <c r="AD180" s="71">
        <v>0</v>
      </c>
      <c r="AE180" s="71">
        <f>IF($U180 &gt; 0, 100 - $AD180 - $AF180, 0)</f>
        <v>0</v>
      </c>
      <c r="AF180" s="72">
        <v>0</v>
      </c>
      <c r="AG180" s="6" t="s">
        <v>43</v>
      </c>
      <c r="AH180" s="6" t="s">
        <v>525</v>
      </c>
      <c r="AI180" s="10"/>
      <c r="AJ180" s="10"/>
      <c r="AN180" s="86"/>
      <c r="AO180" s="86"/>
      <c r="AP180" s="86"/>
      <c r="AQ180" s="86"/>
      <c r="AR180" s="86"/>
      <c r="AS180" s="86"/>
      <c r="AT180" s="86"/>
      <c r="AU180" s="86"/>
    </row>
    <row r="181" spans="1:47" s="6" customFormat="1" ht="12">
      <c r="A181" s="6" t="s">
        <v>605</v>
      </c>
      <c r="B181" s="7" t="s">
        <v>606</v>
      </c>
      <c r="C181" s="8" t="s">
        <v>129</v>
      </c>
      <c r="D181" s="8" t="s">
        <v>413</v>
      </c>
      <c r="E181" s="6" t="s">
        <v>311</v>
      </c>
      <c r="G181" s="6" t="s">
        <v>414</v>
      </c>
      <c r="H181" s="6" t="s">
        <v>607</v>
      </c>
      <c r="J181" s="6">
        <v>0</v>
      </c>
      <c r="K181" s="6">
        <v>45</v>
      </c>
      <c r="L181" s="6" t="s">
        <v>38</v>
      </c>
      <c r="M181" s="6" t="s">
        <v>39</v>
      </c>
      <c r="N181" s="6" t="s">
        <v>523</v>
      </c>
      <c r="P181" s="6">
        <v>0</v>
      </c>
      <c r="Q181" s="6" t="s">
        <v>608</v>
      </c>
      <c r="R181" s="87">
        <v>0</v>
      </c>
      <c r="S181" s="87">
        <f>100 - R181 - U181 - T181</f>
        <v>0</v>
      </c>
      <c r="T181" s="87">
        <v>100</v>
      </c>
      <c r="U181" s="87">
        <v>0</v>
      </c>
      <c r="V181" s="87">
        <v>0</v>
      </c>
      <c r="W181" s="88">
        <f>IF($R181 &gt; 0, 100 - $V181, 0)</f>
        <v>0</v>
      </c>
      <c r="X181" s="71">
        <v>0</v>
      </c>
      <c r="Y181" s="71">
        <f>IF($S181 &gt; 0, 100 - $X181 - $Z181, 0)</f>
        <v>0</v>
      </c>
      <c r="Z181" s="72">
        <v>0</v>
      </c>
      <c r="AA181" s="71">
        <v>50</v>
      </c>
      <c r="AB181" s="71">
        <f>IF($T181 &gt; 0, 100 - $AA181 - $AC181, 0)</f>
        <v>0</v>
      </c>
      <c r="AC181" s="72">
        <v>50</v>
      </c>
      <c r="AD181" s="71">
        <v>0</v>
      </c>
      <c r="AE181" s="71">
        <f>IF($U181 &gt; 0, 100 - $AD181 - $AF181, 0)</f>
        <v>0</v>
      </c>
      <c r="AF181" s="72">
        <v>0</v>
      </c>
      <c r="AG181" s="6" t="s">
        <v>43</v>
      </c>
      <c r="AH181" s="6" t="s">
        <v>525</v>
      </c>
      <c r="AI181" s="10"/>
      <c r="AJ181" s="10"/>
      <c r="AN181" s="86"/>
      <c r="AO181" s="86"/>
      <c r="AP181" s="86"/>
      <c r="AQ181" s="86"/>
      <c r="AR181" s="86"/>
      <c r="AS181" s="86"/>
      <c r="AT181" s="86"/>
      <c r="AU181" s="86"/>
    </row>
    <row r="182" spans="1:47" s="6" customFormat="1" ht="12">
      <c r="A182" s="6" t="s">
        <v>609</v>
      </c>
      <c r="B182" s="7" t="s">
        <v>610</v>
      </c>
      <c r="C182" s="8" t="s">
        <v>129</v>
      </c>
      <c r="D182" s="8" t="s">
        <v>413</v>
      </c>
      <c r="E182" s="6" t="s">
        <v>311</v>
      </c>
      <c r="G182" s="6" t="s">
        <v>414</v>
      </c>
      <c r="H182" s="6" t="s">
        <v>522</v>
      </c>
      <c r="J182" s="6">
        <v>0</v>
      </c>
      <c r="K182" s="6">
        <v>45</v>
      </c>
      <c r="L182" s="6" t="s">
        <v>38</v>
      </c>
      <c r="M182" s="6" t="s">
        <v>39</v>
      </c>
      <c r="N182" s="6" t="s">
        <v>523</v>
      </c>
      <c r="P182" s="6">
        <v>0</v>
      </c>
      <c r="Q182" s="28" t="s">
        <v>558</v>
      </c>
      <c r="R182" s="87">
        <v>0</v>
      </c>
      <c r="S182" s="87">
        <f>100 - R182 - U182 - T182</f>
        <v>0</v>
      </c>
      <c r="T182" s="87">
        <v>100</v>
      </c>
      <c r="U182" s="87">
        <v>0</v>
      </c>
      <c r="V182" s="87">
        <v>0</v>
      </c>
      <c r="W182" s="88">
        <f>IF($R182 &gt; 0, 100 - $V182, 0)</f>
        <v>0</v>
      </c>
      <c r="X182" s="71">
        <v>0</v>
      </c>
      <c r="Y182" s="71">
        <f>IF($S182 &gt; 0, 100 - $X182 - $Z182, 0)</f>
        <v>0</v>
      </c>
      <c r="Z182" s="72">
        <v>0</v>
      </c>
      <c r="AA182" s="71">
        <v>65</v>
      </c>
      <c r="AB182" s="71">
        <f>IF($T182 &gt; 0, 100 - $AA182 - $AC182, 0)</f>
        <v>0</v>
      </c>
      <c r="AC182" s="72">
        <v>35</v>
      </c>
      <c r="AD182" s="71">
        <v>0</v>
      </c>
      <c r="AE182" s="71">
        <f>IF($U182 &gt; 0, 100 - $AD182 - $AF182, 0)</f>
        <v>0</v>
      </c>
      <c r="AF182" s="72">
        <v>0</v>
      </c>
      <c r="AG182" s="6" t="s">
        <v>43</v>
      </c>
      <c r="AH182" s="6" t="s">
        <v>525</v>
      </c>
      <c r="AI182" s="10"/>
      <c r="AJ182" s="10"/>
      <c r="AN182" s="86"/>
      <c r="AO182" s="86"/>
      <c r="AP182" s="86"/>
      <c r="AQ182" s="86"/>
      <c r="AR182" s="86"/>
      <c r="AS182" s="86"/>
      <c r="AT182" s="86"/>
      <c r="AU182" s="86"/>
    </row>
    <row r="183" spans="1:47" s="6" customFormat="1" ht="12">
      <c r="A183" s="6" t="s">
        <v>611</v>
      </c>
      <c r="B183" s="7" t="s">
        <v>612</v>
      </c>
      <c r="C183" s="8" t="s">
        <v>129</v>
      </c>
      <c r="D183" s="8" t="s">
        <v>413</v>
      </c>
      <c r="E183" s="6" t="s">
        <v>311</v>
      </c>
      <c r="G183" s="6" t="s">
        <v>414</v>
      </c>
      <c r="H183" s="6" t="s">
        <v>522</v>
      </c>
      <c r="J183" s="6">
        <v>0</v>
      </c>
      <c r="K183" s="6">
        <v>45</v>
      </c>
      <c r="L183" s="6" t="s">
        <v>38</v>
      </c>
      <c r="M183" s="6" t="s">
        <v>39</v>
      </c>
      <c r="N183" s="6" t="s">
        <v>523</v>
      </c>
      <c r="P183" s="6">
        <v>0</v>
      </c>
      <c r="Q183" s="28" t="s">
        <v>558</v>
      </c>
      <c r="R183" s="87">
        <v>0</v>
      </c>
      <c r="S183" s="87">
        <f>100 - R183 - U183 - T183</f>
        <v>0</v>
      </c>
      <c r="T183" s="87">
        <v>100</v>
      </c>
      <c r="U183" s="87">
        <v>0</v>
      </c>
      <c r="V183" s="87">
        <v>0</v>
      </c>
      <c r="W183" s="88">
        <f>IF($R183 &gt; 0, 100 - $V183, 0)</f>
        <v>0</v>
      </c>
      <c r="X183" s="71">
        <v>0</v>
      </c>
      <c r="Y183" s="71">
        <f>IF($S183 &gt; 0, 100 - $X183 - $Z183, 0)</f>
        <v>0</v>
      </c>
      <c r="Z183" s="72">
        <v>0</v>
      </c>
      <c r="AA183" s="71">
        <v>70</v>
      </c>
      <c r="AB183" s="71">
        <f>IF($T183 &gt; 0, 100 - $AA183 - $AC183, 0)</f>
        <v>0</v>
      </c>
      <c r="AC183" s="72">
        <v>30</v>
      </c>
      <c r="AD183" s="71">
        <v>0</v>
      </c>
      <c r="AE183" s="71">
        <f>IF($U183 &gt; 0, 100 - $AD183 - $AF183, 0)</f>
        <v>0</v>
      </c>
      <c r="AF183" s="72">
        <v>0</v>
      </c>
      <c r="AG183" s="6" t="s">
        <v>43</v>
      </c>
      <c r="AH183" s="6" t="s">
        <v>525</v>
      </c>
      <c r="AI183" s="10"/>
      <c r="AJ183" s="10"/>
      <c r="AN183" s="86"/>
      <c r="AO183" s="86"/>
      <c r="AP183" s="86"/>
      <c r="AQ183" s="86"/>
      <c r="AR183" s="86"/>
      <c r="AS183" s="86"/>
      <c r="AT183" s="86"/>
      <c r="AU183" s="86"/>
    </row>
    <row r="184" spans="1:47" s="6" customFormat="1" ht="12">
      <c r="A184" s="6" t="s">
        <v>613</v>
      </c>
      <c r="B184" s="7" t="s">
        <v>614</v>
      </c>
      <c r="C184" s="8" t="s">
        <v>129</v>
      </c>
      <c r="D184" s="8" t="s">
        <v>413</v>
      </c>
      <c r="E184" s="6" t="s">
        <v>311</v>
      </c>
      <c r="G184" s="6" t="s">
        <v>414</v>
      </c>
      <c r="H184" s="6" t="s">
        <v>522</v>
      </c>
      <c r="J184" s="6">
        <v>0</v>
      </c>
      <c r="K184" s="6">
        <v>45</v>
      </c>
      <c r="L184" s="6" t="s">
        <v>38</v>
      </c>
      <c r="M184" s="6" t="s">
        <v>39</v>
      </c>
      <c r="N184" s="6" t="s">
        <v>523</v>
      </c>
      <c r="P184" s="6">
        <v>0</v>
      </c>
      <c r="Q184" s="28" t="s">
        <v>558</v>
      </c>
      <c r="R184" s="87">
        <v>0</v>
      </c>
      <c r="S184" s="87">
        <f>100 - R184 - U184 - T184</f>
        <v>0</v>
      </c>
      <c r="T184" s="87">
        <v>100</v>
      </c>
      <c r="U184" s="88">
        <v>0</v>
      </c>
      <c r="V184" s="87">
        <v>0</v>
      </c>
      <c r="W184" s="88">
        <f>IF($R184 &gt; 0, 100 - $V184, 0)</f>
        <v>0</v>
      </c>
      <c r="X184" s="71">
        <v>0</v>
      </c>
      <c r="Y184" s="71">
        <f>IF($S184 &gt; 0, 100 - $X184 - $Z184, 0)</f>
        <v>0</v>
      </c>
      <c r="Z184" s="72">
        <v>0</v>
      </c>
      <c r="AA184" s="71">
        <v>75</v>
      </c>
      <c r="AB184" s="71">
        <f>IF($T184 &gt; 0, 100 - $AA184 - $AC184, 0)</f>
        <v>0</v>
      </c>
      <c r="AC184" s="72">
        <v>25</v>
      </c>
      <c r="AD184" s="71">
        <v>0</v>
      </c>
      <c r="AE184" s="71">
        <f>IF($U184 &gt; 0, 100 - $AD184 - $AF184, 0)</f>
        <v>0</v>
      </c>
      <c r="AF184" s="72">
        <v>0</v>
      </c>
      <c r="AG184" s="6" t="s">
        <v>43</v>
      </c>
      <c r="AH184" s="6" t="s">
        <v>525</v>
      </c>
      <c r="AI184" s="10"/>
      <c r="AJ184" s="10"/>
      <c r="AN184" s="86"/>
      <c r="AO184" s="86"/>
      <c r="AP184" s="86"/>
      <c r="AQ184" s="86"/>
      <c r="AR184" s="86"/>
      <c r="AS184" s="86"/>
      <c r="AT184" s="86"/>
      <c r="AU184" s="86"/>
    </row>
    <row r="185" spans="1:47" s="6" customFormat="1" ht="12">
      <c r="A185" s="6" t="s">
        <v>615</v>
      </c>
      <c r="B185" s="7" t="s">
        <v>616</v>
      </c>
      <c r="C185" s="8" t="s">
        <v>129</v>
      </c>
      <c r="D185" s="8" t="s">
        <v>413</v>
      </c>
      <c r="E185" s="6" t="s">
        <v>311</v>
      </c>
      <c r="G185" s="6" t="s">
        <v>414</v>
      </c>
      <c r="H185" s="6" t="s">
        <v>522</v>
      </c>
      <c r="J185" s="6">
        <v>0</v>
      </c>
      <c r="K185" s="6">
        <v>45</v>
      </c>
      <c r="L185" s="6" t="s">
        <v>38</v>
      </c>
      <c r="M185" s="6" t="s">
        <v>39</v>
      </c>
      <c r="N185" s="6" t="s">
        <v>523</v>
      </c>
      <c r="P185" s="6">
        <v>0</v>
      </c>
      <c r="Q185" s="28" t="s">
        <v>558</v>
      </c>
      <c r="R185" s="87">
        <v>0</v>
      </c>
      <c r="S185" s="87">
        <f>100 - R185 - U185 - T185</f>
        <v>0</v>
      </c>
      <c r="T185" s="87">
        <v>100</v>
      </c>
      <c r="U185" s="88">
        <v>0</v>
      </c>
      <c r="V185" s="87">
        <v>0</v>
      </c>
      <c r="W185" s="88">
        <f>IF($R185 &gt; 0, 100 - $V185, 0)</f>
        <v>0</v>
      </c>
      <c r="X185" s="71">
        <v>0</v>
      </c>
      <c r="Y185" s="71">
        <f>IF($S185 &gt; 0, 100 - $X185 - $Z185, 0)</f>
        <v>0</v>
      </c>
      <c r="Z185" s="72">
        <v>0</v>
      </c>
      <c r="AA185" s="71">
        <v>80</v>
      </c>
      <c r="AB185" s="71">
        <f>IF($T185 &gt; 0, 100 - $AA185 - $AC185, 0)</f>
        <v>0</v>
      </c>
      <c r="AC185" s="72">
        <v>20</v>
      </c>
      <c r="AD185" s="71">
        <v>0</v>
      </c>
      <c r="AE185" s="71">
        <f>IF($U185 &gt; 0, 100 - $AD185 - $AF185, 0)</f>
        <v>0</v>
      </c>
      <c r="AF185" s="72">
        <v>0</v>
      </c>
      <c r="AG185" s="6" t="s">
        <v>43</v>
      </c>
      <c r="AH185" s="6" t="s">
        <v>525</v>
      </c>
      <c r="AI185" s="10"/>
      <c r="AJ185" s="10"/>
      <c r="AN185" s="86"/>
      <c r="AO185" s="86"/>
      <c r="AP185" s="86"/>
      <c r="AQ185" s="86"/>
      <c r="AR185" s="86"/>
      <c r="AS185" s="86"/>
      <c r="AT185" s="86"/>
      <c r="AU185" s="86"/>
    </row>
    <row r="186" spans="1:47" s="6" customFormat="1" ht="12">
      <c r="A186" s="6" t="s">
        <v>617</v>
      </c>
      <c r="B186" s="7" t="s">
        <v>618</v>
      </c>
      <c r="C186" s="8" t="s">
        <v>129</v>
      </c>
      <c r="D186" s="8" t="s">
        <v>413</v>
      </c>
      <c r="E186" s="6" t="s">
        <v>311</v>
      </c>
      <c r="G186" s="6" t="s">
        <v>414</v>
      </c>
      <c r="H186" s="6" t="s">
        <v>522</v>
      </c>
      <c r="J186" s="6">
        <v>0</v>
      </c>
      <c r="K186" s="6">
        <v>45</v>
      </c>
      <c r="L186" s="6" t="s">
        <v>38</v>
      </c>
      <c r="M186" s="6" t="s">
        <v>39</v>
      </c>
      <c r="N186" s="6" t="s">
        <v>523</v>
      </c>
      <c r="P186" s="6">
        <v>0</v>
      </c>
      <c r="Q186" s="28" t="s">
        <v>558</v>
      </c>
      <c r="R186" s="87">
        <v>0</v>
      </c>
      <c r="S186" s="87">
        <f>100 - R186 - U186 - T186</f>
        <v>0</v>
      </c>
      <c r="T186" s="87">
        <v>100</v>
      </c>
      <c r="U186" s="88">
        <v>0</v>
      </c>
      <c r="V186" s="87">
        <v>0</v>
      </c>
      <c r="W186" s="88">
        <f>IF($R186 &gt; 0, 100 - $V186, 0)</f>
        <v>0</v>
      </c>
      <c r="X186" s="71">
        <v>0</v>
      </c>
      <c r="Y186" s="71">
        <f>IF($S186 &gt; 0, 100 - $X186 - $Z186, 0)</f>
        <v>0</v>
      </c>
      <c r="Z186" s="72">
        <v>0</v>
      </c>
      <c r="AA186" s="71">
        <v>90</v>
      </c>
      <c r="AB186" s="71">
        <f>IF($T186 &gt; 0, 100 - $AA186 - $AC186, 0)</f>
        <v>0</v>
      </c>
      <c r="AC186" s="72">
        <v>10</v>
      </c>
      <c r="AD186" s="71">
        <v>0</v>
      </c>
      <c r="AE186" s="71">
        <f>IF($U186 &gt; 0, 100 - $AD186 - $AF186, 0)</f>
        <v>0</v>
      </c>
      <c r="AF186" s="72">
        <v>0</v>
      </c>
      <c r="AG186" s="6" t="s">
        <v>43</v>
      </c>
      <c r="AH186" s="6" t="s">
        <v>525</v>
      </c>
      <c r="AI186" s="10"/>
      <c r="AJ186" s="10"/>
      <c r="AN186" s="86"/>
      <c r="AO186" s="86"/>
      <c r="AP186" s="86"/>
      <c r="AQ186" s="86"/>
      <c r="AR186" s="86"/>
      <c r="AS186" s="86"/>
      <c r="AT186" s="86"/>
      <c r="AU186" s="86"/>
    </row>
    <row r="187" spans="1:47" s="6" customFormat="1" ht="12">
      <c r="A187" s="6" t="s">
        <v>619</v>
      </c>
      <c r="B187" s="7" t="s">
        <v>620</v>
      </c>
      <c r="C187" s="8" t="s">
        <v>129</v>
      </c>
      <c r="D187" s="8" t="s">
        <v>413</v>
      </c>
      <c r="E187" s="6" t="s">
        <v>311</v>
      </c>
      <c r="G187" s="6" t="s">
        <v>414</v>
      </c>
      <c r="H187" s="6" t="s">
        <v>522</v>
      </c>
      <c r="J187" s="6">
        <v>0</v>
      </c>
      <c r="K187" s="6">
        <v>45</v>
      </c>
      <c r="L187" s="6" t="s">
        <v>38</v>
      </c>
      <c r="M187" s="6" t="s">
        <v>39</v>
      </c>
      <c r="N187" s="6" t="s">
        <v>523</v>
      </c>
      <c r="P187" s="6">
        <v>0</v>
      </c>
      <c r="Q187" s="28" t="s">
        <v>558</v>
      </c>
      <c r="R187" s="87">
        <v>0</v>
      </c>
      <c r="S187" s="87">
        <f>100 - R187 - U187 - T187</f>
        <v>0</v>
      </c>
      <c r="T187" s="87">
        <v>100</v>
      </c>
      <c r="U187" s="88">
        <v>0</v>
      </c>
      <c r="V187" s="87">
        <v>0</v>
      </c>
      <c r="W187" s="88">
        <f>IF($R187 &gt; 0, 100 - $V187, 0)</f>
        <v>0</v>
      </c>
      <c r="X187" s="71">
        <v>0</v>
      </c>
      <c r="Y187" s="71">
        <f>IF($S187 &gt; 0, 100 - $X187 - $Z187, 0)</f>
        <v>0</v>
      </c>
      <c r="Z187" s="72">
        <v>0</v>
      </c>
      <c r="AA187" s="71">
        <v>93</v>
      </c>
      <c r="AB187" s="71">
        <f>IF($T187 &gt; 0, 100 - $AA187 - $AC187, 0)</f>
        <v>0</v>
      </c>
      <c r="AC187" s="72">
        <v>7</v>
      </c>
      <c r="AD187" s="71">
        <v>0</v>
      </c>
      <c r="AE187" s="71">
        <f>IF($U187 &gt; 0, 100 - $AD187 - $AF187, 0)</f>
        <v>0</v>
      </c>
      <c r="AF187" s="72">
        <v>0</v>
      </c>
      <c r="AG187" s="6" t="s">
        <v>43</v>
      </c>
      <c r="AH187" s="6" t="s">
        <v>525</v>
      </c>
      <c r="AI187" s="10"/>
      <c r="AJ187" s="10"/>
      <c r="AN187" s="86"/>
      <c r="AO187" s="86"/>
      <c r="AP187" s="86"/>
      <c r="AQ187" s="86"/>
      <c r="AR187" s="86"/>
      <c r="AS187" s="86"/>
      <c r="AT187" s="86"/>
      <c r="AU187" s="86"/>
    </row>
    <row r="188" spans="1:47" s="6" customFormat="1" ht="12">
      <c r="A188" s="6" t="s">
        <v>621</v>
      </c>
      <c r="B188" s="7" t="s">
        <v>622</v>
      </c>
      <c r="C188" s="8" t="s">
        <v>390</v>
      </c>
      <c r="D188" s="8" t="s">
        <v>310</v>
      </c>
      <c r="E188" s="6" t="s">
        <v>311</v>
      </c>
      <c r="G188" s="6" t="s">
        <v>623</v>
      </c>
      <c r="H188" s="6" t="s">
        <v>624</v>
      </c>
      <c r="J188" s="6">
        <v>250</v>
      </c>
      <c r="K188" s="6">
        <v>500</v>
      </c>
      <c r="L188" s="6" t="s">
        <v>38</v>
      </c>
      <c r="M188" s="6" t="s">
        <v>625</v>
      </c>
      <c r="N188" s="6" t="s">
        <v>626</v>
      </c>
      <c r="O188" s="6" t="s">
        <v>395</v>
      </c>
      <c r="P188" s="6">
        <v>0</v>
      </c>
      <c r="Q188" s="28" t="s">
        <v>627</v>
      </c>
      <c r="R188" s="87">
        <v>0</v>
      </c>
      <c r="S188" s="87">
        <f>100 - R188 - U188 - T188</f>
        <v>0</v>
      </c>
      <c r="T188" s="87">
        <v>100</v>
      </c>
      <c r="U188" s="88">
        <v>0</v>
      </c>
      <c r="V188" s="87">
        <v>0</v>
      </c>
      <c r="W188" s="88">
        <f>IF($R188 &gt; 0, 100 - $V188, 0)</f>
        <v>0</v>
      </c>
      <c r="X188" s="71">
        <v>0</v>
      </c>
      <c r="Y188" s="71">
        <f>IF($S188 &gt; 0, 100 - $X188 - $Z188, 0)</f>
        <v>0</v>
      </c>
      <c r="Z188" s="72">
        <v>0</v>
      </c>
      <c r="AA188" s="71">
        <v>30</v>
      </c>
      <c r="AB188" s="71">
        <f>IF($T188 &gt; 0, 100 - $AA188 - $AC188, 0)</f>
        <v>50</v>
      </c>
      <c r="AC188" s="72">
        <v>20</v>
      </c>
      <c r="AD188" s="71">
        <v>0</v>
      </c>
      <c r="AE188" s="71">
        <f>IF($U188 &gt; 0, 100 - $AD188 - $AF188, 0)</f>
        <v>0</v>
      </c>
      <c r="AF188" s="72">
        <v>0</v>
      </c>
      <c r="AG188" s="6" t="s">
        <v>43</v>
      </c>
      <c r="AH188" s="9" t="s">
        <v>628</v>
      </c>
      <c r="AI188" s="10" t="s">
        <v>629</v>
      </c>
      <c r="AJ188" s="10"/>
      <c r="AN188" s="86"/>
      <c r="AO188" s="86"/>
      <c r="AP188" s="86"/>
      <c r="AQ188" s="86"/>
      <c r="AR188" s="86"/>
      <c r="AS188" s="86"/>
      <c r="AT188" s="86"/>
      <c r="AU188" s="86"/>
    </row>
    <row r="189" spans="1:47" s="6" customFormat="1" ht="12">
      <c r="A189" s="6" t="s">
        <v>630</v>
      </c>
      <c r="B189" s="7" t="s">
        <v>631</v>
      </c>
      <c r="C189" s="8" t="s">
        <v>390</v>
      </c>
      <c r="D189" s="8" t="s">
        <v>310</v>
      </c>
      <c r="E189" s="6" t="s">
        <v>311</v>
      </c>
      <c r="G189" s="6" t="s">
        <v>623</v>
      </c>
      <c r="H189" s="6" t="s">
        <v>624</v>
      </c>
      <c r="J189" s="6">
        <v>90</v>
      </c>
      <c r="K189" s="6">
        <v>125</v>
      </c>
      <c r="L189" s="6" t="s">
        <v>38</v>
      </c>
      <c r="M189" s="6" t="s">
        <v>625</v>
      </c>
      <c r="N189" s="6" t="s">
        <v>626</v>
      </c>
      <c r="O189" s="6" t="s">
        <v>395</v>
      </c>
      <c r="P189" s="6">
        <v>0</v>
      </c>
      <c r="Q189" s="28" t="s">
        <v>627</v>
      </c>
      <c r="R189" s="87">
        <v>0</v>
      </c>
      <c r="S189" s="87">
        <f>100 - R189 - U189 - T189</f>
        <v>0</v>
      </c>
      <c r="T189" s="87">
        <v>100</v>
      </c>
      <c r="U189" s="88">
        <v>0</v>
      </c>
      <c r="V189" s="87">
        <v>0</v>
      </c>
      <c r="W189" s="88">
        <f>IF($R189 &gt; 0, 100 - $V189, 0)</f>
        <v>0</v>
      </c>
      <c r="X189" s="71">
        <v>0</v>
      </c>
      <c r="Y189" s="71">
        <f>IF($S189 &gt; 0, 100 - $X189 - $Z189, 0)</f>
        <v>0</v>
      </c>
      <c r="Z189" s="72">
        <v>0</v>
      </c>
      <c r="AA189" s="71">
        <v>30</v>
      </c>
      <c r="AB189" s="71">
        <f>IF($T189 &gt; 0, 100 - $AA189 - $AC189, 0)</f>
        <v>50</v>
      </c>
      <c r="AC189" s="72">
        <v>20</v>
      </c>
      <c r="AD189" s="71">
        <v>0</v>
      </c>
      <c r="AE189" s="71">
        <f>IF($U189 &gt; 0, 100 - $AD189 - $AF189, 0)</f>
        <v>0</v>
      </c>
      <c r="AF189" s="72">
        <v>0</v>
      </c>
      <c r="AG189" s="6" t="s">
        <v>43</v>
      </c>
      <c r="AH189" s="9" t="s">
        <v>628</v>
      </c>
      <c r="AI189" s="10" t="s">
        <v>629</v>
      </c>
      <c r="AJ189" s="10"/>
      <c r="AN189" s="86"/>
      <c r="AO189" s="86"/>
      <c r="AP189" s="86"/>
      <c r="AQ189" s="86"/>
      <c r="AR189" s="86"/>
      <c r="AS189" s="86"/>
      <c r="AT189" s="86"/>
      <c r="AU189" s="86"/>
    </row>
    <row r="190" spans="1:47" s="6" customFormat="1" ht="12">
      <c r="A190" s="6" t="s">
        <v>632</v>
      </c>
      <c r="B190" s="7" t="s">
        <v>633</v>
      </c>
      <c r="C190" s="8" t="s">
        <v>390</v>
      </c>
      <c r="D190" s="8" t="s">
        <v>310</v>
      </c>
      <c r="E190" s="6" t="s">
        <v>311</v>
      </c>
      <c r="G190" s="6" t="s">
        <v>623</v>
      </c>
      <c r="H190" s="6" t="s">
        <v>624</v>
      </c>
      <c r="J190" s="6">
        <v>250</v>
      </c>
      <c r="K190" s="6">
        <v>500</v>
      </c>
      <c r="L190" s="6" t="s">
        <v>38</v>
      </c>
      <c r="M190" s="6" t="s">
        <v>625</v>
      </c>
      <c r="N190" s="6" t="s">
        <v>634</v>
      </c>
      <c r="O190" s="6" t="s">
        <v>395</v>
      </c>
      <c r="P190" s="6">
        <v>0</v>
      </c>
      <c r="Q190" s="28" t="s">
        <v>627</v>
      </c>
      <c r="R190" s="87">
        <v>0</v>
      </c>
      <c r="S190" s="87">
        <f>100 - R190 - U190 - T190</f>
        <v>0</v>
      </c>
      <c r="T190" s="87">
        <v>100</v>
      </c>
      <c r="U190" s="88">
        <v>0</v>
      </c>
      <c r="V190" s="87">
        <v>0</v>
      </c>
      <c r="W190" s="88">
        <f>IF($R190 &gt; 0, 100 - $V190, 0)</f>
        <v>0</v>
      </c>
      <c r="X190" s="71">
        <v>0</v>
      </c>
      <c r="Y190" s="71">
        <f>IF($S190 &gt; 0, 100 - $X190 - $Z190, 0)</f>
        <v>0</v>
      </c>
      <c r="Z190" s="72">
        <v>0</v>
      </c>
      <c r="AA190" s="71">
        <v>23</v>
      </c>
      <c r="AB190" s="71">
        <f>IF($T190 &gt; 0, 100 - $AA190 - $AC190, 0)</f>
        <v>59</v>
      </c>
      <c r="AC190" s="72">
        <v>18</v>
      </c>
      <c r="AD190" s="71">
        <v>0</v>
      </c>
      <c r="AE190" s="71">
        <f>IF($U190 &gt; 0, 100 - $AD190 - $AF190, 0)</f>
        <v>0</v>
      </c>
      <c r="AF190" s="72">
        <v>0</v>
      </c>
      <c r="AG190" s="6" t="s">
        <v>43</v>
      </c>
      <c r="AH190" s="9" t="s">
        <v>628</v>
      </c>
      <c r="AI190" s="10" t="s">
        <v>629</v>
      </c>
      <c r="AJ190" s="10"/>
      <c r="AN190" s="86"/>
      <c r="AO190" s="86"/>
      <c r="AP190" s="86"/>
      <c r="AQ190" s="86"/>
      <c r="AR190" s="86"/>
      <c r="AS190" s="86"/>
      <c r="AT190" s="86"/>
      <c r="AU190" s="86"/>
    </row>
    <row r="191" spans="1:47" s="6" customFormat="1" ht="12">
      <c r="A191" s="6" t="s">
        <v>635</v>
      </c>
      <c r="B191" s="7" t="s">
        <v>636</v>
      </c>
      <c r="C191" s="8" t="s">
        <v>129</v>
      </c>
      <c r="D191" s="8" t="s">
        <v>637</v>
      </c>
      <c r="E191" s="6" t="s">
        <v>311</v>
      </c>
      <c r="G191" s="6" t="s">
        <v>414</v>
      </c>
      <c r="H191" s="6" t="s">
        <v>638</v>
      </c>
      <c r="J191" s="6">
        <v>0</v>
      </c>
      <c r="K191" s="6">
        <v>125</v>
      </c>
      <c r="L191" s="6" t="s">
        <v>38</v>
      </c>
      <c r="M191" s="6" t="s">
        <v>39</v>
      </c>
      <c r="N191" s="6" t="s">
        <v>639</v>
      </c>
      <c r="O191" s="6" t="s">
        <v>640</v>
      </c>
      <c r="P191" s="6">
        <v>672</v>
      </c>
      <c r="Q191" s="6" t="s">
        <v>641</v>
      </c>
      <c r="R191" s="87">
        <v>0</v>
      </c>
      <c r="S191" s="87">
        <f>100 - R191 - U191 - T191</f>
        <v>0</v>
      </c>
      <c r="T191" s="87">
        <v>100</v>
      </c>
      <c r="U191" s="88">
        <v>0</v>
      </c>
      <c r="V191" s="87">
        <v>0</v>
      </c>
      <c r="W191" s="88">
        <f>IF($R191 &gt; 0, 100 - $V191, 0)</f>
        <v>0</v>
      </c>
      <c r="X191" s="71">
        <v>0</v>
      </c>
      <c r="Y191" s="71">
        <f>IF($S191 &gt; 0, 100 - $X191 - $Z191, 0)</f>
        <v>0</v>
      </c>
      <c r="Z191" s="72">
        <v>0</v>
      </c>
      <c r="AA191" s="71">
        <f>INDEX(Chemical_analyses!$A:$L, MATCH($P191, Chemical_analyses!$A:$A), 9)/$AI$1/(INDEX(Chemical_analyses!$A:$L, MATCH($P191, Chemical_analyses!$A:$A), 9)/$AI$1+INDEX(Chemical_analyses!$A:$L, MATCH($P191, Chemical_analyses!$A:$A), 11)/$AJ$1+INDEX(Chemical_analyses!$A:$L, MATCH($P191, Chemical_analyses!$A:$A), 12)/$AK$1)*100</f>
        <v>43.164550823757658</v>
      </c>
      <c r="AB191" s="71">
        <f>IF($T191 &gt; 0, 100 - $AA191 - $AC191, 0)</f>
        <v>33.321807299174395</v>
      </c>
      <c r="AC191" s="72">
        <f>INDEX(Chemical_analyses!$A:$L, MATCH($P191, Chemical_analyses!$A:$A), 12)/$AK$1/(INDEX(Chemical_analyses!$A:$L, MATCH($P191, Chemical_analyses!$A:$A), 9)/$AI$1+INDEX(Chemical_analyses!$A:$L, MATCH($P191, Chemical_analyses!$A:$A), 11)/$AJ$1+INDEX(Chemical_analyses!$A:$L, MATCH($P191, Chemical_analyses!$A:$A), 12)/$AK$1)*100</f>
        <v>23.513641877067943</v>
      </c>
      <c r="AD191" s="71">
        <v>0</v>
      </c>
      <c r="AE191" s="71">
        <f>IF($U191 &gt; 0, 100 - $AD191 - $AF191, 0)</f>
        <v>0</v>
      </c>
      <c r="AF191" s="72">
        <v>0</v>
      </c>
      <c r="AG191" s="6" t="s">
        <v>43</v>
      </c>
      <c r="AH191" s="10" t="str">
        <f>_xlfn.CONCAT("FeO: ", INDEX(Chemical_analyses!$A:$M, MATCH($P191, Chemical_analyses!$A:$A), 9), ", MgO: ", INDEX(Chemical_analyses!$A:$M, MATCH($P191, Chemical_analyses!$A:$A), 11), ", CaO: ", INDEX(Chemical_analyses!$A:$M, MATCH($P191, Chemical_analyses!$A:$A), 12), ", MnO: ", INDEX(Chemical_analyses!$A:$M, MATCH($P191, Chemical_analyses!$A:$A), 10), ", NaO2: ", INDEX(Chemical_analyses!$A:$M, MATCH($P191, Chemical_analyses!$A:$A), 13), ", Fe2O3: ", INDEX(Chemical_analyses!$A:$M, MATCH($P191, Chemical_analyses!$A:$A), 8), ", Al2O3: ", INDEX(Chemical_analyses!$A:$M, MATCH($P191, Chemical_analyses!$A:$A), 6))</f>
        <v>FeO: 25.4, MgO: 11, CaO: 10.8, MnO: 0.38, NaO2: 0.03, Fe2O3: 0, Al2O3: 1.52</v>
      </c>
      <c r="AI191" s="10"/>
      <c r="AJ191" s="10"/>
      <c r="AN191" s="86"/>
      <c r="AO191" s="86"/>
      <c r="AP191" s="86"/>
      <c r="AQ191" s="86"/>
      <c r="AR191" s="86"/>
      <c r="AS191" s="86"/>
      <c r="AT191" s="86"/>
      <c r="AU191" s="86"/>
    </row>
    <row r="192" spans="1:47" s="6" customFormat="1" ht="12">
      <c r="A192" s="6" t="s">
        <v>642</v>
      </c>
      <c r="B192" s="7" t="s">
        <v>643</v>
      </c>
      <c r="C192" s="8" t="s">
        <v>129</v>
      </c>
      <c r="D192" s="8" t="s">
        <v>637</v>
      </c>
      <c r="E192" s="6" t="s">
        <v>311</v>
      </c>
      <c r="G192" s="6" t="s">
        <v>414</v>
      </c>
      <c r="H192" s="6" t="s">
        <v>644</v>
      </c>
      <c r="J192" s="6">
        <v>0</v>
      </c>
      <c r="K192" s="6">
        <v>125</v>
      </c>
      <c r="L192" s="6" t="s">
        <v>38</v>
      </c>
      <c r="M192" s="6" t="s">
        <v>39</v>
      </c>
      <c r="N192" s="6" t="s">
        <v>639</v>
      </c>
      <c r="O192" s="6" t="s">
        <v>640</v>
      </c>
      <c r="P192" s="6">
        <v>673</v>
      </c>
      <c r="Q192" s="28" t="s">
        <v>641</v>
      </c>
      <c r="R192" s="87">
        <v>0</v>
      </c>
      <c r="S192" s="87">
        <f>100 - R192 - U192 - T192</f>
        <v>0</v>
      </c>
      <c r="T192" s="87">
        <v>100</v>
      </c>
      <c r="U192" s="88">
        <v>0</v>
      </c>
      <c r="V192" s="87">
        <v>0</v>
      </c>
      <c r="W192" s="88">
        <f>IF($R192 &gt; 0, 100 - $V192, 0)</f>
        <v>0</v>
      </c>
      <c r="X192" s="71">
        <v>0</v>
      </c>
      <c r="Y192" s="71">
        <f>IF($S192 &gt; 0, 100 - $X192 - $Z192, 0)</f>
        <v>0</v>
      </c>
      <c r="Z192" s="72">
        <v>0</v>
      </c>
      <c r="AA192" s="71">
        <f>INDEX(Chemical_analyses!$A:$L, MATCH($P192, Chemical_analyses!$A:$A), 9)/$AI$1/(INDEX(Chemical_analyses!$A:$L, MATCH($P192, Chemical_analyses!$A:$A), 9)/$AI$1+INDEX(Chemical_analyses!$A:$L, MATCH($P192, Chemical_analyses!$A:$A), 11)/$AJ$1+INDEX(Chemical_analyses!$A:$L, MATCH($P192, Chemical_analyses!$A:$A), 12)/$AK$1)*100</f>
        <v>32.937122028872118</v>
      </c>
      <c r="AB192" s="71">
        <f>IF($T192 &gt; 0, 100 - $AA192 - $AC192, 0)</f>
        <v>52.927703993093225</v>
      </c>
      <c r="AC192" s="72">
        <f>INDEX(Chemical_analyses!$A:$L, MATCH($P192, Chemical_analyses!$A:$A), 12)/$AK$1/(INDEX(Chemical_analyses!$A:$L, MATCH($P192, Chemical_analyses!$A:$A), 9)/$AI$1+INDEX(Chemical_analyses!$A:$L, MATCH($P192, Chemical_analyses!$A:$A), 11)/$AJ$1+INDEX(Chemical_analyses!$A:$L, MATCH($P192, Chemical_analyses!$A:$A), 12)/$AK$1)*100</f>
        <v>14.135173978034651</v>
      </c>
      <c r="AD192" s="71">
        <v>0</v>
      </c>
      <c r="AE192" s="71">
        <f>IF($U192 &gt; 0, 100 - $AD192 - $AF192, 0)</f>
        <v>0</v>
      </c>
      <c r="AF192" s="72">
        <v>0</v>
      </c>
      <c r="AG192" s="6" t="s">
        <v>43</v>
      </c>
      <c r="AH192" s="10" t="str">
        <f>_xlfn.CONCAT("FeO: ", INDEX(Chemical_analyses!$A:$M, MATCH($P192, Chemical_analyses!$A:$A), 9), ", MgO: ", INDEX(Chemical_analyses!$A:$M, MATCH($P192, Chemical_analyses!$A:$A), 11), ", CaO: ", INDEX(Chemical_analyses!$A:$M, MATCH($P192, Chemical_analyses!$A:$A), 12), ", MnO: ", INDEX(Chemical_analyses!$A:$M, MATCH($P192, Chemical_analyses!$A:$A), 10), ", NaO2: ", INDEX(Chemical_analyses!$A:$M, MATCH($P192, Chemical_analyses!$A:$A), 13), ", Fe2O3: ", INDEX(Chemical_analyses!$A:$M, MATCH($P192, Chemical_analyses!$A:$A), 8), ", Al2O3: ", INDEX(Chemical_analyses!$A:$M, MATCH($P192, Chemical_analyses!$A:$A), 6))</f>
        <v>FeO: 20.3, MgO: 18.3, CaO: 6.8, MnO: 0.35, NaO2: 0.03, Fe2O3: 0, Al2O3: 1.35</v>
      </c>
      <c r="AI192" s="10"/>
      <c r="AJ192" s="10"/>
      <c r="AN192" s="86"/>
      <c r="AO192" s="86"/>
      <c r="AP192" s="86"/>
      <c r="AQ192" s="86"/>
      <c r="AR192" s="86"/>
      <c r="AS192" s="86"/>
      <c r="AT192" s="86"/>
      <c r="AU192" s="86"/>
    </row>
    <row r="193" spans="1:47" s="6" customFormat="1" ht="12">
      <c r="A193" s="6" t="s">
        <v>645</v>
      </c>
      <c r="B193" s="7" t="s">
        <v>646</v>
      </c>
      <c r="C193" s="8" t="s">
        <v>129</v>
      </c>
      <c r="D193" s="8" t="s">
        <v>637</v>
      </c>
      <c r="E193" s="6" t="s">
        <v>311</v>
      </c>
      <c r="G193" s="6" t="s">
        <v>414</v>
      </c>
      <c r="H193" s="6" t="s">
        <v>647</v>
      </c>
      <c r="J193" s="6">
        <v>0</v>
      </c>
      <c r="K193" s="6">
        <v>125</v>
      </c>
      <c r="L193" s="6" t="s">
        <v>38</v>
      </c>
      <c r="M193" s="6" t="s">
        <v>39</v>
      </c>
      <c r="N193" s="6" t="s">
        <v>639</v>
      </c>
      <c r="O193" s="6" t="s">
        <v>640</v>
      </c>
      <c r="P193" s="6">
        <v>663</v>
      </c>
      <c r="Q193" s="28" t="s">
        <v>641</v>
      </c>
      <c r="R193" s="87">
        <v>0</v>
      </c>
      <c r="S193" s="87">
        <f>100 - R193 - U193 - T193</f>
        <v>0</v>
      </c>
      <c r="T193" s="87">
        <v>100</v>
      </c>
      <c r="U193" s="88">
        <v>0</v>
      </c>
      <c r="V193" s="71">
        <v>0</v>
      </c>
      <c r="W193" s="88">
        <f>IF($R193 &gt; 0, 100 - $V193, 0)</f>
        <v>0</v>
      </c>
      <c r="X193" s="71">
        <v>0</v>
      </c>
      <c r="Y193" s="71">
        <f>IF($S193 &gt; 0, 100 - $X193 - $Z193, 0)</f>
        <v>0</v>
      </c>
      <c r="Z193" s="72">
        <v>0</v>
      </c>
      <c r="AA193" s="71">
        <f>INDEX(Chemical_analyses!$A:$L, MATCH($P193, Chemical_analyses!$A:$A), 9)/$AI$1/(INDEX(Chemical_analyses!$A:$L, MATCH($P193, Chemical_analyses!$A:$A), 9)/$AI$1+INDEX(Chemical_analyses!$A:$L, MATCH($P193, Chemical_analyses!$A:$A), 11)/$AJ$1+INDEX(Chemical_analyses!$A:$L, MATCH($P193, Chemical_analyses!$A:$A), 12)/$AK$1)*100</f>
        <v>22.434921799473717</v>
      </c>
      <c r="AB193" s="71">
        <f>IF($T193 &gt; 0, 100 - $AA193 - $AC193, 0)</f>
        <v>43.321612860089125</v>
      </c>
      <c r="AC193" s="72">
        <f>INDEX(Chemical_analyses!$A:$L, MATCH($P193, Chemical_analyses!$A:$A), 12)/$AK$1/(INDEX(Chemical_analyses!$A:$L, MATCH($P193, Chemical_analyses!$A:$A), 9)/$AI$1+INDEX(Chemical_analyses!$A:$L, MATCH($P193, Chemical_analyses!$A:$A), 11)/$AJ$1+INDEX(Chemical_analyses!$A:$L, MATCH($P193, Chemical_analyses!$A:$A), 12)/$AK$1)*100</f>
        <v>34.243465340437162</v>
      </c>
      <c r="AD193" s="71">
        <v>0</v>
      </c>
      <c r="AE193" s="71">
        <f>IF($U193 &gt; 0, 100 - $AD193 - $AF193, 0)</f>
        <v>0</v>
      </c>
      <c r="AF193" s="72">
        <v>0</v>
      </c>
      <c r="AG193" s="6" t="s">
        <v>43</v>
      </c>
      <c r="AH193" s="10" t="str">
        <f>_xlfn.CONCAT("FeO: ", INDEX(Chemical_analyses!$A:$M, MATCH($P193, Chemical_analyses!$A:$A), 9), ", MgO: ", INDEX(Chemical_analyses!$A:$M, MATCH($P193, Chemical_analyses!$A:$A), 11), ", CaO: ", INDEX(Chemical_analyses!$A:$M, MATCH($P193, Chemical_analyses!$A:$A), 12), ", MnO: ", INDEX(Chemical_analyses!$A:$M, MATCH($P193, Chemical_analyses!$A:$A), 10), ", NaO2: ", INDEX(Chemical_analyses!$A:$M, MATCH($P193, Chemical_analyses!$A:$A), 13), ", Fe2O3: ", INDEX(Chemical_analyses!$A:$M, MATCH($P193, Chemical_analyses!$A:$A), 8), ", Al2O3: ", INDEX(Chemical_analyses!$A:$M, MATCH($P193, Chemical_analyses!$A:$A), 6))</f>
        <v>FeO: 13.69, MgO: 14.83, CaO: 16.31, MnO: 0.23, NaO2: 0.02, Fe2O3: 0, Al2O3: 2.73</v>
      </c>
      <c r="AI193" s="10"/>
      <c r="AJ193" s="10"/>
      <c r="AN193" s="86"/>
      <c r="AO193" s="86"/>
      <c r="AP193" s="86"/>
      <c r="AQ193" s="86"/>
      <c r="AR193" s="86"/>
      <c r="AS193" s="86"/>
      <c r="AT193" s="86"/>
      <c r="AU193" s="86"/>
    </row>
    <row r="194" spans="1:47" s="6" customFormat="1" ht="12">
      <c r="A194" s="6" t="s">
        <v>648</v>
      </c>
      <c r="B194" s="7" t="s">
        <v>649</v>
      </c>
      <c r="C194" s="8" t="s">
        <v>129</v>
      </c>
      <c r="D194" s="8" t="s">
        <v>637</v>
      </c>
      <c r="E194" s="6" t="s">
        <v>311</v>
      </c>
      <c r="G194" s="6" t="s">
        <v>414</v>
      </c>
      <c r="H194" s="6" t="s">
        <v>650</v>
      </c>
      <c r="J194" s="6">
        <v>0</v>
      </c>
      <c r="K194" s="6">
        <v>125</v>
      </c>
      <c r="L194" s="6" t="s">
        <v>38</v>
      </c>
      <c r="M194" s="6" t="s">
        <v>39</v>
      </c>
      <c r="N194" s="6" t="s">
        <v>639</v>
      </c>
      <c r="O194" s="6" t="s">
        <v>640</v>
      </c>
      <c r="P194" s="6">
        <v>664</v>
      </c>
      <c r="Q194" s="28" t="s">
        <v>641</v>
      </c>
      <c r="R194" s="87">
        <v>0</v>
      </c>
      <c r="S194" s="87">
        <f>100 - R194 - U194 - T194</f>
        <v>0</v>
      </c>
      <c r="T194" s="87">
        <v>100</v>
      </c>
      <c r="U194" s="88">
        <v>0</v>
      </c>
      <c r="V194" s="87">
        <v>0</v>
      </c>
      <c r="W194" s="88">
        <f>IF($R194 &gt; 0, 100 - $V194, 0)</f>
        <v>0</v>
      </c>
      <c r="X194" s="71">
        <v>0</v>
      </c>
      <c r="Y194" s="71">
        <f>IF($S194 &gt; 0, 100 - $X194 - $Z194, 0)</f>
        <v>0</v>
      </c>
      <c r="Z194" s="72">
        <v>0</v>
      </c>
      <c r="AA194" s="71">
        <f>INDEX(Chemical_analyses!$A:$L, MATCH($P194, Chemical_analyses!$A:$A), 9)/$AI$1/(INDEX(Chemical_analyses!$A:$L, MATCH($P194, Chemical_analyses!$A:$A), 9)/$AI$1+INDEX(Chemical_analyses!$A:$L, MATCH($P194, Chemical_analyses!$A:$A), 11)/$AJ$1+INDEX(Chemical_analyses!$A:$L, MATCH($P194, Chemical_analyses!$A:$A), 12)/$AK$1)*100</f>
        <v>30.330210802148422</v>
      </c>
      <c r="AB194" s="71">
        <f>IF($T194 &gt; 0, 100 - $AA194 - $AC194, 0)</f>
        <v>59.899366064623095</v>
      </c>
      <c r="AC194" s="72">
        <f>INDEX(Chemical_analyses!$A:$L, MATCH($P194, Chemical_analyses!$A:$A), 12)/$AK$1/(INDEX(Chemical_analyses!$A:$L, MATCH($P194, Chemical_analyses!$A:$A), 9)/$AI$1+INDEX(Chemical_analyses!$A:$L, MATCH($P194, Chemical_analyses!$A:$A), 11)/$AJ$1+INDEX(Chemical_analyses!$A:$L, MATCH($P194, Chemical_analyses!$A:$A), 12)/$AK$1)*100</f>
        <v>9.7704231332284763</v>
      </c>
      <c r="AD194" s="71">
        <v>0</v>
      </c>
      <c r="AE194" s="71">
        <f>IF($U194 &gt; 0, 100 - $AD194 - $AF194, 0)</f>
        <v>0</v>
      </c>
      <c r="AF194" s="72">
        <v>0</v>
      </c>
      <c r="AG194" s="6" t="s">
        <v>43</v>
      </c>
      <c r="AH194" s="10" t="str">
        <f>_xlfn.CONCAT("FeO: ", INDEX(Chemical_analyses!$A:$M, MATCH($P194, Chemical_analyses!$A:$A), 9), ", MgO: ", INDEX(Chemical_analyses!$A:$M, MATCH($P194, Chemical_analyses!$A:$A), 11), ", CaO: ", INDEX(Chemical_analyses!$A:$M, MATCH($P194, Chemical_analyses!$A:$A), 12), ", MnO: ", INDEX(Chemical_analyses!$A:$M, MATCH($P194, Chemical_analyses!$A:$A), 10), ", NaO2: ", INDEX(Chemical_analyses!$A:$M, MATCH($P194, Chemical_analyses!$A:$A), 13), ", Fe2O3: ", INDEX(Chemical_analyses!$A:$M, MATCH($P194, Chemical_analyses!$A:$A), 8), ", Al2O3: ", INDEX(Chemical_analyses!$A:$M, MATCH($P194, Chemical_analyses!$A:$A), 6))</f>
        <v>FeO: 19.09, MgO: 21.15, CaO: 4.8, MnO: 0.33, NaO2: 0.02, Fe2O3: 0, Al2O3: 1.33</v>
      </c>
      <c r="AN194" s="86"/>
      <c r="AO194" s="86"/>
      <c r="AP194" s="86"/>
      <c r="AQ194" s="86"/>
      <c r="AR194" s="86"/>
      <c r="AS194" s="86"/>
      <c r="AT194" s="86"/>
      <c r="AU194" s="86"/>
    </row>
    <row r="195" spans="1:47" s="6" customFormat="1" ht="12">
      <c r="A195" s="6" t="s">
        <v>651</v>
      </c>
      <c r="B195" s="7" t="s">
        <v>652</v>
      </c>
      <c r="C195" s="8" t="s">
        <v>129</v>
      </c>
      <c r="D195" s="8" t="s">
        <v>637</v>
      </c>
      <c r="E195" s="6" t="s">
        <v>311</v>
      </c>
      <c r="G195" s="6" t="s">
        <v>414</v>
      </c>
      <c r="H195" s="6" t="s">
        <v>480</v>
      </c>
      <c r="J195" s="6">
        <v>0</v>
      </c>
      <c r="K195" s="6">
        <v>125</v>
      </c>
      <c r="L195" s="6" t="s">
        <v>38</v>
      </c>
      <c r="M195" s="6" t="s">
        <v>39</v>
      </c>
      <c r="N195" s="6" t="s">
        <v>653</v>
      </c>
      <c r="O195" s="6" t="s">
        <v>640</v>
      </c>
      <c r="P195" s="6">
        <v>676</v>
      </c>
      <c r="Q195" s="28" t="s">
        <v>654</v>
      </c>
      <c r="R195" s="87">
        <v>0</v>
      </c>
      <c r="S195" s="87">
        <f>100 - R195 - U195 - T195</f>
        <v>0</v>
      </c>
      <c r="T195" s="87">
        <v>100</v>
      </c>
      <c r="U195" s="88">
        <v>0</v>
      </c>
      <c r="V195" s="87">
        <v>0</v>
      </c>
      <c r="W195" s="88">
        <f>IF($R195 &gt; 0, 100 - $V195, 0)</f>
        <v>0</v>
      </c>
      <c r="X195" s="71">
        <v>0</v>
      </c>
      <c r="Y195" s="71">
        <f>IF($S195 &gt; 0, 100 - $X195 - $Z195, 0)</f>
        <v>0</v>
      </c>
      <c r="Z195" s="72">
        <v>0</v>
      </c>
      <c r="AA195" s="71">
        <f>INDEX(Chemical_analyses!$A:$L, MATCH($P195, Chemical_analyses!$A:$A), 9)/$AI$1/(INDEX(Chemical_analyses!$A:$L, MATCH($P195, Chemical_analyses!$A:$A), 9)/$AI$1+INDEX(Chemical_analyses!$A:$L, MATCH($P195, Chemical_analyses!$A:$A), 11)/$AJ$1+INDEX(Chemical_analyses!$A:$L, MATCH($P195, Chemical_analyses!$A:$A), 12)/$AK$1)*100</f>
        <v>24.024371326926467</v>
      </c>
      <c r="AB195" s="71">
        <f>IF($T195 &gt; 0, 100 - $AA195 - $AC195, 0)</f>
        <v>43.710733969167478</v>
      </c>
      <c r="AC195" s="72">
        <f>INDEX(Chemical_analyses!$A:$L, MATCH($P195, Chemical_analyses!$A:$A), 12)/$AK$1/(INDEX(Chemical_analyses!$A:$L, MATCH($P195, Chemical_analyses!$A:$A), 9)/$AI$1+INDEX(Chemical_analyses!$A:$L, MATCH($P195, Chemical_analyses!$A:$A), 11)/$AJ$1+INDEX(Chemical_analyses!$A:$L, MATCH($P195, Chemical_analyses!$A:$A), 12)/$AK$1)*100</f>
        <v>32.264894703906052</v>
      </c>
      <c r="AD195" s="71">
        <v>0</v>
      </c>
      <c r="AE195" s="71">
        <f>IF($U195 &gt; 0, 100 - $AD195 - $AF195, 0)</f>
        <v>0</v>
      </c>
      <c r="AF195" s="72">
        <v>0</v>
      </c>
      <c r="AG195" s="6" t="s">
        <v>43</v>
      </c>
      <c r="AH195" s="10" t="str">
        <f>_xlfn.CONCAT("FeO: ", INDEX(Chemical_analyses!$A:$M, MATCH($P195, Chemical_analyses!$A:$A), 9), ", MgO: ", INDEX(Chemical_analyses!$A:$M, MATCH($P195, Chemical_analyses!$A:$A), 11), ", CaO: ", INDEX(Chemical_analyses!$A:$M, MATCH($P195, Chemical_analyses!$A:$A), 12), ", MnO: ", INDEX(Chemical_analyses!$A:$M, MATCH($P195, Chemical_analyses!$A:$A), 10), ", NaO2: ", INDEX(Chemical_analyses!$A:$M, MATCH($P195, Chemical_analyses!$A:$A), 13), ", Fe2O3: ", INDEX(Chemical_analyses!$A:$M, MATCH($P195, Chemical_analyses!$A:$A), 8), ", Al2O3: ", INDEX(Chemical_analyses!$A:$M, MATCH($P195, Chemical_analyses!$A:$A), 6))</f>
        <v>FeO: 14.5, MgO: 14.8, CaO: 15.2, MnO: 0.3, NaO2: 0.08, Fe2O3: 0, Al2O3: 2.47</v>
      </c>
      <c r="AI195" s="10"/>
      <c r="AJ195" s="10"/>
      <c r="AN195" s="86"/>
      <c r="AO195" s="86"/>
      <c r="AP195" s="86"/>
      <c r="AQ195" s="86"/>
      <c r="AR195" s="86"/>
      <c r="AS195" s="86"/>
      <c r="AT195" s="86"/>
      <c r="AU195" s="86"/>
    </row>
    <row r="196" spans="1:47" s="6" customFormat="1" ht="12">
      <c r="A196" s="6" t="s">
        <v>655</v>
      </c>
      <c r="B196" s="7" t="s">
        <v>656</v>
      </c>
      <c r="C196" s="8" t="s">
        <v>129</v>
      </c>
      <c r="D196" s="8" t="s">
        <v>637</v>
      </c>
      <c r="E196" s="6" t="s">
        <v>311</v>
      </c>
      <c r="G196" s="6" t="s">
        <v>414</v>
      </c>
      <c r="H196" s="6" t="s">
        <v>624</v>
      </c>
      <c r="J196" s="6">
        <v>0</v>
      </c>
      <c r="K196" s="6">
        <v>125</v>
      </c>
      <c r="L196" s="6" t="s">
        <v>38</v>
      </c>
      <c r="M196" s="6" t="s">
        <v>39</v>
      </c>
      <c r="N196" s="6" t="s">
        <v>653</v>
      </c>
      <c r="O196" s="6" t="s">
        <v>640</v>
      </c>
      <c r="P196" s="6">
        <v>677</v>
      </c>
      <c r="Q196" s="6" t="s">
        <v>654</v>
      </c>
      <c r="R196" s="87">
        <v>0</v>
      </c>
      <c r="S196" s="87">
        <f>100 - R196 - U196 - T196</f>
        <v>0</v>
      </c>
      <c r="T196" s="87">
        <v>100</v>
      </c>
      <c r="U196" s="88">
        <v>0</v>
      </c>
      <c r="V196" s="87">
        <v>0</v>
      </c>
      <c r="W196" s="88">
        <f>IF($R196 &gt; 0, 100 - $V196, 0)</f>
        <v>0</v>
      </c>
      <c r="X196" s="71">
        <v>0</v>
      </c>
      <c r="Y196" s="71">
        <f>IF($S196 &gt; 0, 100 - $X196 - $Z196, 0)</f>
        <v>0</v>
      </c>
      <c r="Z196" s="72">
        <v>0</v>
      </c>
      <c r="AA196" s="71">
        <f>INDEX(Chemical_analyses!$A:$L, MATCH($P196, Chemical_analyses!$A:$A), 9)/$AI$1/(INDEX(Chemical_analyses!$A:$L, MATCH($P196, Chemical_analyses!$A:$A), 9)/$AI$1+INDEX(Chemical_analyses!$A:$L, MATCH($P196, Chemical_analyses!$A:$A), 11)/$AJ$1+INDEX(Chemical_analyses!$A:$L, MATCH($P196, Chemical_analyses!$A:$A), 12)/$AK$1)*100</f>
        <v>31.843586823547405</v>
      </c>
      <c r="AB196" s="71">
        <f>IF($T196 &gt; 0, 100 - $AA196 - $AC196, 0)</f>
        <v>55.633259169976697</v>
      </c>
      <c r="AC196" s="72">
        <f>INDEX(Chemical_analyses!$A:$L, MATCH($P196, Chemical_analyses!$A:$A), 12)/$AK$1/(INDEX(Chemical_analyses!$A:$L, MATCH($P196, Chemical_analyses!$A:$A), 9)/$AI$1+INDEX(Chemical_analyses!$A:$L, MATCH($P196, Chemical_analyses!$A:$A), 11)/$AJ$1+INDEX(Chemical_analyses!$A:$L, MATCH($P196, Chemical_analyses!$A:$A), 12)/$AK$1)*100</f>
        <v>12.52315400647589</v>
      </c>
      <c r="AD196" s="71">
        <v>0</v>
      </c>
      <c r="AE196" s="71">
        <f>IF($U196 &gt; 0, 100 - $AD196 - $AF196, 0)</f>
        <v>0</v>
      </c>
      <c r="AF196" s="72">
        <v>0</v>
      </c>
      <c r="AG196" s="6" t="s">
        <v>43</v>
      </c>
      <c r="AH196" s="10" t="str">
        <f>_xlfn.CONCAT("FeO: ", INDEX(Chemical_analyses!$A:$M, MATCH($P196, Chemical_analyses!$A:$A), 9), ", MgO: ", INDEX(Chemical_analyses!$A:$M, MATCH($P196, Chemical_analyses!$A:$A), 11), ", CaO: ", INDEX(Chemical_analyses!$A:$M, MATCH($P196, Chemical_analyses!$A:$A), 12), ", MnO: ", INDEX(Chemical_analyses!$A:$M, MATCH($P196, Chemical_analyses!$A:$A), 10), ", NaO2: ", INDEX(Chemical_analyses!$A:$M, MATCH($P196, Chemical_analyses!$A:$A), 13), ", Fe2O3: ", INDEX(Chemical_analyses!$A:$M, MATCH($P196, Chemical_analyses!$A:$A), 8), ", Al2O3: ", INDEX(Chemical_analyses!$A:$M, MATCH($P196, Chemical_analyses!$A:$A), 6))</f>
        <v>FeO: 20.1, MgO: 19.7, CaO: 6.17, MnO: 0.37, NaO2: 0.03, Fe2O3: 0, Al2O3: 1.2</v>
      </c>
      <c r="AI196" s="10"/>
      <c r="AJ196" s="10"/>
      <c r="AN196" s="86"/>
      <c r="AO196" s="86"/>
      <c r="AP196" s="86"/>
      <c r="AQ196" s="86"/>
      <c r="AR196" s="86"/>
      <c r="AS196" s="86"/>
      <c r="AT196" s="86"/>
      <c r="AU196" s="86"/>
    </row>
    <row r="197" spans="1:47" s="6" customFormat="1" ht="12">
      <c r="A197" s="6" t="s">
        <v>657</v>
      </c>
      <c r="B197" s="7" t="s">
        <v>658</v>
      </c>
      <c r="C197" s="8" t="s">
        <v>129</v>
      </c>
      <c r="D197" s="8" t="s">
        <v>637</v>
      </c>
      <c r="E197" s="6" t="s">
        <v>311</v>
      </c>
      <c r="G197" s="6" t="s">
        <v>414</v>
      </c>
      <c r="H197" s="6" t="s">
        <v>647</v>
      </c>
      <c r="J197" s="6">
        <v>0</v>
      </c>
      <c r="K197" s="6">
        <v>125</v>
      </c>
      <c r="L197" s="6" t="s">
        <v>38</v>
      </c>
      <c r="M197" s="6" t="s">
        <v>39</v>
      </c>
      <c r="N197" s="6" t="s">
        <v>653</v>
      </c>
      <c r="O197" s="6" t="s">
        <v>640</v>
      </c>
      <c r="P197" s="6">
        <v>666</v>
      </c>
      <c r="Q197" s="6" t="s">
        <v>654</v>
      </c>
      <c r="R197" s="87">
        <v>0</v>
      </c>
      <c r="S197" s="87">
        <f>100 - R197 - U197 - T197</f>
        <v>0</v>
      </c>
      <c r="T197" s="87">
        <v>100</v>
      </c>
      <c r="U197" s="88">
        <v>0</v>
      </c>
      <c r="V197" s="87">
        <v>0</v>
      </c>
      <c r="W197" s="88">
        <f>IF($R197 &gt; 0, 100 - $V197, 0)</f>
        <v>0</v>
      </c>
      <c r="X197" s="71">
        <v>0</v>
      </c>
      <c r="Y197" s="71">
        <f>IF($S197 &gt; 0, 100 - $X197 - $Z197, 0)</f>
        <v>0</v>
      </c>
      <c r="Z197" s="72">
        <v>0</v>
      </c>
      <c r="AA197" s="71">
        <f>INDEX(Chemical_analyses!$A:$L, MATCH($P197, Chemical_analyses!$A:$A), 9)/$AI$1/(INDEX(Chemical_analyses!$A:$L, MATCH($P197, Chemical_analyses!$A:$A), 9)/$AI$1+INDEX(Chemical_analyses!$A:$L, MATCH($P197, Chemical_analyses!$A:$A), 11)/$AJ$1+INDEX(Chemical_analyses!$A:$L, MATCH($P197, Chemical_analyses!$A:$A), 12)/$AK$1)*100</f>
        <v>13.828873388546398</v>
      </c>
      <c r="AB197" s="71">
        <f>IF($T197 &gt; 0, 100 - $AA197 - $AC197, 0)</f>
        <v>43.564499598252318</v>
      </c>
      <c r="AC197" s="72">
        <f>INDEX(Chemical_analyses!$A:$L, MATCH($P197, Chemical_analyses!$A:$A), 12)/$AK$1/(INDEX(Chemical_analyses!$A:$L, MATCH($P197, Chemical_analyses!$A:$A), 9)/$AI$1+INDEX(Chemical_analyses!$A:$L, MATCH($P197, Chemical_analyses!$A:$A), 11)/$AJ$1+INDEX(Chemical_analyses!$A:$L, MATCH($P197, Chemical_analyses!$A:$A), 12)/$AK$1)*100</f>
        <v>42.606627013201283</v>
      </c>
      <c r="AD197" s="71">
        <v>0</v>
      </c>
      <c r="AE197" s="71">
        <f>IF($U197 &gt; 0, 100 - $AD197 - $AF197, 0)</f>
        <v>0</v>
      </c>
      <c r="AF197" s="72">
        <v>0</v>
      </c>
      <c r="AG197" s="6" t="s">
        <v>43</v>
      </c>
      <c r="AH197" s="10" t="str">
        <f>_xlfn.CONCAT("FeO: ", INDEX(Chemical_analyses!$A:$M, MATCH($P197, Chemical_analyses!$A:$A), 9), ", MgO: ", INDEX(Chemical_analyses!$A:$M, MATCH($P197, Chemical_analyses!$A:$A), 11), ", CaO: ", INDEX(Chemical_analyses!$A:$M, MATCH($P197, Chemical_analyses!$A:$A), 12), ", MnO: ", INDEX(Chemical_analyses!$A:$M, MATCH($P197, Chemical_analyses!$A:$A), 10), ", NaO2: ", INDEX(Chemical_analyses!$A:$M, MATCH($P197, Chemical_analyses!$A:$A), 13), ", Fe2O3: ", INDEX(Chemical_analyses!$A:$M, MATCH($P197, Chemical_analyses!$A:$A), 8), ", Al2O3: ", INDEX(Chemical_analyses!$A:$M, MATCH($P197, Chemical_analyses!$A:$A), 6))</f>
        <v>FeO: 8.25, MgO: 14.58, CaO: 19.84, MnO: 0.16, NaO2: 0.1, Fe2O3: 0, Al2O3: 4.13</v>
      </c>
      <c r="AI197" s="10"/>
      <c r="AJ197" s="10"/>
      <c r="AN197" s="86"/>
      <c r="AO197" s="86"/>
      <c r="AP197" s="86"/>
      <c r="AQ197" s="86"/>
      <c r="AR197" s="86"/>
      <c r="AS197" s="86"/>
      <c r="AT197" s="86"/>
      <c r="AU197" s="86"/>
    </row>
    <row r="198" spans="1:47" s="6" customFormat="1" ht="12">
      <c r="A198" s="6" t="s">
        <v>659</v>
      </c>
      <c r="B198" s="7" t="s">
        <v>660</v>
      </c>
      <c r="C198" s="8" t="s">
        <v>129</v>
      </c>
      <c r="D198" s="8" t="s">
        <v>637</v>
      </c>
      <c r="E198" s="6" t="s">
        <v>311</v>
      </c>
      <c r="G198" s="6" t="s">
        <v>414</v>
      </c>
      <c r="H198" s="6" t="s">
        <v>624</v>
      </c>
      <c r="J198" s="6">
        <v>0</v>
      </c>
      <c r="K198" s="6">
        <v>125</v>
      </c>
      <c r="L198" s="6" t="s">
        <v>38</v>
      </c>
      <c r="M198" s="6" t="s">
        <v>39</v>
      </c>
      <c r="N198" s="6" t="s">
        <v>653</v>
      </c>
      <c r="O198" s="6" t="s">
        <v>640</v>
      </c>
      <c r="P198" s="6">
        <v>667</v>
      </c>
      <c r="Q198" s="28" t="s">
        <v>654</v>
      </c>
      <c r="R198" s="87">
        <v>0</v>
      </c>
      <c r="S198" s="87">
        <f>100 - R198 - U198 - T198</f>
        <v>0</v>
      </c>
      <c r="T198" s="87">
        <v>100</v>
      </c>
      <c r="U198" s="88">
        <v>0</v>
      </c>
      <c r="V198" s="87">
        <v>0</v>
      </c>
      <c r="W198" s="88">
        <f>IF($R198 &gt; 0, 100 - $V198, 0)</f>
        <v>0</v>
      </c>
      <c r="X198" s="71">
        <v>0</v>
      </c>
      <c r="Y198" s="71">
        <f>IF($S198 &gt; 0, 100 - $X198 - $Z198, 0)</f>
        <v>0</v>
      </c>
      <c r="Z198" s="72">
        <v>0</v>
      </c>
      <c r="AA198" s="71">
        <f>INDEX(Chemical_analyses!$A:$L, MATCH($P198, Chemical_analyses!$A:$A), 9)/$AI$1/(INDEX(Chemical_analyses!$A:$L, MATCH($P198, Chemical_analyses!$A:$A), 9)/$AI$1+INDEX(Chemical_analyses!$A:$L, MATCH($P198, Chemical_analyses!$A:$A), 11)/$AJ$1+INDEX(Chemical_analyses!$A:$L, MATCH($P198, Chemical_analyses!$A:$A), 12)/$AK$1)*100</f>
        <v>27.16773286162001</v>
      </c>
      <c r="AB198" s="71">
        <f>IF($T198 &gt; 0, 100 - $AA198 - $AC198, 0)</f>
        <v>65.307699821299749</v>
      </c>
      <c r="AC198" s="72">
        <f>INDEX(Chemical_analyses!$A:$L, MATCH($P198, Chemical_analyses!$A:$A), 12)/$AK$1/(INDEX(Chemical_analyses!$A:$L, MATCH($P198, Chemical_analyses!$A:$A), 9)/$AI$1+INDEX(Chemical_analyses!$A:$L, MATCH($P198, Chemical_analyses!$A:$A), 11)/$AJ$1+INDEX(Chemical_analyses!$A:$L, MATCH($P198, Chemical_analyses!$A:$A), 12)/$AK$1)*100</f>
        <v>7.5245673170802396</v>
      </c>
      <c r="AD198" s="71">
        <v>0</v>
      </c>
      <c r="AE198" s="71">
        <f>IF($U198 &gt; 0, 100 - $AD198 - $AF198, 0)</f>
        <v>0</v>
      </c>
      <c r="AF198" s="72">
        <v>0</v>
      </c>
      <c r="AG198" s="6" t="s">
        <v>43</v>
      </c>
      <c r="AH198" s="10" t="str">
        <f>_xlfn.CONCAT("FeO: ", INDEX(Chemical_analyses!$A:$M, MATCH($P198, Chemical_analyses!$A:$A), 9), ", MgO: ", INDEX(Chemical_analyses!$A:$M, MATCH($P198, Chemical_analyses!$A:$A), 11), ", CaO: ", INDEX(Chemical_analyses!$A:$M, MATCH($P198, Chemical_analyses!$A:$A), 12), ", MnO: ", INDEX(Chemical_analyses!$A:$M, MATCH($P198, Chemical_analyses!$A:$A), 10), ", NaO2: ", INDEX(Chemical_analyses!$A:$M, MATCH($P198, Chemical_analyses!$A:$A), 13), ", Fe2O3: ", INDEX(Chemical_analyses!$A:$M, MATCH($P198, Chemical_analyses!$A:$A), 8), ", Al2O3: ", INDEX(Chemical_analyses!$A:$M, MATCH($P198, Chemical_analyses!$A:$A), 6))</f>
        <v>FeO: 17.3, MgO: 23.33, CaO: 3.74, MnO: 0.35, NaO2: 0.01, Fe2O3: 0, Al2O3: 1.02</v>
      </c>
      <c r="AI198" s="10"/>
      <c r="AJ198" s="10"/>
      <c r="AN198" s="86"/>
      <c r="AO198" s="86"/>
      <c r="AP198" s="86"/>
      <c r="AQ198" s="86"/>
      <c r="AR198" s="86"/>
      <c r="AS198" s="86"/>
      <c r="AT198" s="86"/>
      <c r="AU198" s="86"/>
    </row>
    <row r="199" spans="1:47" s="6" customFormat="1" ht="12">
      <c r="A199" s="6" t="s">
        <v>661</v>
      </c>
      <c r="B199" s="7" t="s">
        <v>662</v>
      </c>
      <c r="C199" s="8" t="s">
        <v>129</v>
      </c>
      <c r="D199" s="8" t="s">
        <v>637</v>
      </c>
      <c r="E199" s="6" t="s">
        <v>311</v>
      </c>
      <c r="G199" s="6" t="s">
        <v>414</v>
      </c>
      <c r="H199" s="6" t="s">
        <v>647</v>
      </c>
      <c r="J199" s="11">
        <v>0</v>
      </c>
      <c r="K199" s="11">
        <v>45</v>
      </c>
      <c r="L199" s="6" t="s">
        <v>38</v>
      </c>
      <c r="M199" s="6" t="s">
        <v>39</v>
      </c>
      <c r="N199" s="6" t="s">
        <v>639</v>
      </c>
      <c r="O199" s="6" t="s">
        <v>640</v>
      </c>
      <c r="P199" s="6">
        <v>663</v>
      </c>
      <c r="Q199" s="28" t="s">
        <v>641</v>
      </c>
      <c r="R199" s="87">
        <v>0</v>
      </c>
      <c r="S199" s="87">
        <f>100 - R199 - U199 - T199</f>
        <v>0</v>
      </c>
      <c r="T199" s="87">
        <v>100</v>
      </c>
      <c r="U199" s="88">
        <v>0</v>
      </c>
      <c r="V199" s="87">
        <v>0</v>
      </c>
      <c r="W199" s="88">
        <f>IF($R199 &gt; 0, 100 - $V199, 0)</f>
        <v>0</v>
      </c>
      <c r="X199" s="71">
        <v>0</v>
      </c>
      <c r="Y199" s="71">
        <f>IF($S199 &gt; 0, 100 - $X199 - $Z199, 0)</f>
        <v>0</v>
      </c>
      <c r="Z199" s="72">
        <v>0</v>
      </c>
      <c r="AA199" s="71">
        <f>INDEX(Chemical_analyses!$A:$L, MATCH($P199, Chemical_analyses!$A:$A), 9)/$AI$1/(INDEX(Chemical_analyses!$A:$L, MATCH($P199, Chemical_analyses!$A:$A), 9)/$AI$1+INDEX(Chemical_analyses!$A:$L, MATCH($P199, Chemical_analyses!$A:$A), 11)/$AJ$1+INDEX(Chemical_analyses!$A:$L, MATCH($P199, Chemical_analyses!$A:$A), 12)/$AK$1)*100</f>
        <v>22.434921799473717</v>
      </c>
      <c r="AB199" s="71">
        <f>IF($T199 &gt; 0, 100 - $AA199 - $AC199, 0)</f>
        <v>43.321612860089125</v>
      </c>
      <c r="AC199" s="72">
        <f>INDEX(Chemical_analyses!$A:$L, MATCH($P199, Chemical_analyses!$A:$A), 12)/$AK$1/(INDEX(Chemical_analyses!$A:$L, MATCH($P199, Chemical_analyses!$A:$A), 9)/$AI$1+INDEX(Chemical_analyses!$A:$L, MATCH($P199, Chemical_analyses!$A:$A), 11)/$AJ$1+INDEX(Chemical_analyses!$A:$L, MATCH($P199, Chemical_analyses!$A:$A), 12)/$AK$1)*100</f>
        <v>34.243465340437162</v>
      </c>
      <c r="AD199" s="71">
        <v>0</v>
      </c>
      <c r="AE199" s="71">
        <f>IF($U199 &gt; 0, 100 - $AD199 - $AF199, 0)</f>
        <v>0</v>
      </c>
      <c r="AF199" s="72">
        <v>0</v>
      </c>
      <c r="AG199" s="6" t="s">
        <v>43</v>
      </c>
      <c r="AH199" s="10" t="str">
        <f>_xlfn.CONCAT("FeO: ", INDEX(Chemical_analyses!$A:$M, MATCH($P199, Chemical_analyses!$A:$A), 9), ", MgO: ", INDEX(Chemical_analyses!$A:$M, MATCH($P199, Chemical_analyses!$A:$A), 11), ", CaO: ", INDEX(Chemical_analyses!$A:$M, MATCH($P199, Chemical_analyses!$A:$A), 12), ", MnO: ", INDEX(Chemical_analyses!$A:$M, MATCH($P199, Chemical_analyses!$A:$A), 10), ", NaO2: ", INDEX(Chemical_analyses!$A:$M, MATCH($P199, Chemical_analyses!$A:$A), 13), ", Fe2O3: ", INDEX(Chemical_analyses!$A:$M, MATCH($P199, Chemical_analyses!$A:$A), 8), ", Al2O3: ", INDEX(Chemical_analyses!$A:$M, MATCH($P199, Chemical_analyses!$A:$A), 6))</f>
        <v>FeO: 13.69, MgO: 14.83, CaO: 16.31, MnO: 0.23, NaO2: 0.02, Fe2O3: 0, Al2O3: 2.73</v>
      </c>
      <c r="AI199" s="10"/>
      <c r="AJ199" s="10"/>
      <c r="AN199" s="86"/>
      <c r="AO199" s="86"/>
      <c r="AP199" s="86"/>
      <c r="AQ199" s="86"/>
      <c r="AR199" s="86"/>
      <c r="AS199" s="86"/>
      <c r="AT199" s="86"/>
      <c r="AU199" s="86"/>
    </row>
    <row r="200" spans="1:47" s="6" customFormat="1" ht="12">
      <c r="A200" s="6" t="s">
        <v>663</v>
      </c>
      <c r="B200" s="7" t="s">
        <v>664</v>
      </c>
      <c r="C200" s="8" t="s">
        <v>129</v>
      </c>
      <c r="D200" s="8" t="s">
        <v>637</v>
      </c>
      <c r="E200" s="6" t="s">
        <v>311</v>
      </c>
      <c r="G200" s="6" t="s">
        <v>414</v>
      </c>
      <c r="H200" s="6" t="s">
        <v>650</v>
      </c>
      <c r="J200" s="11">
        <v>0</v>
      </c>
      <c r="K200" s="11">
        <v>45</v>
      </c>
      <c r="L200" s="6" t="s">
        <v>38</v>
      </c>
      <c r="M200" s="6" t="s">
        <v>39</v>
      </c>
      <c r="N200" s="6" t="s">
        <v>639</v>
      </c>
      <c r="O200" s="6" t="s">
        <v>640</v>
      </c>
      <c r="P200" s="6">
        <v>664</v>
      </c>
      <c r="Q200" s="28" t="s">
        <v>641</v>
      </c>
      <c r="R200" s="87">
        <v>0</v>
      </c>
      <c r="S200" s="87">
        <f>100 - R200 - U200 - T200</f>
        <v>0</v>
      </c>
      <c r="T200" s="87">
        <v>100</v>
      </c>
      <c r="U200" s="88">
        <v>0</v>
      </c>
      <c r="V200" s="87">
        <v>0</v>
      </c>
      <c r="W200" s="88">
        <f>IF($R200 &gt; 0, 100 - $V200, 0)</f>
        <v>0</v>
      </c>
      <c r="X200" s="71">
        <v>0</v>
      </c>
      <c r="Y200" s="71">
        <f>IF($S200 &gt; 0, 100 - $X200 - $Z200, 0)</f>
        <v>0</v>
      </c>
      <c r="Z200" s="72">
        <v>0</v>
      </c>
      <c r="AA200" s="71">
        <f>INDEX(Chemical_analyses!$A:$L, MATCH($P200, Chemical_analyses!$A:$A), 9)/$AI$1/(INDEX(Chemical_analyses!$A:$L, MATCH($P200, Chemical_analyses!$A:$A), 9)/$AI$1+INDEX(Chemical_analyses!$A:$L, MATCH($P200, Chemical_analyses!$A:$A), 11)/$AJ$1+INDEX(Chemical_analyses!$A:$L, MATCH($P200, Chemical_analyses!$A:$A), 12)/$AK$1)*100</f>
        <v>30.330210802148422</v>
      </c>
      <c r="AB200" s="71">
        <f>IF($T200 &gt; 0, 100 - $AA200 - $AC200, 0)</f>
        <v>59.899366064623095</v>
      </c>
      <c r="AC200" s="72">
        <f>INDEX(Chemical_analyses!$A:$L, MATCH($P200, Chemical_analyses!$A:$A), 12)/$AK$1/(INDEX(Chemical_analyses!$A:$L, MATCH($P200, Chemical_analyses!$A:$A), 9)/$AI$1+INDEX(Chemical_analyses!$A:$L, MATCH($P200, Chemical_analyses!$A:$A), 11)/$AJ$1+INDEX(Chemical_analyses!$A:$L, MATCH($P200, Chemical_analyses!$A:$A), 12)/$AK$1)*100</f>
        <v>9.7704231332284763</v>
      </c>
      <c r="AD200" s="71">
        <v>0</v>
      </c>
      <c r="AE200" s="71">
        <f>IF($U200 &gt; 0, 100 - $AD200 - $AF200, 0)</f>
        <v>0</v>
      </c>
      <c r="AF200" s="72">
        <v>0</v>
      </c>
      <c r="AG200" s="6" t="s">
        <v>43</v>
      </c>
      <c r="AH200" s="10" t="str">
        <f>_xlfn.CONCAT("FeO: ", INDEX(Chemical_analyses!$A:$M, MATCH($P200, Chemical_analyses!$A:$A), 9), ", MgO: ", INDEX(Chemical_analyses!$A:$M, MATCH($P200, Chemical_analyses!$A:$A), 11), ", CaO: ", INDEX(Chemical_analyses!$A:$M, MATCH($P200, Chemical_analyses!$A:$A), 12), ", MnO: ", INDEX(Chemical_analyses!$A:$M, MATCH($P200, Chemical_analyses!$A:$A), 10), ", NaO2: ", INDEX(Chemical_analyses!$A:$M, MATCH($P200, Chemical_analyses!$A:$A), 13), ", Fe2O3: ", INDEX(Chemical_analyses!$A:$M, MATCH($P200, Chemical_analyses!$A:$A), 8), ", Al2O3: ", INDEX(Chemical_analyses!$A:$M, MATCH($P200, Chemical_analyses!$A:$A), 6))</f>
        <v>FeO: 19.09, MgO: 21.15, CaO: 4.8, MnO: 0.33, NaO2: 0.02, Fe2O3: 0, Al2O3: 1.33</v>
      </c>
      <c r="AN200" s="86"/>
      <c r="AO200" s="86"/>
      <c r="AP200" s="86"/>
      <c r="AQ200" s="86"/>
      <c r="AR200" s="86"/>
      <c r="AS200" s="86"/>
      <c r="AT200" s="86"/>
      <c r="AU200" s="86"/>
    </row>
    <row r="201" spans="1:47" s="6" customFormat="1" ht="12">
      <c r="A201" s="6" t="s">
        <v>665</v>
      </c>
      <c r="B201" s="7" t="s">
        <v>666</v>
      </c>
      <c r="C201" s="8" t="s">
        <v>129</v>
      </c>
      <c r="D201" s="8" t="s">
        <v>637</v>
      </c>
      <c r="E201" s="6" t="s">
        <v>311</v>
      </c>
      <c r="G201" s="6" t="s">
        <v>414</v>
      </c>
      <c r="H201" s="6" t="s">
        <v>638</v>
      </c>
      <c r="J201" s="11">
        <v>0</v>
      </c>
      <c r="K201" s="11">
        <v>45</v>
      </c>
      <c r="L201" s="6" t="s">
        <v>38</v>
      </c>
      <c r="M201" s="6" t="s">
        <v>39</v>
      </c>
      <c r="N201" s="6" t="s">
        <v>639</v>
      </c>
      <c r="O201" s="6" t="s">
        <v>640</v>
      </c>
      <c r="P201" s="6">
        <v>672</v>
      </c>
      <c r="Q201" s="28" t="s">
        <v>641</v>
      </c>
      <c r="R201" s="87">
        <v>0</v>
      </c>
      <c r="S201" s="87">
        <f>100 - R201 - U201 - T201</f>
        <v>0</v>
      </c>
      <c r="T201" s="87">
        <v>100</v>
      </c>
      <c r="U201" s="88">
        <v>0</v>
      </c>
      <c r="V201" s="87">
        <v>0</v>
      </c>
      <c r="W201" s="88">
        <f>IF($R201 &gt; 0, 100 - $V201, 0)</f>
        <v>0</v>
      </c>
      <c r="X201" s="71">
        <v>0</v>
      </c>
      <c r="Y201" s="71">
        <f>IF($S201 &gt; 0, 100 - $X201 - $Z201, 0)</f>
        <v>0</v>
      </c>
      <c r="Z201" s="72">
        <v>0</v>
      </c>
      <c r="AA201" s="71">
        <f>INDEX(Chemical_analyses!$A:$L, MATCH($P201, Chemical_analyses!$A:$A), 9)/$AI$1/(INDEX(Chemical_analyses!$A:$L, MATCH($P201, Chemical_analyses!$A:$A), 9)/$AI$1+INDEX(Chemical_analyses!$A:$L, MATCH($P201, Chemical_analyses!$A:$A), 11)/$AJ$1+INDEX(Chemical_analyses!$A:$L, MATCH($P201, Chemical_analyses!$A:$A), 12)/$AK$1)*100</f>
        <v>43.164550823757658</v>
      </c>
      <c r="AB201" s="71">
        <f>IF($T201 &gt; 0, 100 - $AA201 - $AC201, 0)</f>
        <v>33.321807299174395</v>
      </c>
      <c r="AC201" s="72">
        <f>INDEX(Chemical_analyses!$A:$L, MATCH($P201, Chemical_analyses!$A:$A), 12)/$AK$1/(INDEX(Chemical_analyses!$A:$L, MATCH($P201, Chemical_analyses!$A:$A), 9)/$AI$1+INDEX(Chemical_analyses!$A:$L, MATCH($P201, Chemical_analyses!$A:$A), 11)/$AJ$1+INDEX(Chemical_analyses!$A:$L, MATCH($P201, Chemical_analyses!$A:$A), 12)/$AK$1)*100</f>
        <v>23.513641877067943</v>
      </c>
      <c r="AD201" s="71">
        <v>0</v>
      </c>
      <c r="AE201" s="71">
        <f>IF($U201 &gt; 0, 100 - $AD201 - $AF201, 0)</f>
        <v>0</v>
      </c>
      <c r="AF201" s="72">
        <v>0</v>
      </c>
      <c r="AG201" s="6" t="s">
        <v>43</v>
      </c>
      <c r="AH201" s="10" t="str">
        <f>_xlfn.CONCAT("FeO: ", INDEX(Chemical_analyses!$A:$M, MATCH($P201, Chemical_analyses!$A:$A), 9), ", MgO: ", INDEX(Chemical_analyses!$A:$M, MATCH($P201, Chemical_analyses!$A:$A), 11), ", CaO: ", INDEX(Chemical_analyses!$A:$M, MATCH($P201, Chemical_analyses!$A:$A), 12), ", MnO: ", INDEX(Chemical_analyses!$A:$M, MATCH($P201, Chemical_analyses!$A:$A), 10), ", NaO2: ", INDEX(Chemical_analyses!$A:$M, MATCH($P201, Chemical_analyses!$A:$A), 13), ", Fe2O3: ", INDEX(Chemical_analyses!$A:$M, MATCH($P201, Chemical_analyses!$A:$A), 8), ", Al2O3: ", INDEX(Chemical_analyses!$A:$M, MATCH($P201, Chemical_analyses!$A:$A), 6))</f>
        <v>FeO: 25.4, MgO: 11, CaO: 10.8, MnO: 0.38, NaO2: 0.03, Fe2O3: 0, Al2O3: 1.52</v>
      </c>
      <c r="AI201" s="10"/>
      <c r="AJ201" s="10"/>
      <c r="AN201" s="86"/>
      <c r="AO201" s="86"/>
      <c r="AP201" s="86"/>
      <c r="AQ201" s="86"/>
      <c r="AR201" s="86"/>
      <c r="AS201" s="86"/>
      <c r="AT201" s="86"/>
      <c r="AU201" s="86"/>
    </row>
    <row r="202" spans="1:47" s="6" customFormat="1" ht="12">
      <c r="A202" s="6" t="s">
        <v>667</v>
      </c>
      <c r="B202" s="7" t="s">
        <v>668</v>
      </c>
      <c r="C202" s="8" t="s">
        <v>129</v>
      </c>
      <c r="D202" s="8" t="s">
        <v>637</v>
      </c>
      <c r="E202" s="6" t="s">
        <v>311</v>
      </c>
      <c r="G202" s="6" t="s">
        <v>414</v>
      </c>
      <c r="H202" s="6" t="s">
        <v>644</v>
      </c>
      <c r="J202" s="11">
        <v>0</v>
      </c>
      <c r="K202" s="11">
        <v>45</v>
      </c>
      <c r="L202" s="6" t="s">
        <v>38</v>
      </c>
      <c r="M202" s="6" t="s">
        <v>39</v>
      </c>
      <c r="N202" s="6" t="s">
        <v>639</v>
      </c>
      <c r="O202" s="6" t="s">
        <v>640</v>
      </c>
      <c r="P202" s="6">
        <v>673</v>
      </c>
      <c r="Q202" s="28" t="s">
        <v>641</v>
      </c>
      <c r="R202" s="87">
        <v>0</v>
      </c>
      <c r="S202" s="87">
        <f>100 - R202 - U202 - T202</f>
        <v>0</v>
      </c>
      <c r="T202" s="87">
        <v>100</v>
      </c>
      <c r="U202" s="88">
        <v>0</v>
      </c>
      <c r="V202" s="87">
        <v>0</v>
      </c>
      <c r="W202" s="88">
        <f>IF($R202 &gt; 0, 100 - $V202, 0)</f>
        <v>0</v>
      </c>
      <c r="X202" s="71">
        <v>0</v>
      </c>
      <c r="Y202" s="71">
        <f>IF($S202 &gt; 0, 100 - $X202 - $Z202, 0)</f>
        <v>0</v>
      </c>
      <c r="Z202" s="72">
        <v>0</v>
      </c>
      <c r="AA202" s="71">
        <f>INDEX(Chemical_analyses!$A:$L, MATCH($P202, Chemical_analyses!$A:$A), 9)/$AI$1/(INDEX(Chemical_analyses!$A:$L, MATCH($P202, Chemical_analyses!$A:$A), 9)/$AI$1+INDEX(Chemical_analyses!$A:$L, MATCH($P202, Chemical_analyses!$A:$A), 11)/$AJ$1+INDEX(Chemical_analyses!$A:$L, MATCH($P202, Chemical_analyses!$A:$A), 12)/$AK$1)*100</f>
        <v>32.937122028872118</v>
      </c>
      <c r="AB202" s="71">
        <f>IF($T202 &gt; 0, 100 - $AA202 - $AC202, 0)</f>
        <v>52.927703993093225</v>
      </c>
      <c r="AC202" s="72">
        <f>INDEX(Chemical_analyses!$A:$L, MATCH($P202, Chemical_analyses!$A:$A), 12)/$AK$1/(INDEX(Chemical_analyses!$A:$L, MATCH($P202, Chemical_analyses!$A:$A), 9)/$AI$1+INDEX(Chemical_analyses!$A:$L, MATCH($P202, Chemical_analyses!$A:$A), 11)/$AJ$1+INDEX(Chemical_analyses!$A:$L, MATCH($P202, Chemical_analyses!$A:$A), 12)/$AK$1)*100</f>
        <v>14.135173978034651</v>
      </c>
      <c r="AD202" s="71">
        <v>0</v>
      </c>
      <c r="AE202" s="71">
        <f>IF($U202 &gt; 0, 100 - $AD202 - $AF202, 0)</f>
        <v>0</v>
      </c>
      <c r="AF202" s="72">
        <v>0</v>
      </c>
      <c r="AG202" s="6" t="s">
        <v>43</v>
      </c>
      <c r="AH202" s="10" t="str">
        <f>_xlfn.CONCAT("FeO: ", INDEX(Chemical_analyses!$A:$M, MATCH($P202, Chemical_analyses!$A:$A), 9), ", MgO: ", INDEX(Chemical_analyses!$A:$M, MATCH($P202, Chemical_analyses!$A:$A), 11), ", CaO: ", INDEX(Chemical_analyses!$A:$M, MATCH($P202, Chemical_analyses!$A:$A), 12), ", MnO: ", INDEX(Chemical_analyses!$A:$M, MATCH($P202, Chemical_analyses!$A:$A), 10), ", NaO2: ", INDEX(Chemical_analyses!$A:$M, MATCH($P202, Chemical_analyses!$A:$A), 13), ", Fe2O3: ", INDEX(Chemical_analyses!$A:$M, MATCH($P202, Chemical_analyses!$A:$A), 8), ", Al2O3: ", INDEX(Chemical_analyses!$A:$M, MATCH($P202, Chemical_analyses!$A:$A), 6))</f>
        <v>FeO: 20.3, MgO: 18.3, CaO: 6.8, MnO: 0.35, NaO2: 0.03, Fe2O3: 0, Al2O3: 1.35</v>
      </c>
      <c r="AI202" s="10"/>
      <c r="AJ202" s="10"/>
      <c r="AN202" s="86"/>
      <c r="AO202" s="86"/>
      <c r="AP202" s="86"/>
      <c r="AQ202" s="86"/>
      <c r="AR202" s="86"/>
      <c r="AS202" s="86"/>
      <c r="AT202" s="86"/>
      <c r="AU202" s="86"/>
    </row>
    <row r="203" spans="1:47" s="6" customFormat="1" ht="12">
      <c r="A203" s="6" t="s">
        <v>669</v>
      </c>
      <c r="B203" s="7" t="s">
        <v>670</v>
      </c>
      <c r="C203" s="8" t="s">
        <v>129</v>
      </c>
      <c r="D203" s="8" t="s">
        <v>637</v>
      </c>
      <c r="E203" s="6" t="s">
        <v>311</v>
      </c>
      <c r="G203" s="6" t="s">
        <v>414</v>
      </c>
      <c r="H203" s="6" t="s">
        <v>480</v>
      </c>
      <c r="J203" s="11">
        <v>0</v>
      </c>
      <c r="K203" s="11">
        <v>45</v>
      </c>
      <c r="L203" s="6" t="s">
        <v>38</v>
      </c>
      <c r="M203" s="6" t="s">
        <v>39</v>
      </c>
      <c r="N203" s="6" t="s">
        <v>653</v>
      </c>
      <c r="O203" s="6" t="s">
        <v>640</v>
      </c>
      <c r="P203" s="6">
        <v>676</v>
      </c>
      <c r="Q203" s="28" t="s">
        <v>654</v>
      </c>
      <c r="R203" s="87">
        <v>0</v>
      </c>
      <c r="S203" s="87">
        <f>100 - R203 - U203 - T203</f>
        <v>0</v>
      </c>
      <c r="T203" s="87">
        <v>100</v>
      </c>
      <c r="U203" s="88">
        <v>0</v>
      </c>
      <c r="V203" s="87">
        <v>0</v>
      </c>
      <c r="W203" s="88">
        <f>IF($R203 &gt; 0, 100 - $V203, 0)</f>
        <v>0</v>
      </c>
      <c r="X203" s="71">
        <v>0</v>
      </c>
      <c r="Y203" s="71">
        <f>IF($S203 &gt; 0, 100 - $X203 - $Z203, 0)</f>
        <v>0</v>
      </c>
      <c r="Z203" s="72">
        <v>0</v>
      </c>
      <c r="AA203" s="71">
        <f>INDEX(Chemical_analyses!$A:$L, MATCH($P203, Chemical_analyses!$A:$A), 9)/$AI$1/(INDEX(Chemical_analyses!$A:$L, MATCH($P203, Chemical_analyses!$A:$A), 9)/$AI$1+INDEX(Chemical_analyses!$A:$L, MATCH($P203, Chemical_analyses!$A:$A), 11)/$AJ$1+INDEX(Chemical_analyses!$A:$L, MATCH($P203, Chemical_analyses!$A:$A), 12)/$AK$1)*100</f>
        <v>24.024371326926467</v>
      </c>
      <c r="AB203" s="71">
        <f>IF($T203 &gt; 0, 100 - $AA203 - $AC203, 0)</f>
        <v>43.710733969167478</v>
      </c>
      <c r="AC203" s="72">
        <f>INDEX(Chemical_analyses!$A:$L, MATCH($P203, Chemical_analyses!$A:$A), 12)/$AK$1/(INDEX(Chemical_analyses!$A:$L, MATCH($P203, Chemical_analyses!$A:$A), 9)/$AI$1+INDEX(Chemical_analyses!$A:$L, MATCH($P203, Chemical_analyses!$A:$A), 11)/$AJ$1+INDEX(Chemical_analyses!$A:$L, MATCH($P203, Chemical_analyses!$A:$A), 12)/$AK$1)*100</f>
        <v>32.264894703906052</v>
      </c>
      <c r="AD203" s="71">
        <v>0</v>
      </c>
      <c r="AE203" s="71">
        <f>IF($U203 &gt; 0, 100 - $AD203 - $AF203, 0)</f>
        <v>0</v>
      </c>
      <c r="AF203" s="72">
        <v>0</v>
      </c>
      <c r="AG203" s="6" t="s">
        <v>43</v>
      </c>
      <c r="AH203" s="10" t="str">
        <f>_xlfn.CONCAT("FeO: ", INDEX(Chemical_analyses!$A:$M, MATCH($P203, Chemical_analyses!$A:$A), 9), ", MgO: ", INDEX(Chemical_analyses!$A:$M, MATCH($P203, Chemical_analyses!$A:$A), 11), ", CaO: ", INDEX(Chemical_analyses!$A:$M, MATCH($P203, Chemical_analyses!$A:$A), 12), ", MnO: ", INDEX(Chemical_analyses!$A:$M, MATCH($P203, Chemical_analyses!$A:$A), 10), ", NaO2: ", INDEX(Chemical_analyses!$A:$M, MATCH($P203, Chemical_analyses!$A:$A), 13), ", Fe2O3: ", INDEX(Chemical_analyses!$A:$M, MATCH($P203, Chemical_analyses!$A:$A), 8), ", Al2O3: ", INDEX(Chemical_analyses!$A:$M, MATCH($P203, Chemical_analyses!$A:$A), 6))</f>
        <v>FeO: 14.5, MgO: 14.8, CaO: 15.2, MnO: 0.3, NaO2: 0.08, Fe2O3: 0, Al2O3: 2.47</v>
      </c>
      <c r="AI203" s="10"/>
      <c r="AJ203" s="10"/>
      <c r="AN203" s="86"/>
      <c r="AO203" s="86"/>
      <c r="AP203" s="86"/>
      <c r="AQ203" s="86"/>
      <c r="AR203" s="86"/>
      <c r="AS203" s="86"/>
      <c r="AT203" s="86"/>
      <c r="AU203" s="86"/>
    </row>
    <row r="204" spans="1:47" s="6" customFormat="1" ht="12">
      <c r="A204" s="6" t="s">
        <v>671</v>
      </c>
      <c r="B204" s="7" t="s">
        <v>672</v>
      </c>
      <c r="C204" s="8" t="s">
        <v>129</v>
      </c>
      <c r="D204" s="8" t="s">
        <v>637</v>
      </c>
      <c r="E204" s="6" t="s">
        <v>311</v>
      </c>
      <c r="G204" s="6" t="s">
        <v>414</v>
      </c>
      <c r="H204" s="6" t="s">
        <v>624</v>
      </c>
      <c r="J204" s="11">
        <v>0</v>
      </c>
      <c r="K204" s="11">
        <v>45</v>
      </c>
      <c r="L204" s="6" t="s">
        <v>38</v>
      </c>
      <c r="M204" s="6" t="s">
        <v>39</v>
      </c>
      <c r="N204" s="6" t="s">
        <v>653</v>
      </c>
      <c r="O204" s="6" t="s">
        <v>640</v>
      </c>
      <c r="P204" s="6">
        <v>677</v>
      </c>
      <c r="Q204" s="28" t="s">
        <v>654</v>
      </c>
      <c r="R204" s="87">
        <v>0</v>
      </c>
      <c r="S204" s="87">
        <f>100 - R204 - U204 - T204</f>
        <v>0</v>
      </c>
      <c r="T204" s="87">
        <v>100</v>
      </c>
      <c r="U204" s="88">
        <v>0</v>
      </c>
      <c r="V204" s="87">
        <v>0</v>
      </c>
      <c r="W204" s="88">
        <f>IF($R204 &gt; 0, 100 - $V204, 0)</f>
        <v>0</v>
      </c>
      <c r="X204" s="71">
        <v>0</v>
      </c>
      <c r="Y204" s="71">
        <f>IF($S204 &gt; 0, 100 - $X204 - $Z204, 0)</f>
        <v>0</v>
      </c>
      <c r="Z204" s="72">
        <v>0</v>
      </c>
      <c r="AA204" s="71">
        <f>INDEX(Chemical_analyses!$A:$L, MATCH($P204, Chemical_analyses!$A:$A), 9)/$AI$1/(INDEX(Chemical_analyses!$A:$L, MATCH($P204, Chemical_analyses!$A:$A), 9)/$AI$1+INDEX(Chemical_analyses!$A:$L, MATCH($P204, Chemical_analyses!$A:$A), 11)/$AJ$1+INDEX(Chemical_analyses!$A:$L, MATCH($P204, Chemical_analyses!$A:$A), 12)/$AK$1)*100</f>
        <v>31.843586823547405</v>
      </c>
      <c r="AB204" s="71">
        <f>IF($T204 &gt; 0, 100 - $AA204 - $AC204, 0)</f>
        <v>55.633259169976697</v>
      </c>
      <c r="AC204" s="72">
        <f>INDEX(Chemical_analyses!$A:$L, MATCH($P204, Chemical_analyses!$A:$A), 12)/$AK$1/(INDEX(Chemical_analyses!$A:$L, MATCH($P204, Chemical_analyses!$A:$A), 9)/$AI$1+INDEX(Chemical_analyses!$A:$L, MATCH($P204, Chemical_analyses!$A:$A), 11)/$AJ$1+INDEX(Chemical_analyses!$A:$L, MATCH($P204, Chemical_analyses!$A:$A), 12)/$AK$1)*100</f>
        <v>12.52315400647589</v>
      </c>
      <c r="AD204" s="71">
        <v>0</v>
      </c>
      <c r="AE204" s="71">
        <f>IF($U204 &gt; 0, 100 - $AD204 - $AF204, 0)</f>
        <v>0</v>
      </c>
      <c r="AF204" s="72">
        <v>0</v>
      </c>
      <c r="AG204" s="6" t="s">
        <v>43</v>
      </c>
      <c r="AH204" s="10" t="str">
        <f>_xlfn.CONCAT("FeO: ", INDEX(Chemical_analyses!$A:$M, MATCH($P204, Chemical_analyses!$A:$A), 9), ", MgO: ", INDEX(Chemical_analyses!$A:$M, MATCH($P204, Chemical_analyses!$A:$A), 11), ", CaO: ", INDEX(Chemical_analyses!$A:$M, MATCH($P204, Chemical_analyses!$A:$A), 12), ", MnO: ", INDEX(Chemical_analyses!$A:$M, MATCH($P204, Chemical_analyses!$A:$A), 10), ", NaO2: ", INDEX(Chemical_analyses!$A:$M, MATCH($P204, Chemical_analyses!$A:$A), 13), ", Fe2O3: ", INDEX(Chemical_analyses!$A:$M, MATCH($P204, Chemical_analyses!$A:$A), 8), ", Al2O3: ", INDEX(Chemical_analyses!$A:$M, MATCH($P204, Chemical_analyses!$A:$A), 6))</f>
        <v>FeO: 20.1, MgO: 19.7, CaO: 6.17, MnO: 0.37, NaO2: 0.03, Fe2O3: 0, Al2O3: 1.2</v>
      </c>
      <c r="AI204" s="10"/>
      <c r="AJ204" s="10"/>
      <c r="AN204" s="86"/>
      <c r="AO204" s="86"/>
      <c r="AP204" s="86"/>
      <c r="AQ204" s="86"/>
      <c r="AR204" s="86"/>
      <c r="AS204" s="86"/>
      <c r="AT204" s="86"/>
      <c r="AU204" s="86"/>
    </row>
    <row r="205" spans="1:47" s="6" customFormat="1" ht="12">
      <c r="A205" s="6" t="s">
        <v>673</v>
      </c>
      <c r="B205" s="7" t="s">
        <v>674</v>
      </c>
      <c r="C205" s="8" t="s">
        <v>129</v>
      </c>
      <c r="D205" s="8" t="s">
        <v>637</v>
      </c>
      <c r="E205" s="6" t="s">
        <v>311</v>
      </c>
      <c r="G205" s="6" t="s">
        <v>414</v>
      </c>
      <c r="H205" s="6" t="s">
        <v>647</v>
      </c>
      <c r="J205" s="11">
        <v>0</v>
      </c>
      <c r="K205" s="11">
        <v>45</v>
      </c>
      <c r="L205" s="6" t="s">
        <v>38</v>
      </c>
      <c r="M205" s="6" t="s">
        <v>39</v>
      </c>
      <c r="N205" s="6" t="s">
        <v>653</v>
      </c>
      <c r="O205" s="6" t="s">
        <v>640</v>
      </c>
      <c r="P205" s="6">
        <v>666</v>
      </c>
      <c r="Q205" s="28" t="s">
        <v>654</v>
      </c>
      <c r="R205" s="87">
        <v>0</v>
      </c>
      <c r="S205" s="87">
        <f>100 - R205 - U205 - T205</f>
        <v>0</v>
      </c>
      <c r="T205" s="87">
        <v>100</v>
      </c>
      <c r="U205" s="88">
        <v>0</v>
      </c>
      <c r="V205" s="87">
        <v>0</v>
      </c>
      <c r="W205" s="88">
        <f>IF($R205 &gt; 0, 100 - $V205, 0)</f>
        <v>0</v>
      </c>
      <c r="X205" s="71">
        <v>0</v>
      </c>
      <c r="Y205" s="71">
        <f>IF($S205 &gt; 0, 100 - $X205 - $Z205, 0)</f>
        <v>0</v>
      </c>
      <c r="Z205" s="72">
        <v>0</v>
      </c>
      <c r="AA205" s="71">
        <f>INDEX(Chemical_analyses!$A:$L, MATCH($P205, Chemical_analyses!$A:$A), 9)/$AI$1/(INDEX(Chemical_analyses!$A:$L, MATCH($P205, Chemical_analyses!$A:$A), 9)/$AI$1+INDEX(Chemical_analyses!$A:$L, MATCH($P205, Chemical_analyses!$A:$A), 11)/$AJ$1+INDEX(Chemical_analyses!$A:$L, MATCH($P205, Chemical_analyses!$A:$A), 12)/$AK$1)*100</f>
        <v>13.828873388546398</v>
      </c>
      <c r="AB205" s="71">
        <f>IF($T205 &gt; 0, 100 - $AA205 - $AC205, 0)</f>
        <v>43.564499598252318</v>
      </c>
      <c r="AC205" s="72">
        <f>INDEX(Chemical_analyses!$A:$L, MATCH($P205, Chemical_analyses!$A:$A), 12)/$AK$1/(INDEX(Chemical_analyses!$A:$L, MATCH($P205, Chemical_analyses!$A:$A), 9)/$AI$1+INDEX(Chemical_analyses!$A:$L, MATCH($P205, Chemical_analyses!$A:$A), 11)/$AJ$1+INDEX(Chemical_analyses!$A:$L, MATCH($P205, Chemical_analyses!$A:$A), 12)/$AK$1)*100</f>
        <v>42.606627013201283</v>
      </c>
      <c r="AD205" s="71">
        <v>0</v>
      </c>
      <c r="AE205" s="71">
        <f>IF($U205 &gt; 0, 100 - $AD205 - $AF205, 0)</f>
        <v>0</v>
      </c>
      <c r="AF205" s="72">
        <v>0</v>
      </c>
      <c r="AG205" s="6" t="s">
        <v>43</v>
      </c>
      <c r="AH205" s="10" t="str">
        <f>_xlfn.CONCAT("FeO: ", INDEX(Chemical_analyses!$A:$M, MATCH($P205, Chemical_analyses!$A:$A), 9), ", MgO: ", INDEX(Chemical_analyses!$A:$M, MATCH($P205, Chemical_analyses!$A:$A), 11), ", CaO: ", INDEX(Chemical_analyses!$A:$M, MATCH($P205, Chemical_analyses!$A:$A), 12), ", MnO: ", INDEX(Chemical_analyses!$A:$M, MATCH($P205, Chemical_analyses!$A:$A), 10), ", NaO2: ", INDEX(Chemical_analyses!$A:$M, MATCH($P205, Chemical_analyses!$A:$A), 13), ", Fe2O3: ", INDEX(Chemical_analyses!$A:$M, MATCH($P205, Chemical_analyses!$A:$A), 8), ", Al2O3: ", INDEX(Chemical_analyses!$A:$M, MATCH($P205, Chemical_analyses!$A:$A), 6))</f>
        <v>FeO: 8.25, MgO: 14.58, CaO: 19.84, MnO: 0.16, NaO2: 0.1, Fe2O3: 0, Al2O3: 4.13</v>
      </c>
      <c r="AI205" s="10"/>
      <c r="AJ205" s="10"/>
      <c r="AN205" s="86"/>
      <c r="AO205" s="86"/>
      <c r="AP205" s="86"/>
      <c r="AQ205" s="86"/>
      <c r="AR205" s="86"/>
      <c r="AS205" s="86"/>
      <c r="AT205" s="86"/>
      <c r="AU205" s="86"/>
    </row>
    <row r="206" spans="1:47" s="6" customFormat="1" ht="12">
      <c r="A206" s="6" t="s">
        <v>675</v>
      </c>
      <c r="B206" s="7" t="s">
        <v>676</v>
      </c>
      <c r="C206" s="8" t="s">
        <v>129</v>
      </c>
      <c r="D206" s="8" t="s">
        <v>637</v>
      </c>
      <c r="E206" s="6" t="s">
        <v>311</v>
      </c>
      <c r="G206" s="6" t="s">
        <v>414</v>
      </c>
      <c r="H206" s="6" t="s">
        <v>624</v>
      </c>
      <c r="J206" s="11">
        <v>0</v>
      </c>
      <c r="K206" s="11">
        <v>45</v>
      </c>
      <c r="L206" s="6" t="s">
        <v>38</v>
      </c>
      <c r="M206" s="6" t="s">
        <v>39</v>
      </c>
      <c r="N206" s="6" t="s">
        <v>653</v>
      </c>
      <c r="O206" s="6" t="s">
        <v>640</v>
      </c>
      <c r="P206" s="6">
        <v>667</v>
      </c>
      <c r="Q206" s="28" t="s">
        <v>654</v>
      </c>
      <c r="R206" s="87">
        <v>0</v>
      </c>
      <c r="S206" s="87">
        <f>100 - R206 - U206 - T206</f>
        <v>0</v>
      </c>
      <c r="T206" s="87">
        <v>100</v>
      </c>
      <c r="U206" s="88">
        <v>0</v>
      </c>
      <c r="V206" s="87">
        <v>0</v>
      </c>
      <c r="W206" s="88">
        <f>IF($R206 &gt; 0, 100 - $V206, 0)</f>
        <v>0</v>
      </c>
      <c r="X206" s="71">
        <v>0</v>
      </c>
      <c r="Y206" s="71">
        <f>IF($S206 &gt; 0, 100 - $X206 - $Z206, 0)</f>
        <v>0</v>
      </c>
      <c r="Z206" s="72">
        <v>0</v>
      </c>
      <c r="AA206" s="71">
        <f>INDEX(Chemical_analyses!$A:$L, MATCH($P206, Chemical_analyses!$A:$A), 9)/$AI$1/(INDEX(Chemical_analyses!$A:$L, MATCH($P206, Chemical_analyses!$A:$A), 9)/$AI$1+INDEX(Chemical_analyses!$A:$L, MATCH($P206, Chemical_analyses!$A:$A), 11)/$AJ$1+INDEX(Chemical_analyses!$A:$L, MATCH($P206, Chemical_analyses!$A:$A), 12)/$AK$1)*100</f>
        <v>27.16773286162001</v>
      </c>
      <c r="AB206" s="71">
        <f>IF($T206 &gt; 0, 100 - $AA206 - $AC206, 0)</f>
        <v>65.307699821299749</v>
      </c>
      <c r="AC206" s="72">
        <f>INDEX(Chemical_analyses!$A:$L, MATCH($P206, Chemical_analyses!$A:$A), 12)/$AK$1/(INDEX(Chemical_analyses!$A:$L, MATCH($P206, Chemical_analyses!$A:$A), 9)/$AI$1+INDEX(Chemical_analyses!$A:$L, MATCH($P206, Chemical_analyses!$A:$A), 11)/$AJ$1+INDEX(Chemical_analyses!$A:$L, MATCH($P206, Chemical_analyses!$A:$A), 12)/$AK$1)*100</f>
        <v>7.5245673170802396</v>
      </c>
      <c r="AD206" s="71">
        <v>0</v>
      </c>
      <c r="AE206" s="71">
        <f>IF($U206 &gt; 0, 100 - $AD206 - $AF206, 0)</f>
        <v>0</v>
      </c>
      <c r="AF206" s="72">
        <v>0</v>
      </c>
      <c r="AG206" s="6" t="s">
        <v>43</v>
      </c>
      <c r="AH206" s="10" t="str">
        <f>_xlfn.CONCAT("FeO: ", INDEX(Chemical_analyses!$A:$M, MATCH($P206, Chemical_analyses!$A:$A), 9), ", MgO: ", INDEX(Chemical_analyses!$A:$M, MATCH($P206, Chemical_analyses!$A:$A), 11), ", CaO: ", INDEX(Chemical_analyses!$A:$M, MATCH($P206, Chemical_analyses!$A:$A), 12), ", MnO: ", INDEX(Chemical_analyses!$A:$M, MATCH($P206, Chemical_analyses!$A:$A), 10), ", NaO2: ", INDEX(Chemical_analyses!$A:$M, MATCH($P206, Chemical_analyses!$A:$A), 13), ", Fe2O3: ", INDEX(Chemical_analyses!$A:$M, MATCH($P206, Chemical_analyses!$A:$A), 8), ", Al2O3: ", INDEX(Chemical_analyses!$A:$M, MATCH($P206, Chemical_analyses!$A:$A), 6))</f>
        <v>FeO: 17.3, MgO: 23.33, CaO: 3.74, MnO: 0.35, NaO2: 0.01, Fe2O3: 0, Al2O3: 1.02</v>
      </c>
      <c r="AI206" s="10"/>
      <c r="AJ206" s="10"/>
      <c r="AN206" s="86"/>
      <c r="AO206" s="86"/>
      <c r="AP206" s="86"/>
      <c r="AQ206" s="86"/>
      <c r="AR206" s="86"/>
      <c r="AS206" s="86"/>
      <c r="AT206" s="86"/>
      <c r="AU206" s="86"/>
    </row>
    <row r="207" spans="1:47" s="6" customFormat="1" ht="12">
      <c r="A207" s="6" t="s">
        <v>677</v>
      </c>
      <c r="B207" s="7" t="s">
        <v>678</v>
      </c>
      <c r="C207" s="8" t="s">
        <v>129</v>
      </c>
      <c r="D207" s="8" t="s">
        <v>34</v>
      </c>
      <c r="E207" s="6" t="s">
        <v>311</v>
      </c>
      <c r="G207" s="6" t="s">
        <v>414</v>
      </c>
      <c r="H207" s="6" t="s">
        <v>679</v>
      </c>
      <c r="J207" s="6">
        <v>75</v>
      </c>
      <c r="K207" s="6">
        <v>150</v>
      </c>
      <c r="L207" s="6" t="s">
        <v>38</v>
      </c>
      <c r="M207" s="6" t="s">
        <v>39</v>
      </c>
      <c r="N207" s="6" t="s">
        <v>680</v>
      </c>
      <c r="O207" s="6" t="s">
        <v>515</v>
      </c>
      <c r="P207" s="6">
        <v>0</v>
      </c>
      <c r="Q207" s="28" t="s">
        <v>681</v>
      </c>
      <c r="R207" s="87">
        <v>0</v>
      </c>
      <c r="S207" s="87">
        <f>100 - R207 - U207 - T207</f>
        <v>0</v>
      </c>
      <c r="T207" s="87">
        <v>100</v>
      </c>
      <c r="U207" s="88">
        <v>0</v>
      </c>
      <c r="V207" s="87">
        <v>0</v>
      </c>
      <c r="W207" s="88">
        <f>IF($R207 &gt; 0, 100 - $V207, 0)</f>
        <v>0</v>
      </c>
      <c r="X207" s="71">
        <v>0</v>
      </c>
      <c r="Y207" s="71">
        <f>IF($S207 &gt; 0, 100 - $X207 - $Z207, 0)</f>
        <v>0</v>
      </c>
      <c r="Z207" s="72">
        <v>0</v>
      </c>
      <c r="AA207" s="71">
        <f>(18+19)/2</f>
        <v>18.5</v>
      </c>
      <c r="AB207" s="71">
        <f>IF($T207 &gt; 0, 100 - $AA207 - $AC207, 0)</f>
        <v>36</v>
      </c>
      <c r="AC207" s="72">
        <f>(45+46)/2</f>
        <v>45.5</v>
      </c>
      <c r="AD207" s="71">
        <v>0</v>
      </c>
      <c r="AE207" s="71">
        <f>IF($U207 &gt; 0, 100 - $AD207 - $AF207, 0)</f>
        <v>0</v>
      </c>
      <c r="AF207" s="72">
        <v>0</v>
      </c>
      <c r="AG207" s="6" t="s">
        <v>43</v>
      </c>
      <c r="AH207" s="6" t="s">
        <v>682</v>
      </c>
      <c r="AI207" s="10"/>
      <c r="AJ207" s="10"/>
      <c r="AN207" s="86"/>
      <c r="AO207" s="86"/>
      <c r="AP207" s="86"/>
      <c r="AQ207" s="86"/>
      <c r="AR207" s="86"/>
      <c r="AS207" s="86"/>
      <c r="AT207" s="86"/>
      <c r="AU207" s="86"/>
    </row>
    <row r="208" spans="1:47" s="6" customFormat="1" ht="12">
      <c r="A208" s="6" t="s">
        <v>683</v>
      </c>
      <c r="B208" s="7" t="s">
        <v>684</v>
      </c>
      <c r="C208" s="8" t="s">
        <v>129</v>
      </c>
      <c r="D208" s="8" t="s">
        <v>310</v>
      </c>
      <c r="E208" s="6" t="s">
        <v>311</v>
      </c>
      <c r="G208" s="6" t="s">
        <v>414</v>
      </c>
      <c r="H208" s="6" t="s">
        <v>684</v>
      </c>
      <c r="J208" s="6">
        <v>0</v>
      </c>
      <c r="K208" s="6">
        <v>250</v>
      </c>
      <c r="L208" s="6" t="s">
        <v>304</v>
      </c>
      <c r="M208" s="6" t="s">
        <v>685</v>
      </c>
      <c r="N208" s="6" t="s">
        <v>686</v>
      </c>
      <c r="O208" s="6" t="s">
        <v>427</v>
      </c>
      <c r="P208" s="6">
        <v>0</v>
      </c>
      <c r="Q208" s="28"/>
      <c r="R208" s="87">
        <v>0</v>
      </c>
      <c r="S208" s="87">
        <f>100 - R208 - U208 - T208</f>
        <v>0</v>
      </c>
      <c r="T208" s="87">
        <v>100</v>
      </c>
      <c r="U208" s="88">
        <v>0</v>
      </c>
      <c r="V208" s="87">
        <v>0</v>
      </c>
      <c r="W208" s="88">
        <f>IF($R208 &gt; 0, 100 - $V208, 0)</f>
        <v>0</v>
      </c>
      <c r="X208" s="71">
        <v>0</v>
      </c>
      <c r="Y208" s="71">
        <f>IF($S208 &gt; 0, 100 - $X208 - $Z208, 0)</f>
        <v>0</v>
      </c>
      <c r="Z208" s="72">
        <v>0</v>
      </c>
      <c r="AA208" s="71">
        <f>(2.4+9.6)/2</f>
        <v>6</v>
      </c>
      <c r="AB208" s="71">
        <f>IF($T208 &gt; 0, 100 - $AA208 - $AC208, 0)</f>
        <v>51.85</v>
      </c>
      <c r="AC208" s="72">
        <f>(34.9+49.4)/2</f>
        <v>42.15</v>
      </c>
      <c r="AD208" s="71">
        <v>0</v>
      </c>
      <c r="AE208" s="71">
        <f>IF($U208 &gt; 0, 100 - $AD208 - $AF208, 0)</f>
        <v>0</v>
      </c>
      <c r="AF208" s="72">
        <v>0</v>
      </c>
      <c r="AG208" s="6" t="s">
        <v>43</v>
      </c>
      <c r="AH208" s="6" t="s">
        <v>687</v>
      </c>
      <c r="AI208" s="10"/>
      <c r="AJ208" s="10"/>
      <c r="AN208" s="86"/>
      <c r="AO208" s="86"/>
      <c r="AP208" s="86"/>
      <c r="AQ208" s="86"/>
      <c r="AR208" s="86"/>
      <c r="AS208" s="86"/>
      <c r="AT208" s="86"/>
      <c r="AU208" s="86"/>
    </row>
    <row r="209" spans="1:47" s="6" customFormat="1" ht="12">
      <c r="A209" s="12" t="s">
        <v>688</v>
      </c>
      <c r="B209" s="13" t="s">
        <v>689</v>
      </c>
      <c r="C209" s="14" t="s">
        <v>690</v>
      </c>
      <c r="D209" s="14" t="s">
        <v>310</v>
      </c>
      <c r="E209" s="12" t="s">
        <v>311</v>
      </c>
      <c r="F209" s="12"/>
      <c r="G209" s="12" t="s">
        <v>414</v>
      </c>
      <c r="H209" s="12" t="s">
        <v>691</v>
      </c>
      <c r="I209" s="12"/>
      <c r="J209" s="12">
        <v>0</v>
      </c>
      <c r="K209" s="12">
        <v>0</v>
      </c>
      <c r="L209" s="12"/>
      <c r="M209" s="12" t="s">
        <v>250</v>
      </c>
      <c r="N209" s="12" t="s">
        <v>692</v>
      </c>
      <c r="O209" s="12" t="s">
        <v>427</v>
      </c>
      <c r="P209" s="12">
        <v>0</v>
      </c>
      <c r="Q209" s="51" t="s">
        <v>693</v>
      </c>
      <c r="R209" s="87">
        <v>0</v>
      </c>
      <c r="S209" s="87">
        <f>100 - R209 - U209 - T209</f>
        <v>0</v>
      </c>
      <c r="T209" s="87">
        <v>100</v>
      </c>
      <c r="U209" s="88">
        <v>0</v>
      </c>
      <c r="V209" s="87">
        <v>0</v>
      </c>
      <c r="W209" s="88">
        <f>IF($R209 &gt; 0, 100 - $V209, 0)</f>
        <v>0</v>
      </c>
      <c r="X209" s="71">
        <v>0</v>
      </c>
      <c r="Y209" s="71">
        <f>IF($S209 &gt; 0, 100 - $X209 - $Z209, 0)</f>
        <v>0</v>
      </c>
      <c r="Z209" s="72">
        <v>0</v>
      </c>
      <c r="AA209" s="71">
        <f>(2.4+9.6)/2</f>
        <v>6</v>
      </c>
      <c r="AB209" s="71">
        <f>IF($T209 &gt; 0, 100 - $AA209 - $AC209, 0)</f>
        <v>51.85</v>
      </c>
      <c r="AC209" s="72">
        <f>(34.9+49.4)/2</f>
        <v>42.15</v>
      </c>
      <c r="AD209" s="71">
        <v>0</v>
      </c>
      <c r="AE209" s="71">
        <f>IF($U209 &gt; 0, 100 - $AD209 - $AF209, 0)</f>
        <v>0</v>
      </c>
      <c r="AF209" s="72">
        <v>0</v>
      </c>
      <c r="AG209" s="12" t="s">
        <v>43</v>
      </c>
      <c r="AH209" s="15" t="s">
        <v>694</v>
      </c>
      <c r="AI209" s="157" t="s">
        <v>695</v>
      </c>
      <c r="AJ209" s="157"/>
      <c r="AK209" s="12"/>
      <c r="AN209" s="86"/>
      <c r="AO209" s="86"/>
      <c r="AP209" s="86"/>
      <c r="AQ209" s="86"/>
      <c r="AR209" s="86"/>
      <c r="AS209" s="86"/>
      <c r="AT209" s="86"/>
      <c r="AU209" s="86"/>
    </row>
    <row r="210" spans="1:47" s="6" customFormat="1" ht="12">
      <c r="A210" s="6" t="s">
        <v>696</v>
      </c>
      <c r="B210" s="7" t="s">
        <v>697</v>
      </c>
      <c r="C210" s="8" t="s">
        <v>129</v>
      </c>
      <c r="D210" s="8" t="s">
        <v>310</v>
      </c>
      <c r="E210" s="6" t="s">
        <v>311</v>
      </c>
      <c r="G210" s="6" t="s">
        <v>414</v>
      </c>
      <c r="H210" s="6" t="s">
        <v>691</v>
      </c>
      <c r="J210" s="6">
        <v>0</v>
      </c>
      <c r="K210" s="6">
        <v>250</v>
      </c>
      <c r="N210" s="6" t="s">
        <v>698</v>
      </c>
      <c r="O210" s="6" t="s">
        <v>699</v>
      </c>
      <c r="P210" s="6">
        <v>35</v>
      </c>
      <c r="Q210" s="28" t="s">
        <v>700</v>
      </c>
      <c r="R210" s="87">
        <v>0</v>
      </c>
      <c r="S210" s="87">
        <f>100 - R210 - U210 - T210</f>
        <v>0</v>
      </c>
      <c r="T210" s="87">
        <v>100</v>
      </c>
      <c r="U210" s="88">
        <v>0</v>
      </c>
      <c r="V210" s="87">
        <v>0</v>
      </c>
      <c r="W210" s="88">
        <f>IF($R210 &gt; 0, 100 - $V210, 0)</f>
        <v>0</v>
      </c>
      <c r="X210" s="71">
        <v>0</v>
      </c>
      <c r="Y210" s="71">
        <f>IF($S210 &gt; 0, 100 - $X210 - $Z210, 0)</f>
        <v>0</v>
      </c>
      <c r="Z210" s="72">
        <v>0</v>
      </c>
      <c r="AA210" s="71">
        <f>INDEX(Chemical_analyses!$A:$L, MATCH($P210, Chemical_analyses!$A:$A), 9)/$AI$1/(INDEX(Chemical_analyses!$A:$L, MATCH($P210, Chemical_analyses!$A:$A), 9)/$AI$1+INDEX(Chemical_analyses!$A:$L, MATCH($P210, Chemical_analyses!$A:$A), 11)/$AJ$1+INDEX(Chemical_analyses!$A:$L, MATCH($P210, Chemical_analyses!$A:$A), 12)/$AK$1)*100</f>
        <v>10.469431997904483</v>
      </c>
      <c r="AB210" s="71">
        <f>IF($T210 &gt; 0, 100 - $AA210 - $AC210, 0)</f>
        <v>44.920098937288792</v>
      </c>
      <c r="AC210" s="72">
        <f>INDEX(Chemical_analyses!$A:$L, MATCH($P210, Chemical_analyses!$A:$A), 12)/$AK$1/(INDEX(Chemical_analyses!$A:$L, MATCH($P210, Chemical_analyses!$A:$A), 9)/$AI$1+INDEX(Chemical_analyses!$A:$L, MATCH($P210, Chemical_analyses!$A:$A), 11)/$AJ$1+INDEX(Chemical_analyses!$A:$L, MATCH($P210, Chemical_analyses!$A:$A), 12)/$AK$1)*100</f>
        <v>44.610469064806729</v>
      </c>
      <c r="AD210" s="71">
        <v>0</v>
      </c>
      <c r="AE210" s="71">
        <f>IF($U210 &gt; 0, 100 - $AD210 - $AF210, 0)</f>
        <v>0</v>
      </c>
      <c r="AF210" s="72">
        <v>0</v>
      </c>
      <c r="AG210" s="6" t="s">
        <v>43</v>
      </c>
      <c r="AH210" s="10" t="str">
        <f>_xlfn.CONCAT("FeO: ", INDEX(Chemical_analyses!$A:$M, MATCH($P210, Chemical_analyses!$A:$A), 9), ", MgO: ", INDEX(Chemical_analyses!$A:$M, MATCH($P210, Chemical_analyses!$A:$A), 11), ", CaO: ", INDEX(Chemical_analyses!$A:$M, MATCH($P210, Chemical_analyses!$A:$A), 12), ", MnO: ", INDEX(Chemical_analyses!$A:$M, MATCH($P210, Chemical_analyses!$A:$A), 10), ", NaO2: ", INDEX(Chemical_analyses!$A:$M, MATCH($P210, Chemical_analyses!$A:$A), 13), ", Fe2O3: ", INDEX(Chemical_analyses!$A:$M, MATCH($P210, Chemical_analyses!$A:$A), 8), ", Al2O3: ", INDEX(Chemical_analyses!$A:$M, MATCH($P210, Chemical_analyses!$A:$A), 6))</f>
        <v>FeO: 6.29, MgO: 15.14, CaO: 20.92, MnO: 0.12, NaO2: 0.4, Fe2O3: 0, Al2O3: 6.4</v>
      </c>
      <c r="AI210" s="10"/>
      <c r="AJ210" s="10"/>
      <c r="AN210" s="86"/>
      <c r="AO210" s="86"/>
      <c r="AP210" s="86"/>
      <c r="AQ210" s="86"/>
      <c r="AR210" s="86"/>
      <c r="AS210" s="86"/>
      <c r="AT210" s="86"/>
      <c r="AU210" s="86"/>
    </row>
    <row r="211" spans="1:47" s="6" customFormat="1" ht="12">
      <c r="A211" s="6" t="s">
        <v>701</v>
      </c>
      <c r="B211" s="7" t="s">
        <v>702</v>
      </c>
      <c r="C211" s="8" t="s">
        <v>129</v>
      </c>
      <c r="D211" s="8" t="s">
        <v>310</v>
      </c>
      <c r="E211" s="6" t="s">
        <v>311</v>
      </c>
      <c r="G211" s="6" t="s">
        <v>703</v>
      </c>
      <c r="H211" s="6" t="s">
        <v>691</v>
      </c>
      <c r="J211" s="6">
        <v>0</v>
      </c>
      <c r="K211" s="6">
        <v>45</v>
      </c>
      <c r="L211" s="6" t="s">
        <v>38</v>
      </c>
      <c r="M211" s="6" t="s">
        <v>11</v>
      </c>
      <c r="N211" s="6" t="s">
        <v>704</v>
      </c>
      <c r="O211" s="6" t="s">
        <v>428</v>
      </c>
      <c r="P211" s="6">
        <v>35</v>
      </c>
      <c r="Q211" s="28" t="s">
        <v>705</v>
      </c>
      <c r="R211" s="87">
        <v>0</v>
      </c>
      <c r="S211" s="87">
        <f>100 - R211 - U211 - T211</f>
        <v>0</v>
      </c>
      <c r="T211" s="87">
        <v>100</v>
      </c>
      <c r="U211" s="87">
        <v>0</v>
      </c>
      <c r="V211" s="87">
        <v>0</v>
      </c>
      <c r="W211" s="88">
        <f>IF($R211 &gt; 0, 100 - $V211, 0)</f>
        <v>0</v>
      </c>
      <c r="X211" s="71">
        <v>0</v>
      </c>
      <c r="Y211" s="71">
        <f>IF($S211 &gt; 0, 100 - $X211 - $Z211, 0)</f>
        <v>0</v>
      </c>
      <c r="Z211" s="72">
        <v>0</v>
      </c>
      <c r="AA211" s="71">
        <f>INDEX(Chemical_analyses!$A:$L, MATCH($P211, Chemical_analyses!$A:$A), 9)/$AI$1/(INDEX(Chemical_analyses!$A:$L, MATCH($P211, Chemical_analyses!$A:$A), 9)/$AI$1+INDEX(Chemical_analyses!$A:$L, MATCH($P211, Chemical_analyses!$A:$A), 11)/$AJ$1+INDEX(Chemical_analyses!$A:$L, MATCH($P211, Chemical_analyses!$A:$A), 12)/$AK$1)*100</f>
        <v>10.469431997904483</v>
      </c>
      <c r="AB211" s="71">
        <f>IF($T211 &gt; 0, 100 - $AA211 - $AC211, 0)</f>
        <v>44.920098937288792</v>
      </c>
      <c r="AC211" s="72">
        <f>INDEX(Chemical_analyses!$A:$L, MATCH($P211, Chemical_analyses!$A:$A), 12)/$AK$1/(INDEX(Chemical_analyses!$A:$L, MATCH($P211, Chemical_analyses!$A:$A), 9)/$AI$1+INDEX(Chemical_analyses!$A:$L, MATCH($P211, Chemical_analyses!$A:$A), 11)/$AJ$1+INDEX(Chemical_analyses!$A:$L, MATCH($P211, Chemical_analyses!$A:$A), 12)/$AK$1)*100</f>
        <v>44.610469064806729</v>
      </c>
      <c r="AD211" s="71">
        <v>0</v>
      </c>
      <c r="AE211" s="71">
        <f>IF($U211 &gt; 0, 100 - $AD211 - $AF211, 0)</f>
        <v>0</v>
      </c>
      <c r="AF211" s="72">
        <v>0</v>
      </c>
      <c r="AG211" s="6" t="s">
        <v>43</v>
      </c>
      <c r="AH211" s="10" t="str">
        <f>_xlfn.CONCAT("FeO: ", INDEX(Chemical_analyses!$A:$M, MATCH($P211, Chemical_analyses!$A:$A), 9), ", MgO: ", INDEX(Chemical_analyses!$A:$M, MATCH($P211, Chemical_analyses!$A:$A), 11), ", CaO: ", INDEX(Chemical_analyses!$A:$M, MATCH($P211, Chemical_analyses!$A:$A), 12), ", MnO: ", INDEX(Chemical_analyses!$A:$M, MATCH($P211, Chemical_analyses!$A:$A), 10), ", NaO2: ", INDEX(Chemical_analyses!$A:$M, MATCH($P211, Chemical_analyses!$A:$A), 13), ", Fe2O3: ", INDEX(Chemical_analyses!$A:$M, MATCH($P211, Chemical_analyses!$A:$A), 8), ", Al2O3: ", INDEX(Chemical_analyses!$A:$M, MATCH($P211, Chemical_analyses!$A:$A), 6))</f>
        <v>FeO: 6.29, MgO: 15.14, CaO: 20.92, MnO: 0.12, NaO2: 0.4, Fe2O3: 0, Al2O3: 6.4</v>
      </c>
      <c r="AI211" s="10"/>
      <c r="AJ211" s="10"/>
      <c r="AN211" s="86"/>
      <c r="AO211" s="86"/>
      <c r="AP211" s="86"/>
      <c r="AQ211" s="86"/>
      <c r="AR211" s="86"/>
      <c r="AS211" s="86"/>
      <c r="AT211" s="86"/>
      <c r="AU211" s="86"/>
    </row>
    <row r="212" spans="1:47" s="6" customFormat="1" ht="12">
      <c r="A212" s="6" t="s">
        <v>706</v>
      </c>
      <c r="B212" s="7" t="s">
        <v>707</v>
      </c>
      <c r="C212" s="8" t="s">
        <v>129</v>
      </c>
      <c r="D212" s="8" t="s">
        <v>310</v>
      </c>
      <c r="E212" s="6" t="s">
        <v>311</v>
      </c>
      <c r="G212" s="6" t="s">
        <v>414</v>
      </c>
      <c r="H212" s="6" t="s">
        <v>691</v>
      </c>
      <c r="J212" s="6">
        <v>45</v>
      </c>
      <c r="K212" s="6">
        <v>75</v>
      </c>
      <c r="L212" s="6" t="s">
        <v>38</v>
      </c>
      <c r="M212" s="6" t="s">
        <v>11</v>
      </c>
      <c r="N212" s="6" t="s">
        <v>698</v>
      </c>
      <c r="O212" s="6" t="s">
        <v>428</v>
      </c>
      <c r="P212" s="6">
        <v>35</v>
      </c>
      <c r="Q212" s="28" t="s">
        <v>708</v>
      </c>
      <c r="R212" s="87">
        <v>0</v>
      </c>
      <c r="S212" s="87">
        <f>100 - R212 - U212 - T212</f>
        <v>0</v>
      </c>
      <c r="T212" s="87">
        <v>100</v>
      </c>
      <c r="U212" s="87">
        <v>0</v>
      </c>
      <c r="V212" s="87">
        <v>0</v>
      </c>
      <c r="W212" s="88">
        <f>IF($R212 &gt; 0, 100 - $V212, 0)</f>
        <v>0</v>
      </c>
      <c r="X212" s="71">
        <v>0</v>
      </c>
      <c r="Y212" s="71">
        <f>IF($S212 &gt; 0, 100 - $X212 - $Z212, 0)</f>
        <v>0</v>
      </c>
      <c r="Z212" s="72">
        <v>0</v>
      </c>
      <c r="AA212" s="71">
        <f>INDEX(Chemical_analyses!$A:$L, MATCH($P212, Chemical_analyses!$A:$A), 9)/$AI$1/(INDEX(Chemical_analyses!$A:$L, MATCH($P212, Chemical_analyses!$A:$A), 9)/$AI$1+INDEX(Chemical_analyses!$A:$L, MATCH($P212, Chemical_analyses!$A:$A), 11)/$AJ$1+INDEX(Chemical_analyses!$A:$L, MATCH($P212, Chemical_analyses!$A:$A), 12)/$AK$1)*100</f>
        <v>10.469431997904483</v>
      </c>
      <c r="AB212" s="71">
        <f>IF($T212 &gt; 0, 100 - $AA212 - $AC212, 0)</f>
        <v>44.920098937288792</v>
      </c>
      <c r="AC212" s="72">
        <f>INDEX(Chemical_analyses!$A:$L, MATCH($P212, Chemical_analyses!$A:$A), 12)/$AK$1/(INDEX(Chemical_analyses!$A:$L, MATCH($P212, Chemical_analyses!$A:$A), 9)/$AI$1+INDEX(Chemical_analyses!$A:$L, MATCH($P212, Chemical_analyses!$A:$A), 11)/$AJ$1+INDEX(Chemical_analyses!$A:$L, MATCH($P212, Chemical_analyses!$A:$A), 12)/$AK$1)*100</f>
        <v>44.610469064806729</v>
      </c>
      <c r="AD212" s="71">
        <v>0</v>
      </c>
      <c r="AE212" s="71">
        <f>IF($U212 &gt; 0, 100 - $AD212 - $AF212, 0)</f>
        <v>0</v>
      </c>
      <c r="AF212" s="72">
        <v>0</v>
      </c>
      <c r="AG212" s="6" t="s">
        <v>43</v>
      </c>
      <c r="AH212" s="10" t="str">
        <f>_xlfn.CONCAT("FeO: ", INDEX(Chemical_analyses!$A:$M, MATCH($P212, Chemical_analyses!$A:$A), 9), ", MgO: ", INDEX(Chemical_analyses!$A:$M, MATCH($P212, Chemical_analyses!$A:$A), 11), ", CaO: ", INDEX(Chemical_analyses!$A:$M, MATCH($P212, Chemical_analyses!$A:$A), 12), ", MnO: ", INDEX(Chemical_analyses!$A:$M, MATCH($P212, Chemical_analyses!$A:$A), 10), ", NaO2: ", INDEX(Chemical_analyses!$A:$M, MATCH($P212, Chemical_analyses!$A:$A), 13), ", Fe2O3: ", INDEX(Chemical_analyses!$A:$M, MATCH($P212, Chemical_analyses!$A:$A), 8), ", Al2O3: ", INDEX(Chemical_analyses!$A:$M, MATCH($P212, Chemical_analyses!$A:$A), 6))</f>
        <v>FeO: 6.29, MgO: 15.14, CaO: 20.92, MnO: 0.12, NaO2: 0.4, Fe2O3: 0, Al2O3: 6.4</v>
      </c>
      <c r="AI212" s="10"/>
      <c r="AJ212" s="10"/>
      <c r="AN212" s="86"/>
      <c r="AO212" s="86"/>
      <c r="AP212" s="86"/>
      <c r="AQ212" s="86"/>
      <c r="AR212" s="86"/>
      <c r="AS212" s="86"/>
      <c r="AT212" s="86"/>
      <c r="AU212" s="86"/>
    </row>
    <row r="213" spans="1:47" s="6" customFormat="1" ht="12">
      <c r="A213" s="6" t="s">
        <v>709</v>
      </c>
      <c r="B213" s="7" t="s">
        <v>710</v>
      </c>
      <c r="C213" s="8" t="s">
        <v>129</v>
      </c>
      <c r="D213" s="8" t="s">
        <v>310</v>
      </c>
      <c r="E213" s="6" t="s">
        <v>311</v>
      </c>
      <c r="G213" s="6" t="s">
        <v>414</v>
      </c>
      <c r="H213" s="6" t="s">
        <v>691</v>
      </c>
      <c r="J213" s="6">
        <v>75</v>
      </c>
      <c r="K213" s="6">
        <v>125</v>
      </c>
      <c r="L213" s="6" t="s">
        <v>38</v>
      </c>
      <c r="M213" s="6" t="s">
        <v>11</v>
      </c>
      <c r="N213" s="6" t="s">
        <v>698</v>
      </c>
      <c r="O213" s="6" t="s">
        <v>428</v>
      </c>
      <c r="P213" s="6">
        <v>35</v>
      </c>
      <c r="Q213" s="28" t="s">
        <v>708</v>
      </c>
      <c r="R213" s="87">
        <v>0</v>
      </c>
      <c r="S213" s="87">
        <f>100 - R213 - U213 - T213</f>
        <v>0</v>
      </c>
      <c r="T213" s="87">
        <v>100</v>
      </c>
      <c r="U213" s="87">
        <v>0</v>
      </c>
      <c r="V213" s="87">
        <v>0</v>
      </c>
      <c r="W213" s="88">
        <f>IF($R213 &gt; 0, 100 - $V213, 0)</f>
        <v>0</v>
      </c>
      <c r="X213" s="71">
        <v>0</v>
      </c>
      <c r="Y213" s="71">
        <f>IF($S213 &gt; 0, 100 - $X213 - $Z213, 0)</f>
        <v>0</v>
      </c>
      <c r="Z213" s="72">
        <v>0</v>
      </c>
      <c r="AA213" s="71">
        <f>INDEX(Chemical_analyses!$A:$L, MATCH($P213, Chemical_analyses!$A:$A), 9)/$AI$1/(INDEX(Chemical_analyses!$A:$L, MATCH($P213, Chemical_analyses!$A:$A), 9)/$AI$1+INDEX(Chemical_analyses!$A:$L, MATCH($P213, Chemical_analyses!$A:$A), 11)/$AJ$1+INDEX(Chemical_analyses!$A:$L, MATCH($P213, Chemical_analyses!$A:$A), 12)/$AK$1)*100</f>
        <v>10.469431997904483</v>
      </c>
      <c r="AB213" s="71">
        <f>IF($T213 &gt; 0, 100 - $AA213 - $AC213, 0)</f>
        <v>44.920098937288792</v>
      </c>
      <c r="AC213" s="72">
        <f>INDEX(Chemical_analyses!$A:$L, MATCH($P213, Chemical_analyses!$A:$A), 12)/$AK$1/(INDEX(Chemical_analyses!$A:$L, MATCH($P213, Chemical_analyses!$A:$A), 9)/$AI$1+INDEX(Chemical_analyses!$A:$L, MATCH($P213, Chemical_analyses!$A:$A), 11)/$AJ$1+INDEX(Chemical_analyses!$A:$L, MATCH($P213, Chemical_analyses!$A:$A), 12)/$AK$1)*100</f>
        <v>44.610469064806729</v>
      </c>
      <c r="AD213" s="71">
        <v>0</v>
      </c>
      <c r="AE213" s="71">
        <f>IF($U213 &gt; 0, 100 - $AD213 - $AF213, 0)</f>
        <v>0</v>
      </c>
      <c r="AF213" s="72">
        <v>0</v>
      </c>
      <c r="AG213" s="6" t="s">
        <v>43</v>
      </c>
      <c r="AH213" s="10" t="str">
        <f>_xlfn.CONCAT("FeO: ", INDEX(Chemical_analyses!$A:$M, MATCH($P213, Chemical_analyses!$A:$A), 9), ", MgO: ", INDEX(Chemical_analyses!$A:$M, MATCH($P213, Chemical_analyses!$A:$A), 11), ", CaO: ", INDEX(Chemical_analyses!$A:$M, MATCH($P213, Chemical_analyses!$A:$A), 12), ", MnO: ", INDEX(Chemical_analyses!$A:$M, MATCH($P213, Chemical_analyses!$A:$A), 10), ", NaO2: ", INDEX(Chemical_analyses!$A:$M, MATCH($P213, Chemical_analyses!$A:$A), 13), ", Fe2O3: ", INDEX(Chemical_analyses!$A:$M, MATCH($P213, Chemical_analyses!$A:$A), 8), ", Al2O3: ", INDEX(Chemical_analyses!$A:$M, MATCH($P213, Chemical_analyses!$A:$A), 6))</f>
        <v>FeO: 6.29, MgO: 15.14, CaO: 20.92, MnO: 0.12, NaO2: 0.4, Fe2O3: 0, Al2O3: 6.4</v>
      </c>
      <c r="AI213" s="10"/>
      <c r="AJ213" s="10"/>
      <c r="AN213" s="86"/>
      <c r="AO213" s="86"/>
      <c r="AP213" s="86"/>
      <c r="AQ213" s="86"/>
      <c r="AR213" s="86"/>
      <c r="AS213" s="86"/>
      <c r="AT213" s="86"/>
      <c r="AU213" s="86"/>
    </row>
    <row r="214" spans="1:47" s="6" customFormat="1" ht="12">
      <c r="A214" s="6" t="s">
        <v>711</v>
      </c>
      <c r="B214" s="7" t="s">
        <v>712</v>
      </c>
      <c r="C214" s="8" t="s">
        <v>129</v>
      </c>
      <c r="D214" s="8" t="s">
        <v>310</v>
      </c>
      <c r="E214" s="6" t="s">
        <v>311</v>
      </c>
      <c r="G214" s="6" t="s">
        <v>414</v>
      </c>
      <c r="H214" s="6" t="s">
        <v>691</v>
      </c>
      <c r="J214" s="6">
        <v>0</v>
      </c>
      <c r="K214" s="6">
        <v>25</v>
      </c>
      <c r="L214" s="6" t="s">
        <v>38</v>
      </c>
      <c r="M214" s="6" t="s">
        <v>11</v>
      </c>
      <c r="N214" s="6" t="s">
        <v>698</v>
      </c>
      <c r="O214" s="6" t="s">
        <v>459</v>
      </c>
      <c r="P214" s="6">
        <v>35</v>
      </c>
      <c r="Q214" s="28" t="s">
        <v>713</v>
      </c>
      <c r="R214" s="87">
        <v>0</v>
      </c>
      <c r="S214" s="87">
        <f>100 - R214 - U214 - T214</f>
        <v>0</v>
      </c>
      <c r="T214" s="87">
        <v>100</v>
      </c>
      <c r="U214" s="88">
        <v>0</v>
      </c>
      <c r="V214" s="87">
        <v>0</v>
      </c>
      <c r="W214" s="88">
        <f>IF($R214 &gt; 0, 100 - $V214, 0)</f>
        <v>0</v>
      </c>
      <c r="X214" s="71">
        <v>0</v>
      </c>
      <c r="Y214" s="71">
        <f>IF($S214 &gt; 0, 100 - $X214 - $Z214, 0)</f>
        <v>0</v>
      </c>
      <c r="Z214" s="72">
        <v>0</v>
      </c>
      <c r="AA214" s="71">
        <f>INDEX(Chemical_analyses!$A:$L, MATCH($P214, Chemical_analyses!$A:$A), 9)/$AI$1/(INDEX(Chemical_analyses!$A:$L, MATCH($P214, Chemical_analyses!$A:$A), 9)/$AI$1+INDEX(Chemical_analyses!$A:$L, MATCH($P214, Chemical_analyses!$A:$A), 11)/$AJ$1+INDEX(Chemical_analyses!$A:$L, MATCH($P214, Chemical_analyses!$A:$A), 12)/$AK$1)*100</f>
        <v>10.469431997904483</v>
      </c>
      <c r="AB214" s="71">
        <f>IF($T214 &gt; 0, 100 - $AA214 - $AC214, 0)</f>
        <v>44.920098937288792</v>
      </c>
      <c r="AC214" s="72">
        <f>INDEX(Chemical_analyses!$A:$L, MATCH($P214, Chemical_analyses!$A:$A), 12)/$AK$1/(INDEX(Chemical_analyses!$A:$L, MATCH($P214, Chemical_analyses!$A:$A), 9)/$AI$1+INDEX(Chemical_analyses!$A:$L, MATCH($P214, Chemical_analyses!$A:$A), 11)/$AJ$1+INDEX(Chemical_analyses!$A:$L, MATCH($P214, Chemical_analyses!$A:$A), 12)/$AK$1)*100</f>
        <v>44.610469064806729</v>
      </c>
      <c r="AD214" s="71">
        <v>0</v>
      </c>
      <c r="AE214" s="71">
        <f>IF($U214 &gt; 0, 100 - $AD214 - $AF214, 0)</f>
        <v>0</v>
      </c>
      <c r="AF214" s="72">
        <v>0</v>
      </c>
      <c r="AG214" s="6" t="s">
        <v>43</v>
      </c>
      <c r="AH214" s="10" t="str">
        <f>_xlfn.CONCAT("FeO: ", INDEX(Chemical_analyses!$A:$M, MATCH($P214, Chemical_analyses!$A:$A), 9), ", MgO: ", INDEX(Chemical_analyses!$A:$M, MATCH($P214, Chemical_analyses!$A:$A), 11), ", CaO: ", INDEX(Chemical_analyses!$A:$M, MATCH($P214, Chemical_analyses!$A:$A), 12), ", MnO: ", INDEX(Chemical_analyses!$A:$M, MATCH($P214, Chemical_analyses!$A:$A), 10), ", NaO2: ", INDEX(Chemical_analyses!$A:$M, MATCH($P214, Chemical_analyses!$A:$A), 13), ", Fe2O3: ", INDEX(Chemical_analyses!$A:$M, MATCH($P214, Chemical_analyses!$A:$A), 8), ", Al2O3: ", INDEX(Chemical_analyses!$A:$M, MATCH($P214, Chemical_analyses!$A:$A), 6))</f>
        <v>FeO: 6.29, MgO: 15.14, CaO: 20.92, MnO: 0.12, NaO2: 0.4, Fe2O3: 0, Al2O3: 6.4</v>
      </c>
      <c r="AI214" s="10"/>
      <c r="AJ214" s="10"/>
      <c r="AN214" s="86"/>
      <c r="AO214" s="86"/>
      <c r="AP214" s="86"/>
      <c r="AQ214" s="86"/>
      <c r="AR214" s="86"/>
      <c r="AS214" s="86"/>
      <c r="AT214" s="86"/>
      <c r="AU214" s="86"/>
    </row>
    <row r="215" spans="1:47" s="6" customFormat="1" ht="12">
      <c r="A215" s="6" t="s">
        <v>714</v>
      </c>
      <c r="B215" s="7" t="s">
        <v>715</v>
      </c>
      <c r="C215" s="8" t="s">
        <v>129</v>
      </c>
      <c r="D215" s="8" t="s">
        <v>310</v>
      </c>
      <c r="E215" s="6" t="s">
        <v>311</v>
      </c>
      <c r="G215" s="6" t="s">
        <v>414</v>
      </c>
      <c r="H215" s="6" t="s">
        <v>691</v>
      </c>
      <c r="J215" s="6">
        <v>25</v>
      </c>
      <c r="K215" s="6">
        <v>63</v>
      </c>
      <c r="L215" s="6" t="s">
        <v>38</v>
      </c>
      <c r="M215" s="6" t="s">
        <v>11</v>
      </c>
      <c r="N215" s="6" t="s">
        <v>698</v>
      </c>
      <c r="O215" s="6" t="s">
        <v>459</v>
      </c>
      <c r="P215" s="6">
        <v>35</v>
      </c>
      <c r="Q215" s="28" t="s">
        <v>708</v>
      </c>
      <c r="R215" s="87">
        <v>0</v>
      </c>
      <c r="S215" s="87">
        <f>100 - R215 - U215 - T215</f>
        <v>0</v>
      </c>
      <c r="T215" s="87">
        <v>100</v>
      </c>
      <c r="U215" s="87">
        <v>0</v>
      </c>
      <c r="V215" s="87">
        <v>0</v>
      </c>
      <c r="W215" s="88">
        <f>IF($R215 &gt; 0, 100 - $V215, 0)</f>
        <v>0</v>
      </c>
      <c r="X215" s="71">
        <v>0</v>
      </c>
      <c r="Y215" s="71">
        <f>IF($S215 &gt; 0, 100 - $X215 - $Z215, 0)</f>
        <v>0</v>
      </c>
      <c r="Z215" s="72">
        <v>0</v>
      </c>
      <c r="AA215" s="71">
        <f>INDEX(Chemical_analyses!$A:$L, MATCH($P215, Chemical_analyses!$A:$A), 9)/$AI$1/(INDEX(Chemical_analyses!$A:$L, MATCH($P215, Chemical_analyses!$A:$A), 9)/$AI$1+INDEX(Chemical_analyses!$A:$L, MATCH($P215, Chemical_analyses!$A:$A), 11)/$AJ$1+INDEX(Chemical_analyses!$A:$L, MATCH($P215, Chemical_analyses!$A:$A), 12)/$AK$1)*100</f>
        <v>10.469431997904483</v>
      </c>
      <c r="AB215" s="71">
        <f>IF($T215 &gt; 0, 100 - $AA215 - $AC215, 0)</f>
        <v>44.920098937288792</v>
      </c>
      <c r="AC215" s="72">
        <f>INDEX(Chemical_analyses!$A:$L, MATCH($P215, Chemical_analyses!$A:$A), 12)/$AK$1/(INDEX(Chemical_analyses!$A:$L, MATCH($P215, Chemical_analyses!$A:$A), 9)/$AI$1+INDEX(Chemical_analyses!$A:$L, MATCH($P215, Chemical_analyses!$A:$A), 11)/$AJ$1+INDEX(Chemical_analyses!$A:$L, MATCH($P215, Chemical_analyses!$A:$A), 12)/$AK$1)*100</f>
        <v>44.610469064806729</v>
      </c>
      <c r="AD215" s="71">
        <v>0</v>
      </c>
      <c r="AE215" s="71">
        <f>IF($U215 &gt; 0, 100 - $AD215 - $AF215, 0)</f>
        <v>0</v>
      </c>
      <c r="AF215" s="72">
        <v>0</v>
      </c>
      <c r="AG215" s="6" t="s">
        <v>43</v>
      </c>
      <c r="AH215" s="10" t="str">
        <f>_xlfn.CONCAT("FeO: ", INDEX(Chemical_analyses!$A:$M, MATCH($P215, Chemical_analyses!$A:$A), 9), ", MgO: ", INDEX(Chemical_analyses!$A:$M, MATCH($P215, Chemical_analyses!$A:$A), 11), ", CaO: ", INDEX(Chemical_analyses!$A:$M, MATCH($P215, Chemical_analyses!$A:$A), 12), ", MnO: ", INDEX(Chemical_analyses!$A:$M, MATCH($P215, Chemical_analyses!$A:$A), 10), ", NaO2: ", INDEX(Chemical_analyses!$A:$M, MATCH($P215, Chemical_analyses!$A:$A), 13), ", Fe2O3: ", INDEX(Chemical_analyses!$A:$M, MATCH($P215, Chemical_analyses!$A:$A), 8), ", Al2O3: ", INDEX(Chemical_analyses!$A:$M, MATCH($P215, Chemical_analyses!$A:$A), 6))</f>
        <v>FeO: 6.29, MgO: 15.14, CaO: 20.92, MnO: 0.12, NaO2: 0.4, Fe2O3: 0, Al2O3: 6.4</v>
      </c>
      <c r="AI215" s="10"/>
      <c r="AJ215" s="10"/>
      <c r="AN215" s="86"/>
      <c r="AO215" s="86"/>
      <c r="AP215" s="86"/>
      <c r="AQ215" s="86"/>
      <c r="AR215" s="86"/>
      <c r="AS215" s="86"/>
      <c r="AT215" s="86"/>
      <c r="AU215" s="86"/>
    </row>
    <row r="216" spans="1:47" s="6" customFormat="1" ht="12">
      <c r="A216" s="6" t="s">
        <v>716</v>
      </c>
      <c r="B216" s="7" t="s">
        <v>717</v>
      </c>
      <c r="C216" s="8" t="s">
        <v>129</v>
      </c>
      <c r="D216" s="8" t="s">
        <v>310</v>
      </c>
      <c r="E216" s="6" t="s">
        <v>311</v>
      </c>
      <c r="G216" s="6" t="s">
        <v>414</v>
      </c>
      <c r="H216" s="6" t="s">
        <v>691</v>
      </c>
      <c r="J216" s="6">
        <v>63</v>
      </c>
      <c r="K216" s="6">
        <v>125</v>
      </c>
      <c r="L216" s="6" t="s">
        <v>38</v>
      </c>
      <c r="M216" s="6" t="s">
        <v>11</v>
      </c>
      <c r="N216" s="6" t="s">
        <v>698</v>
      </c>
      <c r="O216" s="6" t="s">
        <v>459</v>
      </c>
      <c r="P216" s="6">
        <v>35</v>
      </c>
      <c r="Q216" s="28" t="s">
        <v>708</v>
      </c>
      <c r="R216" s="87">
        <v>0</v>
      </c>
      <c r="S216" s="87">
        <f>100 - R216 - U216 - T216</f>
        <v>0</v>
      </c>
      <c r="T216" s="87">
        <v>100</v>
      </c>
      <c r="U216" s="87">
        <v>0</v>
      </c>
      <c r="V216" s="87">
        <v>0</v>
      </c>
      <c r="W216" s="88">
        <f>IF($R216 &gt; 0, 100 - $V216, 0)</f>
        <v>0</v>
      </c>
      <c r="X216" s="71">
        <v>0</v>
      </c>
      <c r="Y216" s="71">
        <f>IF($S216 &gt; 0, 100 - $X216 - $Z216, 0)</f>
        <v>0</v>
      </c>
      <c r="Z216" s="72">
        <v>0</v>
      </c>
      <c r="AA216" s="71">
        <f>INDEX(Chemical_analyses!$A:$L, MATCH($P216, Chemical_analyses!$A:$A), 9)/$AI$1/(INDEX(Chemical_analyses!$A:$L, MATCH($P216, Chemical_analyses!$A:$A), 9)/$AI$1+INDEX(Chemical_analyses!$A:$L, MATCH($P216, Chemical_analyses!$A:$A), 11)/$AJ$1+INDEX(Chemical_analyses!$A:$L, MATCH($P216, Chemical_analyses!$A:$A), 12)/$AK$1)*100</f>
        <v>10.469431997904483</v>
      </c>
      <c r="AB216" s="71">
        <f>IF($T216 &gt; 0, 100 - $AA216 - $AC216, 0)</f>
        <v>44.920098937288792</v>
      </c>
      <c r="AC216" s="72">
        <f>INDEX(Chemical_analyses!$A:$L, MATCH($P216, Chemical_analyses!$A:$A), 12)/$AK$1/(INDEX(Chemical_analyses!$A:$L, MATCH($P216, Chemical_analyses!$A:$A), 9)/$AI$1+INDEX(Chemical_analyses!$A:$L, MATCH($P216, Chemical_analyses!$A:$A), 11)/$AJ$1+INDEX(Chemical_analyses!$A:$L, MATCH($P216, Chemical_analyses!$A:$A), 12)/$AK$1)*100</f>
        <v>44.610469064806729</v>
      </c>
      <c r="AD216" s="71">
        <v>0</v>
      </c>
      <c r="AE216" s="71">
        <f>IF($U216 &gt; 0, 100 - $AD216 - $AF216, 0)</f>
        <v>0</v>
      </c>
      <c r="AF216" s="72">
        <v>0</v>
      </c>
      <c r="AG216" s="6" t="s">
        <v>43</v>
      </c>
      <c r="AH216" s="10" t="str">
        <f>_xlfn.CONCAT("FeO: ", INDEX(Chemical_analyses!$A:$M, MATCH($P216, Chemical_analyses!$A:$A), 9), ", MgO: ", INDEX(Chemical_analyses!$A:$M, MATCH($P216, Chemical_analyses!$A:$A), 11), ", CaO: ", INDEX(Chemical_analyses!$A:$M, MATCH($P216, Chemical_analyses!$A:$A), 12), ", MnO: ", INDEX(Chemical_analyses!$A:$M, MATCH($P216, Chemical_analyses!$A:$A), 10), ", NaO2: ", INDEX(Chemical_analyses!$A:$M, MATCH($P216, Chemical_analyses!$A:$A), 13), ", Fe2O3: ", INDEX(Chemical_analyses!$A:$M, MATCH($P216, Chemical_analyses!$A:$A), 8), ", Al2O3: ", INDEX(Chemical_analyses!$A:$M, MATCH($P216, Chemical_analyses!$A:$A), 6))</f>
        <v>FeO: 6.29, MgO: 15.14, CaO: 20.92, MnO: 0.12, NaO2: 0.4, Fe2O3: 0, Al2O3: 6.4</v>
      </c>
      <c r="AI216" s="10"/>
      <c r="AJ216" s="10"/>
      <c r="AN216" s="86"/>
      <c r="AO216" s="86"/>
      <c r="AP216" s="86"/>
      <c r="AQ216" s="86"/>
      <c r="AR216" s="86"/>
      <c r="AS216" s="86"/>
      <c r="AT216" s="86"/>
      <c r="AU216" s="86"/>
    </row>
    <row r="217" spans="1:47" s="6" customFormat="1" ht="12">
      <c r="A217" s="6" t="s">
        <v>718</v>
      </c>
      <c r="B217" s="7" t="s">
        <v>719</v>
      </c>
      <c r="C217" s="8" t="s">
        <v>129</v>
      </c>
      <c r="D217" s="8" t="s">
        <v>310</v>
      </c>
      <c r="E217" s="6" t="s">
        <v>311</v>
      </c>
      <c r="G217" s="6" t="s">
        <v>414</v>
      </c>
      <c r="H217" s="6" t="s">
        <v>691</v>
      </c>
      <c r="J217" s="6">
        <v>0</v>
      </c>
      <c r="K217" s="6">
        <v>25</v>
      </c>
      <c r="L217" s="6" t="s">
        <v>38</v>
      </c>
      <c r="M217" s="6" t="s">
        <v>11</v>
      </c>
      <c r="N217" s="6" t="s">
        <v>698</v>
      </c>
      <c r="O217" s="6" t="s">
        <v>450</v>
      </c>
      <c r="P217" s="6">
        <v>35</v>
      </c>
      <c r="Q217" s="28" t="s">
        <v>720</v>
      </c>
      <c r="R217" s="87">
        <v>0</v>
      </c>
      <c r="S217" s="87">
        <f>100 - R217 - U217 - T217</f>
        <v>0</v>
      </c>
      <c r="T217" s="87">
        <v>100</v>
      </c>
      <c r="U217" s="87">
        <v>0</v>
      </c>
      <c r="V217" s="87">
        <v>0</v>
      </c>
      <c r="W217" s="88">
        <f>IF($R217 &gt; 0, 100 - $V217, 0)</f>
        <v>0</v>
      </c>
      <c r="X217" s="71">
        <v>0</v>
      </c>
      <c r="Y217" s="71">
        <f>IF($S217 &gt; 0, 100 - $X217 - $Z217, 0)</f>
        <v>0</v>
      </c>
      <c r="Z217" s="72">
        <v>0</v>
      </c>
      <c r="AA217" s="71">
        <f>INDEX(Chemical_analyses!$A:$L, MATCH($P217, Chemical_analyses!$A:$A), 9)/$AI$1/(INDEX(Chemical_analyses!$A:$L, MATCH($P217, Chemical_analyses!$A:$A), 9)/$AI$1+INDEX(Chemical_analyses!$A:$L, MATCH($P217, Chemical_analyses!$A:$A), 11)/$AJ$1+INDEX(Chemical_analyses!$A:$L, MATCH($P217, Chemical_analyses!$A:$A), 12)/$AK$1)*100</f>
        <v>10.469431997904483</v>
      </c>
      <c r="AB217" s="71">
        <f>IF($T217 &gt; 0, 100 - $AA217 - $AC217, 0)</f>
        <v>44.920098937288792</v>
      </c>
      <c r="AC217" s="72">
        <f>INDEX(Chemical_analyses!$A:$L, MATCH($P217, Chemical_analyses!$A:$A), 12)/$AK$1/(INDEX(Chemical_analyses!$A:$L, MATCH($P217, Chemical_analyses!$A:$A), 9)/$AI$1+INDEX(Chemical_analyses!$A:$L, MATCH($P217, Chemical_analyses!$A:$A), 11)/$AJ$1+INDEX(Chemical_analyses!$A:$L, MATCH($P217, Chemical_analyses!$A:$A), 12)/$AK$1)*100</f>
        <v>44.610469064806729</v>
      </c>
      <c r="AD217" s="71">
        <v>0</v>
      </c>
      <c r="AE217" s="71">
        <f>IF($U217 &gt; 0, 100 - $AD217 - $AF217, 0)</f>
        <v>0</v>
      </c>
      <c r="AF217" s="72">
        <v>0</v>
      </c>
      <c r="AG217" s="6" t="s">
        <v>43</v>
      </c>
      <c r="AH217" s="10" t="str">
        <f>_xlfn.CONCAT("FeO: ", INDEX(Chemical_analyses!$A:$M, MATCH($P217, Chemical_analyses!$A:$A), 9), ", MgO: ", INDEX(Chemical_analyses!$A:$M, MATCH($P217, Chemical_analyses!$A:$A), 11), ", CaO: ", INDEX(Chemical_analyses!$A:$M, MATCH($P217, Chemical_analyses!$A:$A), 12), ", MnO: ", INDEX(Chemical_analyses!$A:$M, MATCH($P217, Chemical_analyses!$A:$A), 10), ", NaO2: ", INDEX(Chemical_analyses!$A:$M, MATCH($P217, Chemical_analyses!$A:$A), 13), ", Fe2O3: ", INDEX(Chemical_analyses!$A:$M, MATCH($P217, Chemical_analyses!$A:$A), 8), ", Al2O3: ", INDEX(Chemical_analyses!$A:$M, MATCH($P217, Chemical_analyses!$A:$A), 6))</f>
        <v>FeO: 6.29, MgO: 15.14, CaO: 20.92, MnO: 0.12, NaO2: 0.4, Fe2O3: 0, Al2O3: 6.4</v>
      </c>
      <c r="AI217" s="10"/>
      <c r="AJ217" s="10"/>
      <c r="AN217" s="86"/>
      <c r="AO217" s="86"/>
      <c r="AP217" s="86"/>
      <c r="AQ217" s="86"/>
      <c r="AR217" s="86"/>
      <c r="AS217" s="86"/>
      <c r="AT217" s="86"/>
      <c r="AU217" s="86"/>
    </row>
    <row r="218" spans="1:47" s="6" customFormat="1" ht="12">
      <c r="A218" s="6" t="s">
        <v>721</v>
      </c>
      <c r="B218" s="7" t="s">
        <v>722</v>
      </c>
      <c r="C218" s="8" t="s">
        <v>129</v>
      </c>
      <c r="D218" s="8" t="s">
        <v>310</v>
      </c>
      <c r="E218" s="6" t="s">
        <v>311</v>
      </c>
      <c r="G218" s="6" t="s">
        <v>414</v>
      </c>
      <c r="H218" s="6" t="s">
        <v>691</v>
      </c>
      <c r="J218" s="6">
        <v>25</v>
      </c>
      <c r="K218" s="6">
        <v>75</v>
      </c>
      <c r="L218" s="6" t="s">
        <v>38</v>
      </c>
      <c r="M218" s="6" t="s">
        <v>11</v>
      </c>
      <c r="N218" s="6" t="s">
        <v>698</v>
      </c>
      <c r="O218" s="6" t="s">
        <v>450</v>
      </c>
      <c r="P218" s="6">
        <v>35</v>
      </c>
      <c r="Q218" s="28" t="s">
        <v>723</v>
      </c>
      <c r="R218" s="87">
        <v>0</v>
      </c>
      <c r="S218" s="87">
        <f>100 - R218 - U218 - T218</f>
        <v>0</v>
      </c>
      <c r="T218" s="87">
        <v>100</v>
      </c>
      <c r="U218" s="88">
        <v>0</v>
      </c>
      <c r="V218" s="87">
        <v>0</v>
      </c>
      <c r="W218" s="88">
        <f>IF($R218 &gt; 0, 100 - $V218, 0)</f>
        <v>0</v>
      </c>
      <c r="X218" s="71">
        <v>0</v>
      </c>
      <c r="Y218" s="71">
        <f>IF($S218 &gt; 0, 100 - $X218 - $Z218, 0)</f>
        <v>0</v>
      </c>
      <c r="Z218" s="72">
        <v>0</v>
      </c>
      <c r="AA218" s="71">
        <f>INDEX(Chemical_analyses!$A:$L, MATCH($P218, Chemical_analyses!$A:$A), 9)/$AI$1/(INDEX(Chemical_analyses!$A:$L, MATCH($P218, Chemical_analyses!$A:$A), 9)/$AI$1+INDEX(Chemical_analyses!$A:$L, MATCH($P218, Chemical_analyses!$A:$A), 11)/$AJ$1+INDEX(Chemical_analyses!$A:$L, MATCH($P218, Chemical_analyses!$A:$A), 12)/$AK$1)*100</f>
        <v>10.469431997904483</v>
      </c>
      <c r="AB218" s="71">
        <f>IF($T218 &gt; 0, 100 - $AA218 - $AC218, 0)</f>
        <v>44.920098937288792</v>
      </c>
      <c r="AC218" s="72">
        <f>INDEX(Chemical_analyses!$A:$L, MATCH($P218, Chemical_analyses!$A:$A), 12)/$AK$1/(INDEX(Chemical_analyses!$A:$L, MATCH($P218, Chemical_analyses!$A:$A), 9)/$AI$1+INDEX(Chemical_analyses!$A:$L, MATCH($P218, Chemical_analyses!$A:$A), 11)/$AJ$1+INDEX(Chemical_analyses!$A:$L, MATCH($P218, Chemical_analyses!$A:$A), 12)/$AK$1)*100</f>
        <v>44.610469064806729</v>
      </c>
      <c r="AD218" s="71">
        <v>0</v>
      </c>
      <c r="AE218" s="71">
        <f>IF($U218 &gt; 0, 100 - $AD218 - $AF218, 0)</f>
        <v>0</v>
      </c>
      <c r="AF218" s="72">
        <v>0</v>
      </c>
      <c r="AG218" s="6" t="s">
        <v>43</v>
      </c>
      <c r="AH218" s="10" t="str">
        <f>_xlfn.CONCAT("FeO: ", INDEX(Chemical_analyses!$A:$M, MATCH($P218, Chemical_analyses!$A:$A), 9), ", MgO: ", INDEX(Chemical_analyses!$A:$M, MATCH($P218, Chemical_analyses!$A:$A), 11), ", CaO: ", INDEX(Chemical_analyses!$A:$M, MATCH($P218, Chemical_analyses!$A:$A), 12), ", MnO: ", INDEX(Chemical_analyses!$A:$M, MATCH($P218, Chemical_analyses!$A:$A), 10), ", NaO2: ", INDEX(Chemical_analyses!$A:$M, MATCH($P218, Chemical_analyses!$A:$A), 13), ", Fe2O3: ", INDEX(Chemical_analyses!$A:$M, MATCH($P218, Chemical_analyses!$A:$A), 8), ", Al2O3: ", INDEX(Chemical_analyses!$A:$M, MATCH($P218, Chemical_analyses!$A:$A), 6))</f>
        <v>FeO: 6.29, MgO: 15.14, CaO: 20.92, MnO: 0.12, NaO2: 0.4, Fe2O3: 0, Al2O3: 6.4</v>
      </c>
      <c r="AI218" s="10"/>
      <c r="AJ218" s="10"/>
      <c r="AN218" s="86"/>
      <c r="AO218" s="86"/>
      <c r="AP218" s="86"/>
      <c r="AQ218" s="86"/>
      <c r="AR218" s="86"/>
      <c r="AS218" s="86"/>
      <c r="AT218" s="86"/>
      <c r="AU218" s="86"/>
    </row>
    <row r="219" spans="1:47" s="6" customFormat="1" ht="12">
      <c r="A219" s="6" t="s">
        <v>724</v>
      </c>
      <c r="B219" s="7" t="s">
        <v>725</v>
      </c>
      <c r="C219" s="8" t="s">
        <v>129</v>
      </c>
      <c r="D219" s="8" t="s">
        <v>310</v>
      </c>
      <c r="E219" s="6" t="s">
        <v>311</v>
      </c>
      <c r="G219" s="6" t="s">
        <v>414</v>
      </c>
      <c r="H219" s="6" t="s">
        <v>691</v>
      </c>
      <c r="J219" s="6">
        <v>75</v>
      </c>
      <c r="K219" s="6">
        <v>250</v>
      </c>
      <c r="L219" s="6" t="s">
        <v>38</v>
      </c>
      <c r="M219" s="6" t="s">
        <v>11</v>
      </c>
      <c r="N219" s="6" t="s">
        <v>698</v>
      </c>
      <c r="O219" s="6" t="s">
        <v>450</v>
      </c>
      <c r="P219" s="6">
        <v>35</v>
      </c>
      <c r="Q219" s="28" t="s">
        <v>723</v>
      </c>
      <c r="R219" s="87">
        <v>0</v>
      </c>
      <c r="S219" s="87">
        <f>100 - R219 - U219 - T219</f>
        <v>0</v>
      </c>
      <c r="T219" s="87">
        <v>100</v>
      </c>
      <c r="U219" s="88">
        <v>0</v>
      </c>
      <c r="V219" s="87">
        <v>0</v>
      </c>
      <c r="W219" s="88">
        <f>IF($R219 &gt; 0, 100 - $V219, 0)</f>
        <v>0</v>
      </c>
      <c r="X219" s="71">
        <v>0</v>
      </c>
      <c r="Y219" s="71">
        <f>IF($S219 &gt; 0, 100 - $X219 - $Z219, 0)</f>
        <v>0</v>
      </c>
      <c r="Z219" s="72">
        <v>0</v>
      </c>
      <c r="AA219" s="71">
        <f>INDEX(Chemical_analyses!$A:$L, MATCH($P219, Chemical_analyses!$A:$A), 9)/$AI$1/(INDEX(Chemical_analyses!$A:$L, MATCH($P219, Chemical_analyses!$A:$A), 9)/$AI$1+INDEX(Chemical_analyses!$A:$L, MATCH($P219, Chemical_analyses!$A:$A), 11)/$AJ$1+INDEX(Chemical_analyses!$A:$L, MATCH($P219, Chemical_analyses!$A:$A), 12)/$AK$1)*100</f>
        <v>10.469431997904483</v>
      </c>
      <c r="AB219" s="71">
        <f>IF($T219 &gt; 0, 100 - $AA219 - $AC219, 0)</f>
        <v>44.920098937288792</v>
      </c>
      <c r="AC219" s="72">
        <f>INDEX(Chemical_analyses!$A:$L, MATCH($P219, Chemical_analyses!$A:$A), 12)/$AK$1/(INDEX(Chemical_analyses!$A:$L, MATCH($P219, Chemical_analyses!$A:$A), 9)/$AI$1+INDEX(Chemical_analyses!$A:$L, MATCH($P219, Chemical_analyses!$A:$A), 11)/$AJ$1+INDEX(Chemical_analyses!$A:$L, MATCH($P219, Chemical_analyses!$A:$A), 12)/$AK$1)*100</f>
        <v>44.610469064806729</v>
      </c>
      <c r="AD219" s="71">
        <v>0</v>
      </c>
      <c r="AE219" s="71">
        <f>IF($U219 &gt; 0, 100 - $AD219 - $AF219, 0)</f>
        <v>0</v>
      </c>
      <c r="AF219" s="72">
        <v>0</v>
      </c>
      <c r="AG219" s="6" t="s">
        <v>43</v>
      </c>
      <c r="AH219" s="10" t="str">
        <f>_xlfn.CONCAT("FeO: ", INDEX(Chemical_analyses!$A:$M, MATCH($P219, Chemical_analyses!$A:$A), 9), ", MgO: ", INDEX(Chemical_analyses!$A:$M, MATCH($P219, Chemical_analyses!$A:$A), 11), ", CaO: ", INDEX(Chemical_analyses!$A:$M, MATCH($P219, Chemical_analyses!$A:$A), 12), ", MnO: ", INDEX(Chemical_analyses!$A:$M, MATCH($P219, Chemical_analyses!$A:$A), 10), ", NaO2: ", INDEX(Chemical_analyses!$A:$M, MATCH($P219, Chemical_analyses!$A:$A), 13), ", Fe2O3: ", INDEX(Chemical_analyses!$A:$M, MATCH($P219, Chemical_analyses!$A:$A), 8), ", Al2O3: ", INDEX(Chemical_analyses!$A:$M, MATCH($P219, Chemical_analyses!$A:$A), 6))</f>
        <v>FeO: 6.29, MgO: 15.14, CaO: 20.92, MnO: 0.12, NaO2: 0.4, Fe2O3: 0, Al2O3: 6.4</v>
      </c>
      <c r="AI219" s="10"/>
      <c r="AJ219" s="10"/>
      <c r="AN219" s="86"/>
      <c r="AO219" s="86"/>
      <c r="AP219" s="86"/>
      <c r="AQ219" s="86"/>
      <c r="AR219" s="86"/>
      <c r="AS219" s="86"/>
      <c r="AT219" s="86"/>
      <c r="AU219" s="86"/>
    </row>
    <row r="220" spans="1:47" s="6" customFormat="1" ht="12">
      <c r="A220" s="6" t="s">
        <v>726</v>
      </c>
      <c r="B220" s="7" t="s">
        <v>727</v>
      </c>
      <c r="C220" s="8" t="s">
        <v>129</v>
      </c>
      <c r="D220" s="8" t="s">
        <v>310</v>
      </c>
      <c r="E220" s="6" t="s">
        <v>311</v>
      </c>
      <c r="G220" s="6" t="s">
        <v>414</v>
      </c>
      <c r="H220" s="6" t="s">
        <v>691</v>
      </c>
      <c r="J220" s="6">
        <v>75</v>
      </c>
      <c r="K220" s="6">
        <v>125</v>
      </c>
      <c r="L220" s="6" t="s">
        <v>38</v>
      </c>
      <c r="M220" s="6" t="s">
        <v>11</v>
      </c>
      <c r="N220" s="6" t="s">
        <v>698</v>
      </c>
      <c r="O220" s="6" t="s">
        <v>450</v>
      </c>
      <c r="P220" s="6">
        <v>35</v>
      </c>
      <c r="Q220" s="28" t="s">
        <v>723</v>
      </c>
      <c r="R220" s="87">
        <v>0</v>
      </c>
      <c r="S220" s="87">
        <f>100 - R220 - U220 - T220</f>
        <v>0</v>
      </c>
      <c r="T220" s="87">
        <v>100</v>
      </c>
      <c r="U220" s="88">
        <v>0</v>
      </c>
      <c r="V220" s="87">
        <v>0</v>
      </c>
      <c r="W220" s="88">
        <f>IF($R220 &gt; 0, 100 - $V220, 0)</f>
        <v>0</v>
      </c>
      <c r="X220" s="71">
        <v>0</v>
      </c>
      <c r="Y220" s="71">
        <f>IF($S220 &gt; 0, 100 - $X220 - $Z220, 0)</f>
        <v>0</v>
      </c>
      <c r="Z220" s="72">
        <v>0</v>
      </c>
      <c r="AA220" s="71">
        <f>INDEX(Chemical_analyses!$A:$L, MATCH($P220, Chemical_analyses!$A:$A), 9)/$AI$1/(INDEX(Chemical_analyses!$A:$L, MATCH($P220, Chemical_analyses!$A:$A), 9)/$AI$1+INDEX(Chemical_analyses!$A:$L, MATCH($P220, Chemical_analyses!$A:$A), 11)/$AJ$1+INDEX(Chemical_analyses!$A:$L, MATCH($P220, Chemical_analyses!$A:$A), 12)/$AK$1)*100</f>
        <v>10.469431997904483</v>
      </c>
      <c r="AB220" s="71">
        <f>IF($T220 &gt; 0, 100 - $AA220 - $AC220, 0)</f>
        <v>44.920098937288792</v>
      </c>
      <c r="AC220" s="72">
        <f>INDEX(Chemical_analyses!$A:$L, MATCH($P220, Chemical_analyses!$A:$A), 12)/$AK$1/(INDEX(Chemical_analyses!$A:$L, MATCH($P220, Chemical_analyses!$A:$A), 9)/$AI$1+INDEX(Chemical_analyses!$A:$L, MATCH($P220, Chemical_analyses!$A:$A), 11)/$AJ$1+INDEX(Chemical_analyses!$A:$L, MATCH($P220, Chemical_analyses!$A:$A), 12)/$AK$1)*100</f>
        <v>44.610469064806729</v>
      </c>
      <c r="AD220" s="71">
        <v>0</v>
      </c>
      <c r="AE220" s="71">
        <f>IF($U220 &gt; 0, 100 - $AD220 - $AF220, 0)</f>
        <v>0</v>
      </c>
      <c r="AF220" s="72">
        <v>0</v>
      </c>
      <c r="AG220" s="6" t="s">
        <v>43</v>
      </c>
      <c r="AH220" s="10" t="str">
        <f>_xlfn.CONCAT("FeO: ", INDEX(Chemical_analyses!$A:$M, MATCH($P220, Chemical_analyses!$A:$A), 9), ", MgO: ", INDEX(Chemical_analyses!$A:$M, MATCH($P220, Chemical_analyses!$A:$A), 11), ", CaO: ", INDEX(Chemical_analyses!$A:$M, MATCH($P220, Chemical_analyses!$A:$A), 12), ", MnO: ", INDEX(Chemical_analyses!$A:$M, MATCH($P220, Chemical_analyses!$A:$A), 10), ", NaO2: ", INDEX(Chemical_analyses!$A:$M, MATCH($P220, Chemical_analyses!$A:$A), 13), ", Fe2O3: ", INDEX(Chemical_analyses!$A:$M, MATCH($P220, Chemical_analyses!$A:$A), 8), ", Al2O3: ", INDEX(Chemical_analyses!$A:$M, MATCH($P220, Chemical_analyses!$A:$A), 6))</f>
        <v>FeO: 6.29, MgO: 15.14, CaO: 20.92, MnO: 0.12, NaO2: 0.4, Fe2O3: 0, Al2O3: 6.4</v>
      </c>
      <c r="AI220" s="10"/>
      <c r="AJ220" s="10"/>
      <c r="AN220" s="86"/>
      <c r="AO220" s="86"/>
      <c r="AP220" s="86"/>
      <c r="AQ220" s="86"/>
      <c r="AR220" s="86"/>
      <c r="AS220" s="86"/>
      <c r="AT220" s="86"/>
      <c r="AU220" s="86"/>
    </row>
    <row r="221" spans="1:47" s="6" customFormat="1" ht="12">
      <c r="A221" s="6" t="s">
        <v>728</v>
      </c>
      <c r="B221" s="7" t="s">
        <v>729</v>
      </c>
      <c r="C221" s="8" t="s">
        <v>129</v>
      </c>
      <c r="D221" s="8" t="s">
        <v>310</v>
      </c>
      <c r="E221" s="6" t="s">
        <v>311</v>
      </c>
      <c r="G221" s="6" t="s">
        <v>414</v>
      </c>
      <c r="H221" s="6" t="s">
        <v>691</v>
      </c>
      <c r="J221" s="6">
        <v>0</v>
      </c>
      <c r="K221" s="6">
        <v>0</v>
      </c>
      <c r="L221" s="6" t="s">
        <v>38</v>
      </c>
      <c r="M221" s="6" t="s">
        <v>11</v>
      </c>
      <c r="N221" s="6" t="s">
        <v>698</v>
      </c>
      <c r="O221" s="6" t="s">
        <v>450</v>
      </c>
      <c r="P221" s="6">
        <v>0</v>
      </c>
      <c r="Q221" s="28"/>
      <c r="R221" s="87">
        <v>0</v>
      </c>
      <c r="S221" s="87">
        <f>100 - R221 - U221 - T221</f>
        <v>0</v>
      </c>
      <c r="T221" s="87">
        <v>100</v>
      </c>
      <c r="U221" s="87">
        <v>0</v>
      </c>
      <c r="V221" s="87">
        <v>0</v>
      </c>
      <c r="W221" s="88">
        <f>IF($R221 &gt; 0, 100 - $V221, 0)</f>
        <v>0</v>
      </c>
      <c r="X221" s="71">
        <v>0</v>
      </c>
      <c r="Y221" s="71">
        <f>IF($S221 &gt; 0, 100 - $X221 - $Z221, 0)</f>
        <v>0</v>
      </c>
      <c r="Z221" s="72">
        <v>0</v>
      </c>
      <c r="AA221" s="71">
        <v>10</v>
      </c>
      <c r="AB221" s="71">
        <f>IF($T221 &gt; 0, 100 - $AA221 - $AC221, 0)</f>
        <v>45</v>
      </c>
      <c r="AC221" s="72">
        <v>45</v>
      </c>
      <c r="AD221" s="71">
        <v>0</v>
      </c>
      <c r="AE221" s="71">
        <f>IF($U221 &gt; 0, 100 - $AD221 - $AF221, 0)</f>
        <v>0</v>
      </c>
      <c r="AF221" s="72">
        <v>0</v>
      </c>
      <c r="AG221" s="6" t="s">
        <v>43</v>
      </c>
      <c r="AH221" s="6" t="s">
        <v>730</v>
      </c>
      <c r="AI221" s="10"/>
      <c r="AJ221" s="10"/>
      <c r="AN221" s="86"/>
      <c r="AO221" s="86"/>
      <c r="AP221" s="86"/>
      <c r="AQ221" s="86"/>
      <c r="AR221" s="86"/>
      <c r="AS221" s="86"/>
      <c r="AT221" s="86"/>
      <c r="AU221" s="86"/>
    </row>
    <row r="222" spans="1:47" s="6" customFormat="1" ht="12">
      <c r="A222" s="6" t="s">
        <v>731</v>
      </c>
      <c r="B222" s="7" t="s">
        <v>732</v>
      </c>
      <c r="C222" s="8" t="s">
        <v>129</v>
      </c>
      <c r="D222" s="8" t="s">
        <v>310</v>
      </c>
      <c r="E222" s="6" t="s">
        <v>311</v>
      </c>
      <c r="G222" s="6" t="s">
        <v>414</v>
      </c>
      <c r="H222" s="6" t="s">
        <v>691</v>
      </c>
      <c r="J222" s="6">
        <v>0</v>
      </c>
      <c r="K222" s="6">
        <v>0</v>
      </c>
      <c r="L222" s="6" t="s">
        <v>38</v>
      </c>
      <c r="M222" s="6" t="s">
        <v>11</v>
      </c>
      <c r="N222" s="6" t="s">
        <v>698</v>
      </c>
      <c r="O222" s="6" t="s">
        <v>450</v>
      </c>
      <c r="P222" s="6">
        <v>35</v>
      </c>
      <c r="Q222" s="28" t="s">
        <v>723</v>
      </c>
      <c r="R222" s="87">
        <v>0</v>
      </c>
      <c r="S222" s="87">
        <f>100 - R222 - U222 - T222</f>
        <v>0</v>
      </c>
      <c r="T222" s="87">
        <v>100</v>
      </c>
      <c r="U222" s="87">
        <v>0</v>
      </c>
      <c r="V222" s="87">
        <v>0</v>
      </c>
      <c r="W222" s="88">
        <f>IF($R222 &gt; 0, 100 - $V222, 0)</f>
        <v>0</v>
      </c>
      <c r="X222" s="71">
        <v>0</v>
      </c>
      <c r="Y222" s="71">
        <f>IF($S222 &gt; 0, 100 - $X222 - $Z222, 0)</f>
        <v>0</v>
      </c>
      <c r="Z222" s="72">
        <v>0</v>
      </c>
      <c r="AA222" s="71">
        <f>INDEX(Chemical_analyses!$A:$L, MATCH($P222, Chemical_analyses!$A:$A), 9)/$AI$1/(INDEX(Chemical_analyses!$A:$L, MATCH($P222, Chemical_analyses!$A:$A), 9)/$AI$1+INDEX(Chemical_analyses!$A:$L, MATCH($P222, Chemical_analyses!$A:$A), 11)/$AJ$1+INDEX(Chemical_analyses!$A:$L, MATCH($P222, Chemical_analyses!$A:$A), 12)/$AK$1)*100</f>
        <v>10.469431997904483</v>
      </c>
      <c r="AB222" s="71">
        <f>IF($T222 &gt; 0, 100 - $AA222 - $AC222, 0)</f>
        <v>44.920098937288792</v>
      </c>
      <c r="AC222" s="72">
        <f>INDEX(Chemical_analyses!$A:$L, MATCH($P222, Chemical_analyses!$A:$A), 12)/$AK$1/(INDEX(Chemical_analyses!$A:$L, MATCH($P222, Chemical_analyses!$A:$A), 9)/$AI$1+INDEX(Chemical_analyses!$A:$L, MATCH($P222, Chemical_analyses!$A:$A), 11)/$AJ$1+INDEX(Chemical_analyses!$A:$L, MATCH($P222, Chemical_analyses!$A:$A), 12)/$AK$1)*100</f>
        <v>44.610469064806729</v>
      </c>
      <c r="AD222" s="71">
        <v>0</v>
      </c>
      <c r="AE222" s="71">
        <f>IF($U222 &gt; 0, 100 - $AD222 - $AF222, 0)</f>
        <v>0</v>
      </c>
      <c r="AF222" s="72">
        <v>0</v>
      </c>
      <c r="AG222" s="6" t="s">
        <v>43</v>
      </c>
      <c r="AH222" s="10" t="str">
        <f>_xlfn.CONCAT("FeO: ", INDEX(Chemical_analyses!$A:$M, MATCH($P222, Chemical_analyses!$A:$A), 9), ", MgO: ", INDEX(Chemical_analyses!$A:$M, MATCH($P222, Chemical_analyses!$A:$A), 11), ", CaO: ", INDEX(Chemical_analyses!$A:$M, MATCH($P222, Chemical_analyses!$A:$A), 12), ", MnO: ", INDEX(Chemical_analyses!$A:$M, MATCH($P222, Chemical_analyses!$A:$A), 10), ", NaO2: ", INDEX(Chemical_analyses!$A:$M, MATCH($P222, Chemical_analyses!$A:$A), 13), ", Fe2O3: ", INDEX(Chemical_analyses!$A:$M, MATCH($P222, Chemical_analyses!$A:$A), 8), ", Al2O3: ", INDEX(Chemical_analyses!$A:$M, MATCH($P222, Chemical_analyses!$A:$A), 6))</f>
        <v>FeO: 6.29, MgO: 15.14, CaO: 20.92, MnO: 0.12, NaO2: 0.4, Fe2O3: 0, Al2O3: 6.4</v>
      </c>
      <c r="AI222" s="10"/>
      <c r="AJ222" s="10"/>
      <c r="AN222" s="86"/>
      <c r="AO222" s="86"/>
      <c r="AP222" s="86"/>
      <c r="AQ222" s="86"/>
      <c r="AR222" s="86"/>
      <c r="AS222" s="86"/>
      <c r="AT222" s="86"/>
      <c r="AU222" s="86"/>
    </row>
    <row r="223" spans="1:47" s="6" customFormat="1" ht="12">
      <c r="A223" s="6" t="s">
        <v>733</v>
      </c>
      <c r="B223" s="7" t="s">
        <v>734</v>
      </c>
      <c r="C223" s="8" t="s">
        <v>129</v>
      </c>
      <c r="D223" s="8" t="s">
        <v>310</v>
      </c>
      <c r="E223" s="6" t="s">
        <v>311</v>
      </c>
      <c r="G223" s="6" t="s">
        <v>414</v>
      </c>
      <c r="H223" s="6" t="s">
        <v>691</v>
      </c>
      <c r="J223" s="6">
        <v>0</v>
      </c>
      <c r="K223" s="6">
        <v>0</v>
      </c>
      <c r="L223" s="6" t="s">
        <v>38</v>
      </c>
      <c r="M223" s="6" t="s">
        <v>11</v>
      </c>
      <c r="N223" s="6" t="s">
        <v>698</v>
      </c>
      <c r="O223" s="6" t="s">
        <v>450</v>
      </c>
      <c r="P223" s="6">
        <v>35</v>
      </c>
      <c r="Q223" s="28" t="s">
        <v>723</v>
      </c>
      <c r="R223" s="87">
        <v>0</v>
      </c>
      <c r="S223" s="87">
        <f>100 - R223 - U223 - T223</f>
        <v>0</v>
      </c>
      <c r="T223" s="87">
        <v>100</v>
      </c>
      <c r="U223" s="87">
        <v>0</v>
      </c>
      <c r="V223" s="87">
        <v>0</v>
      </c>
      <c r="W223" s="88">
        <f>IF($R223 &gt; 0, 100 - $V223, 0)</f>
        <v>0</v>
      </c>
      <c r="X223" s="71">
        <v>0</v>
      </c>
      <c r="Y223" s="71">
        <f>IF($S223 &gt; 0, 100 - $X223 - $Z223, 0)</f>
        <v>0</v>
      </c>
      <c r="Z223" s="72">
        <v>0</v>
      </c>
      <c r="AA223" s="71">
        <f>INDEX(Chemical_analyses!$A:$L, MATCH($P223, Chemical_analyses!$A:$A), 9)/$AI$1/(INDEX(Chemical_analyses!$A:$L, MATCH($P223, Chemical_analyses!$A:$A), 9)/$AI$1+INDEX(Chemical_analyses!$A:$L, MATCH($P223, Chemical_analyses!$A:$A), 11)/$AJ$1+INDEX(Chemical_analyses!$A:$L, MATCH($P223, Chemical_analyses!$A:$A), 12)/$AK$1)*100</f>
        <v>10.469431997904483</v>
      </c>
      <c r="AB223" s="71">
        <f>IF($T223 &gt; 0, 100 - $AA223 - $AC223, 0)</f>
        <v>44.920098937288792</v>
      </c>
      <c r="AC223" s="72">
        <f>INDEX(Chemical_analyses!$A:$L, MATCH($P223, Chemical_analyses!$A:$A), 12)/$AK$1/(INDEX(Chemical_analyses!$A:$L, MATCH($P223, Chemical_analyses!$A:$A), 9)/$AI$1+INDEX(Chemical_analyses!$A:$L, MATCH($P223, Chemical_analyses!$A:$A), 11)/$AJ$1+INDEX(Chemical_analyses!$A:$L, MATCH($P223, Chemical_analyses!$A:$A), 12)/$AK$1)*100</f>
        <v>44.610469064806729</v>
      </c>
      <c r="AD223" s="71">
        <v>0</v>
      </c>
      <c r="AE223" s="71">
        <f>IF($U223 &gt; 0, 100 - $AD223 - $AF223, 0)</f>
        <v>0</v>
      </c>
      <c r="AF223" s="72">
        <v>0</v>
      </c>
      <c r="AG223" s="6" t="s">
        <v>43</v>
      </c>
      <c r="AH223" s="10" t="str">
        <f>_xlfn.CONCAT("FeO: ", INDEX(Chemical_analyses!$A:$M, MATCH($P223, Chemical_analyses!$A:$A), 9), ", MgO: ", INDEX(Chemical_analyses!$A:$M, MATCH($P223, Chemical_analyses!$A:$A), 11), ", CaO: ", INDEX(Chemical_analyses!$A:$M, MATCH($P223, Chemical_analyses!$A:$A), 12), ", MnO: ", INDEX(Chemical_analyses!$A:$M, MATCH($P223, Chemical_analyses!$A:$A), 10), ", NaO2: ", INDEX(Chemical_analyses!$A:$M, MATCH($P223, Chemical_analyses!$A:$A), 13), ", Fe2O3: ", INDEX(Chemical_analyses!$A:$M, MATCH($P223, Chemical_analyses!$A:$A), 8), ", Al2O3: ", INDEX(Chemical_analyses!$A:$M, MATCH($P223, Chemical_analyses!$A:$A), 6))</f>
        <v>FeO: 6.29, MgO: 15.14, CaO: 20.92, MnO: 0.12, NaO2: 0.4, Fe2O3: 0, Al2O3: 6.4</v>
      </c>
      <c r="AI223" s="10"/>
      <c r="AJ223" s="10"/>
      <c r="AN223" s="86"/>
      <c r="AO223" s="86"/>
      <c r="AP223" s="86"/>
      <c r="AQ223" s="86"/>
      <c r="AR223" s="86"/>
      <c r="AS223" s="86"/>
      <c r="AT223" s="86"/>
      <c r="AU223" s="86"/>
    </row>
    <row r="224" spans="1:47" s="6" customFormat="1" ht="12">
      <c r="A224" s="6" t="s">
        <v>735</v>
      </c>
      <c r="B224" s="7" t="s">
        <v>736</v>
      </c>
      <c r="C224" s="8" t="s">
        <v>737</v>
      </c>
      <c r="D224" s="8" t="s">
        <v>310</v>
      </c>
      <c r="E224" s="6" t="s">
        <v>311</v>
      </c>
      <c r="G224" s="6" t="s">
        <v>414</v>
      </c>
      <c r="H224" s="6" t="s">
        <v>738</v>
      </c>
      <c r="J224" s="6">
        <v>45</v>
      </c>
      <c r="K224" s="6">
        <v>90</v>
      </c>
      <c r="L224" s="6" t="s">
        <v>38</v>
      </c>
      <c r="M224" s="6" t="s">
        <v>11</v>
      </c>
      <c r="O224" s="6" t="s">
        <v>739</v>
      </c>
      <c r="P224" s="6">
        <v>380</v>
      </c>
      <c r="Q224" s="28" t="s">
        <v>740</v>
      </c>
      <c r="R224" s="87">
        <v>0</v>
      </c>
      <c r="S224" s="87">
        <f>100 - R224 - U224 - T224</f>
        <v>0</v>
      </c>
      <c r="T224" s="87">
        <v>100</v>
      </c>
      <c r="U224" s="87">
        <v>0</v>
      </c>
      <c r="V224" s="87">
        <v>0</v>
      </c>
      <c r="W224" s="88">
        <f>IF($R224 &gt; 0, 100 - $V224, 0)</f>
        <v>0</v>
      </c>
      <c r="X224" s="71">
        <v>0</v>
      </c>
      <c r="Y224" s="71">
        <f>IF($S224 &gt; 0, 100 - $X224 - $Z224, 0)</f>
        <v>0</v>
      </c>
      <c r="Z224" s="72">
        <v>0</v>
      </c>
      <c r="AA224" s="71">
        <f>INDEX(Chemical_analyses!$A:$L, MATCH($P224, Chemical_analyses!$A:$A), 9)/$AI$1/(INDEX(Chemical_analyses!$A:$L, MATCH($P224, Chemical_analyses!$A:$A), 9)/$AI$1+INDEX(Chemical_analyses!$A:$L, MATCH($P224, Chemical_analyses!$A:$A), 11)/$AJ$1+INDEX(Chemical_analyses!$A:$L, MATCH($P224, Chemical_analyses!$A:$A), 12)/$AK$1)*100</f>
        <v>9.8966961057379947</v>
      </c>
      <c r="AB224" s="71">
        <f>IF($T224 &gt; 0, 100 - $AA224 - $AC224, 0)</f>
        <v>41.05414215907183</v>
      </c>
      <c r="AC224" s="72">
        <f>INDEX(Chemical_analyses!$A:$L, MATCH($P224, Chemical_analyses!$A:$A), 12)/$AK$1/(INDEX(Chemical_analyses!$A:$L, MATCH($P224, Chemical_analyses!$A:$A), 9)/$AI$1+INDEX(Chemical_analyses!$A:$L, MATCH($P224, Chemical_analyses!$A:$A), 11)/$AJ$1+INDEX(Chemical_analyses!$A:$L, MATCH($P224, Chemical_analyses!$A:$A), 12)/$AK$1)*100</f>
        <v>49.049161735190182</v>
      </c>
      <c r="AD224" s="71">
        <v>0</v>
      </c>
      <c r="AE224" s="71">
        <f>IF($U224 &gt; 0, 100 - $AD224 - $AF224, 0)</f>
        <v>0</v>
      </c>
      <c r="AF224" s="72">
        <v>0</v>
      </c>
      <c r="AG224" s="6" t="s">
        <v>43</v>
      </c>
      <c r="AH224" s="10" t="str">
        <f>_xlfn.CONCAT("FeO: ", INDEX(Chemical_analyses!$A:$M, MATCH($P224, Chemical_analyses!$A:$A), 9), ", MgO: ", INDEX(Chemical_analyses!$A:$M, MATCH($P224, Chemical_analyses!$A:$A), 11), ", CaO: ", INDEX(Chemical_analyses!$A:$M, MATCH($P224, Chemical_analyses!$A:$A), 12), ", MnO: ", INDEX(Chemical_analyses!$A:$M, MATCH($P224, Chemical_analyses!$A:$A), 10), ", NaO2: ", INDEX(Chemical_analyses!$A:$M, MATCH($P224, Chemical_analyses!$A:$A), 13), ", Fe2O3: ", INDEX(Chemical_analyses!$A:$M, MATCH($P224, Chemical_analyses!$A:$A), 8), ", Al2O3: ", INDEX(Chemical_analyses!$A:$M, MATCH($P224, Chemical_analyses!$A:$A), 6))</f>
        <v>FeO: 5.93, MgO: 13.8, CaO: 22.94, MnO: 0.11, NaO2: 0.57, Fe2O3: 0.77, Al2O3: 4.12</v>
      </c>
      <c r="AI224" s="10"/>
      <c r="AJ224" s="10"/>
      <c r="AN224" s="86"/>
      <c r="AO224" s="86"/>
      <c r="AP224" s="86"/>
      <c r="AQ224" s="86"/>
      <c r="AR224" s="86"/>
      <c r="AS224" s="86"/>
      <c r="AT224" s="86"/>
      <c r="AU224" s="86"/>
    </row>
    <row r="225" spans="1:47" s="6" customFormat="1" ht="12">
      <c r="A225" s="6" t="s">
        <v>741</v>
      </c>
      <c r="B225" s="7" t="s">
        <v>742</v>
      </c>
      <c r="C225" s="8" t="s">
        <v>737</v>
      </c>
      <c r="D225" s="8" t="s">
        <v>310</v>
      </c>
      <c r="E225" s="6" t="s">
        <v>311</v>
      </c>
      <c r="G225" s="6" t="s">
        <v>414</v>
      </c>
      <c r="H225" s="6" t="s">
        <v>691</v>
      </c>
      <c r="J225" s="6">
        <v>45</v>
      </c>
      <c r="K225" s="6">
        <v>90</v>
      </c>
      <c r="L225" s="6" t="s">
        <v>38</v>
      </c>
      <c r="M225" s="6" t="s">
        <v>11</v>
      </c>
      <c r="N225" s="6" t="s">
        <v>743</v>
      </c>
      <c r="O225" s="6" t="s">
        <v>739</v>
      </c>
      <c r="P225" s="6">
        <v>387</v>
      </c>
      <c r="Q225" s="28" t="s">
        <v>744</v>
      </c>
      <c r="R225" s="87">
        <v>0</v>
      </c>
      <c r="S225" s="87">
        <f>100 - R225 - U225 - T225</f>
        <v>0</v>
      </c>
      <c r="T225" s="87">
        <v>100</v>
      </c>
      <c r="U225" s="88">
        <v>0</v>
      </c>
      <c r="V225" s="87">
        <v>0</v>
      </c>
      <c r="W225" s="88">
        <f>IF($R225 &gt; 0, 100 - $V225, 0)</f>
        <v>0</v>
      </c>
      <c r="X225" s="71">
        <v>0</v>
      </c>
      <c r="Y225" s="71">
        <f>IF($S225 &gt; 0, 100 - $X225 - $Z225, 0)</f>
        <v>0</v>
      </c>
      <c r="Z225" s="72">
        <v>0</v>
      </c>
      <c r="AA225" s="71">
        <f>INDEX(Chemical_analyses!$A:$L, MATCH($P225, Chemical_analyses!$A:$A), 9)/$AI$1/(INDEX(Chemical_analyses!$A:$L, MATCH($P225, Chemical_analyses!$A:$A), 9)/$AI$1+INDEX(Chemical_analyses!$A:$L, MATCH($P225, Chemical_analyses!$A:$A), 11)/$AJ$1+INDEX(Chemical_analyses!$A:$L, MATCH($P225, Chemical_analyses!$A:$A), 12)/$AK$1)*100</f>
        <v>8.1060281836634598</v>
      </c>
      <c r="AB225" s="71">
        <f>IF($T225 &gt; 0, 100 - $AA225 - $AC225, 0)</f>
        <v>47.523200193260919</v>
      </c>
      <c r="AC225" s="71">
        <f>INDEX(Chemical_analyses!$A:$L, MATCH($P225, Chemical_analyses!$A:$A), 12)/$AK$1/(INDEX(Chemical_analyses!$A:$L, MATCH($P225, Chemical_analyses!$A:$A), 9)/$AI$1+INDEX(Chemical_analyses!$A:$L, MATCH($P225, Chemical_analyses!$A:$A), 11)/$AJ$1+INDEX(Chemical_analyses!$A:$L, MATCH($P225, Chemical_analyses!$A:$A), 12)/$AK$1)*100</f>
        <v>44.370771623075626</v>
      </c>
      <c r="AD225" s="71">
        <v>0</v>
      </c>
      <c r="AE225" s="71">
        <f>IF($U225 &gt; 0, 100 - $AD225 - $AF225, 0)</f>
        <v>0</v>
      </c>
      <c r="AF225" s="72">
        <v>0</v>
      </c>
      <c r="AG225" s="6" t="s">
        <v>43</v>
      </c>
      <c r="AH225" s="10" t="str">
        <f>_xlfn.CONCAT("FeO: ", INDEX(Chemical_analyses!$A:$M, MATCH($P225, Chemical_analyses!$A:$A), 9), ", MgO: ", INDEX(Chemical_analyses!$A:$M, MATCH($P225, Chemical_analyses!$A:$A), 11), ", CaO: ", INDEX(Chemical_analyses!$A:$M, MATCH($P225, Chemical_analyses!$A:$A), 12), ", MnO: ", INDEX(Chemical_analyses!$A:$M, MATCH($P225, Chemical_analyses!$A:$A), 10), ", NaO2: ", INDEX(Chemical_analyses!$A:$M, MATCH($P225, Chemical_analyses!$A:$A), 13), ", Fe2O3: ", INDEX(Chemical_analyses!$A:$M, MATCH($P225, Chemical_analyses!$A:$A), 8), ", Al2O3: ", INDEX(Chemical_analyses!$A:$M, MATCH($P225, Chemical_analyses!$A:$A), 6))</f>
        <v>FeO: 4.88, MgO: 16.05, CaO: 20.85, MnO: 0.13, NaO2: 0.32, Fe2O3: 1.25, Al2O3: 4.09</v>
      </c>
      <c r="AI225" s="10"/>
      <c r="AJ225" s="10"/>
      <c r="AN225" s="86"/>
      <c r="AO225" s="86"/>
      <c r="AP225" s="86"/>
      <c r="AQ225" s="86"/>
      <c r="AR225" s="86"/>
      <c r="AS225" s="86"/>
      <c r="AT225" s="86"/>
      <c r="AU225" s="86"/>
    </row>
    <row r="226" spans="1:47" s="6" customFormat="1" ht="12">
      <c r="A226" s="6" t="s">
        <v>745</v>
      </c>
      <c r="B226" s="7" t="s">
        <v>746</v>
      </c>
      <c r="C226" s="8" t="s">
        <v>737</v>
      </c>
      <c r="D226" s="8" t="s">
        <v>310</v>
      </c>
      <c r="E226" s="6" t="s">
        <v>311</v>
      </c>
      <c r="G226" s="6" t="s">
        <v>414</v>
      </c>
      <c r="H226" s="6" t="s">
        <v>747</v>
      </c>
      <c r="J226" s="6">
        <v>0</v>
      </c>
      <c r="K226" s="6">
        <v>45</v>
      </c>
      <c r="L226" s="6" t="s">
        <v>38</v>
      </c>
      <c r="M226" s="6" t="s">
        <v>11</v>
      </c>
      <c r="N226" s="6" t="s">
        <v>748</v>
      </c>
      <c r="O226" s="6" t="s">
        <v>739</v>
      </c>
      <c r="P226" s="6">
        <v>12</v>
      </c>
      <c r="Q226" s="28" t="s">
        <v>749</v>
      </c>
      <c r="R226" s="87">
        <v>0</v>
      </c>
      <c r="S226" s="87">
        <f>100 - R226 - U226 - T226</f>
        <v>0</v>
      </c>
      <c r="T226" s="87">
        <v>100</v>
      </c>
      <c r="U226" s="88">
        <v>0</v>
      </c>
      <c r="V226" s="87">
        <v>0</v>
      </c>
      <c r="W226" s="88">
        <f>IF($R226 &gt; 0, 100 - $V226, 0)</f>
        <v>0</v>
      </c>
      <c r="X226" s="71">
        <v>0</v>
      </c>
      <c r="Y226" s="71">
        <f>IF($S226 &gt; 0, 100 - $X226 - $Z226, 0)</f>
        <v>0</v>
      </c>
      <c r="Z226" s="72">
        <v>0</v>
      </c>
      <c r="AA226" s="71">
        <f>INDEX(Chemical_analyses!$A:$L, MATCH($P226, Chemical_analyses!$A:$A), 9)/$AI$1/(INDEX(Chemical_analyses!$A:$L, MATCH($P226, Chemical_analyses!$A:$A), 9)/$AI$1+INDEX(Chemical_analyses!$A:$L, MATCH($P226, Chemical_analyses!$A:$A), 11)/$AJ$1+INDEX(Chemical_analyses!$A:$L, MATCH($P226, Chemical_analyses!$A:$A), 12)/$AK$1)*100</f>
        <v>26.952875718283213</v>
      </c>
      <c r="AB226" s="71">
        <f>IF($T226 &gt; 0, 100 - $AA226 - $AC226, 0)</f>
        <v>64.727182131467814</v>
      </c>
      <c r="AC226" s="72">
        <f>INDEX(Chemical_analyses!$A:$L, MATCH($P226, Chemical_analyses!$A:$A), 12)/$AK$1/(INDEX(Chemical_analyses!$A:$L, MATCH($P226, Chemical_analyses!$A:$A), 9)/$AI$1+INDEX(Chemical_analyses!$A:$L, MATCH($P226, Chemical_analyses!$A:$A), 11)/$AJ$1+INDEX(Chemical_analyses!$A:$L, MATCH($P226, Chemical_analyses!$A:$A), 12)/$AK$1)*100</f>
        <v>8.3199421502489717</v>
      </c>
      <c r="AD226" s="71">
        <v>0</v>
      </c>
      <c r="AE226" s="71">
        <f>IF($U226 &gt; 0, 100 - $AD226 - $AF226, 0)</f>
        <v>0</v>
      </c>
      <c r="AF226" s="72">
        <v>0</v>
      </c>
      <c r="AG226" s="10" t="s">
        <v>43</v>
      </c>
      <c r="AH226" s="10" t="str">
        <f>_xlfn.CONCAT("FeO: ", INDEX(Chemical_analyses!$A:$M, MATCH($P226, Chemical_analyses!$A:$A), 9), ", MgO: ", INDEX(Chemical_analyses!$A:$M, MATCH($P226, Chemical_analyses!$A:$A), 11), ", CaO: ", INDEX(Chemical_analyses!$A:$M, MATCH($P226, Chemical_analyses!$A:$A), 12), ", MnO: ", INDEX(Chemical_analyses!$A:$M, MATCH($P226, Chemical_analyses!$A:$A), 10), ", NaO2: ", INDEX(Chemical_analyses!$A:$M, MATCH($P226, Chemical_analyses!$A:$A), 13), ", Fe2O3: ", INDEX(Chemical_analyses!$A:$M, MATCH($P226, Chemical_analyses!$A:$A), 8), ", Al2O3: ", INDEX(Chemical_analyses!$A:$M, MATCH($P226, Chemical_analyses!$A:$A), 6))</f>
        <v>FeO: 16.56, MgO: 22.31, CaO: 3.99, MnO: 0.26, NaO2: 0.06, Fe2O3: 0.58, Al2O3: 6.21</v>
      </c>
      <c r="AN226" s="86"/>
      <c r="AO226" s="86"/>
      <c r="AP226" s="86"/>
      <c r="AQ226" s="86"/>
      <c r="AR226" s="86"/>
      <c r="AS226" s="86"/>
      <c r="AT226" s="86"/>
      <c r="AU226" s="86"/>
    </row>
    <row r="227" spans="1:47" s="6" customFormat="1" ht="12">
      <c r="A227" s="6" t="s">
        <v>750</v>
      </c>
      <c r="B227" s="7" t="s">
        <v>751</v>
      </c>
      <c r="C227" s="8" t="s">
        <v>737</v>
      </c>
      <c r="D227" s="8" t="s">
        <v>310</v>
      </c>
      <c r="E227" s="6" t="s">
        <v>311</v>
      </c>
      <c r="G227" s="6" t="s">
        <v>414</v>
      </c>
      <c r="H227" s="6" t="s">
        <v>752</v>
      </c>
      <c r="J227" s="6">
        <v>0</v>
      </c>
      <c r="K227" s="6">
        <v>45</v>
      </c>
      <c r="L227" s="6" t="s">
        <v>38</v>
      </c>
      <c r="M227" s="6" t="s">
        <v>11</v>
      </c>
      <c r="N227" s="6" t="s">
        <v>753</v>
      </c>
      <c r="O227" s="6" t="s">
        <v>739</v>
      </c>
      <c r="P227" s="6">
        <v>14</v>
      </c>
      <c r="Q227" s="28" t="s">
        <v>754</v>
      </c>
      <c r="R227" s="87">
        <v>0</v>
      </c>
      <c r="S227" s="87">
        <f>100 - R227 - U227 - T227</f>
        <v>0</v>
      </c>
      <c r="T227" s="87">
        <v>100</v>
      </c>
      <c r="U227" s="88">
        <v>0</v>
      </c>
      <c r="V227" s="87">
        <v>0</v>
      </c>
      <c r="W227" s="88">
        <f>IF($R227 &gt; 0, 100 - $V227, 0)</f>
        <v>0</v>
      </c>
      <c r="X227" s="71">
        <v>0</v>
      </c>
      <c r="Y227" s="71">
        <f>IF($S227 &gt; 0, 100 - $X227 - $Z227, 0)</f>
        <v>0</v>
      </c>
      <c r="Z227" s="72">
        <v>0</v>
      </c>
      <c r="AA227" s="71">
        <f>INDEX(Chemical_analyses!$A:$L, MATCH($P227, Chemical_analyses!$A:$A), 9)/$AI$1/(INDEX(Chemical_analyses!$A:$L, MATCH($P227, Chemical_analyses!$A:$A), 9)/$AI$1+INDEX(Chemical_analyses!$A:$L, MATCH($P227, Chemical_analyses!$A:$A), 11)/$AJ$1+INDEX(Chemical_analyses!$A:$L, MATCH($P227, Chemical_analyses!$A:$A), 12)/$AK$1)*100</f>
        <v>5.6671200889458424</v>
      </c>
      <c r="AB227" s="71">
        <f>IF($T227 &gt; 0, 100 - $AA227 - $AC227, 0)</f>
        <v>51.038107403007118</v>
      </c>
      <c r="AC227" s="72">
        <f>INDEX(Chemical_analyses!$A:$L, MATCH($P227, Chemical_analyses!$A:$A), 12)/$AK$1/(INDEX(Chemical_analyses!$A:$L, MATCH($P227, Chemical_analyses!$A:$A), 9)/$AI$1+INDEX(Chemical_analyses!$A:$L, MATCH($P227, Chemical_analyses!$A:$A), 11)/$AJ$1+INDEX(Chemical_analyses!$A:$L, MATCH($P227, Chemical_analyses!$A:$A), 12)/$AK$1)*100</f>
        <v>43.294772508047046</v>
      </c>
      <c r="AD227" s="71">
        <v>0</v>
      </c>
      <c r="AE227" s="71">
        <f>IF($U227 &gt; 0, 100 - $AD227 - $AF227, 0)</f>
        <v>0</v>
      </c>
      <c r="AF227" s="72">
        <v>0</v>
      </c>
      <c r="AG227" s="6" t="s">
        <v>43</v>
      </c>
      <c r="AH227" s="10" t="str">
        <f>_xlfn.CONCAT("FeO: ", INDEX(Chemical_analyses!$A:$M, MATCH($P227, Chemical_analyses!$A:$A), 9), ", MgO: ", INDEX(Chemical_analyses!$A:$M, MATCH($P227, Chemical_analyses!$A:$A), 11), ", CaO: ", INDEX(Chemical_analyses!$A:$M, MATCH($P227, Chemical_analyses!$A:$A), 12), ", MnO: ", INDEX(Chemical_analyses!$A:$M, MATCH($P227, Chemical_analyses!$A:$A), 10), ", NaO2: ", INDEX(Chemical_analyses!$A:$M, MATCH($P227, Chemical_analyses!$A:$A), 13), ", Fe2O3: ", INDEX(Chemical_analyses!$A:$M, MATCH($P227, Chemical_analyses!$A:$A), 8), ", Al2O3: ", INDEX(Chemical_analyses!$A:$M, MATCH($P227, Chemical_analyses!$A:$A), 6))</f>
        <v>FeO: 3.25, MgO: 16.42, CaO: 19.38, MnO: 0.1, NaO2: 1.31, Fe2O3: 0.01, Al2O3: 6.34</v>
      </c>
      <c r="AI227" s="10"/>
      <c r="AJ227" s="10"/>
      <c r="AN227" s="86"/>
      <c r="AO227" s="86"/>
      <c r="AP227" s="86"/>
      <c r="AQ227" s="86"/>
      <c r="AR227" s="86"/>
      <c r="AS227" s="86"/>
      <c r="AT227" s="86"/>
      <c r="AU227" s="86"/>
    </row>
    <row r="228" spans="1:47" s="6" customFormat="1" ht="12">
      <c r="A228" s="6" t="s">
        <v>755</v>
      </c>
      <c r="B228" s="7" t="s">
        <v>756</v>
      </c>
      <c r="C228" s="8" t="s">
        <v>737</v>
      </c>
      <c r="D228" s="8" t="s">
        <v>310</v>
      </c>
      <c r="E228" s="6" t="s">
        <v>311</v>
      </c>
      <c r="G228" s="6" t="s">
        <v>414</v>
      </c>
      <c r="H228" s="6" t="s">
        <v>647</v>
      </c>
      <c r="J228" s="6">
        <v>0</v>
      </c>
      <c r="K228" s="6">
        <v>45</v>
      </c>
      <c r="L228" s="6" t="s">
        <v>38</v>
      </c>
      <c r="M228" s="6" t="s">
        <v>11</v>
      </c>
      <c r="N228" s="6" t="s">
        <v>757</v>
      </c>
      <c r="O228" s="6" t="s">
        <v>739</v>
      </c>
      <c r="P228" s="6">
        <v>15</v>
      </c>
      <c r="Q228" s="28" t="s">
        <v>758</v>
      </c>
      <c r="R228" s="87">
        <v>0</v>
      </c>
      <c r="S228" s="87">
        <f>100 - R228 - U228 - T228</f>
        <v>0</v>
      </c>
      <c r="T228" s="87">
        <v>100</v>
      </c>
      <c r="U228" s="88">
        <v>0</v>
      </c>
      <c r="V228" s="87">
        <v>0</v>
      </c>
      <c r="W228" s="88">
        <f>IF($R228 &gt; 0, 100 - $V228, 0)</f>
        <v>0</v>
      </c>
      <c r="X228" s="71">
        <v>0</v>
      </c>
      <c r="Y228" s="71">
        <f>IF($S228 &gt; 0, 100 - $X228 - $Z228, 0)</f>
        <v>0</v>
      </c>
      <c r="Z228" s="72">
        <v>0</v>
      </c>
      <c r="AA228" s="71">
        <f>INDEX(Chemical_analyses!$A:$L, MATCH($P228, Chemical_analyses!$A:$A), 9)/$AI$1/(INDEX(Chemical_analyses!$A:$L, MATCH($P228, Chemical_analyses!$A:$A), 9)/$AI$1+INDEX(Chemical_analyses!$A:$L, MATCH($P228, Chemical_analyses!$A:$A), 11)/$AJ$1+INDEX(Chemical_analyses!$A:$L, MATCH($P228, Chemical_analyses!$A:$A), 12)/$AK$1)*100</f>
        <v>18.654639233045433</v>
      </c>
      <c r="AB228" s="71">
        <f>IF($T228 &gt; 0, 100 - $AA228 - $AC228, 0)</f>
        <v>40.791752581048506</v>
      </c>
      <c r="AC228" s="72">
        <f>INDEX(Chemical_analyses!$A:$L, MATCH($P228, Chemical_analyses!$A:$A), 12)/$AK$1/(INDEX(Chemical_analyses!$A:$L, MATCH($P228, Chemical_analyses!$A:$A), 9)/$AI$1+INDEX(Chemical_analyses!$A:$L, MATCH($P228, Chemical_analyses!$A:$A), 11)/$AJ$1+INDEX(Chemical_analyses!$A:$L, MATCH($P228, Chemical_analyses!$A:$A), 12)/$AK$1)*100</f>
        <v>40.553608185906064</v>
      </c>
      <c r="AD228" s="71">
        <v>0</v>
      </c>
      <c r="AE228" s="71">
        <f>IF($U228 &gt; 0, 100 - $AD228 - $AF228, 0)</f>
        <v>0</v>
      </c>
      <c r="AF228" s="72">
        <v>0</v>
      </c>
      <c r="AG228" s="6" t="s">
        <v>43</v>
      </c>
      <c r="AH228" s="10" t="str">
        <f>_xlfn.CONCAT("FeO: ", INDEX(Chemical_analyses!$A:$M, MATCH($P228, Chemical_analyses!$A:$A), 9), ", MgO: ", INDEX(Chemical_analyses!$A:$M, MATCH($P228, Chemical_analyses!$A:$A), 11), ", CaO: ", INDEX(Chemical_analyses!$A:$M, MATCH($P228, Chemical_analyses!$A:$A), 12), ", MnO: ", INDEX(Chemical_analyses!$A:$M, MATCH($P228, Chemical_analyses!$A:$A), 10), ", NaO2: ", INDEX(Chemical_analyses!$A:$M, MATCH($P228, Chemical_analyses!$A:$A), 13), ", Fe2O3: ", INDEX(Chemical_analyses!$A:$M, MATCH($P228, Chemical_analyses!$A:$A), 8), ", Al2O3: ", INDEX(Chemical_analyses!$A:$M, MATCH($P228, Chemical_analyses!$A:$A), 6))</f>
        <v>FeO: 11.38, MgO: 13.96, CaO: 19.31, MnO: 0.29, NaO2: 0.22, Fe2O3: 1.32, Al2O3: 0.98</v>
      </c>
      <c r="AI228" s="10"/>
      <c r="AJ228" s="10"/>
      <c r="AN228" s="86"/>
      <c r="AO228" s="86"/>
      <c r="AP228" s="86"/>
      <c r="AQ228" s="86"/>
      <c r="AR228" s="86"/>
      <c r="AS228" s="86"/>
      <c r="AT228" s="86"/>
      <c r="AU228" s="86"/>
    </row>
    <row r="229" spans="1:47" s="6" customFormat="1" ht="12">
      <c r="A229" s="6" t="s">
        <v>759</v>
      </c>
      <c r="B229" s="7" t="s">
        <v>760</v>
      </c>
      <c r="C229" s="8" t="s">
        <v>737</v>
      </c>
      <c r="D229" s="8" t="s">
        <v>310</v>
      </c>
      <c r="E229" s="6" t="s">
        <v>311</v>
      </c>
      <c r="G229" s="6" t="s">
        <v>414</v>
      </c>
      <c r="H229" s="6" t="s">
        <v>647</v>
      </c>
      <c r="J229" s="6">
        <v>45</v>
      </c>
      <c r="K229" s="6">
        <v>90</v>
      </c>
      <c r="L229" s="6" t="s">
        <v>38</v>
      </c>
      <c r="M229" s="6" t="s">
        <v>11</v>
      </c>
      <c r="N229" s="6" t="s">
        <v>761</v>
      </c>
      <c r="O229" s="6" t="s">
        <v>739</v>
      </c>
      <c r="P229" s="6">
        <v>406</v>
      </c>
      <c r="Q229" s="28" t="s">
        <v>762</v>
      </c>
      <c r="R229" s="87">
        <v>0</v>
      </c>
      <c r="S229" s="87">
        <f>100 - R229 - U229 - T229</f>
        <v>0</v>
      </c>
      <c r="T229" s="87">
        <v>100</v>
      </c>
      <c r="U229" s="88">
        <v>0</v>
      </c>
      <c r="V229" s="87">
        <v>0</v>
      </c>
      <c r="W229" s="88">
        <f>IF($R229 &gt; 0, 100 - $V229, 0)</f>
        <v>0</v>
      </c>
      <c r="X229" s="71">
        <v>0</v>
      </c>
      <c r="Y229" s="71">
        <f>IF($S229 &gt; 0, 100 - $X229 - $Z229, 0)</f>
        <v>0</v>
      </c>
      <c r="Z229" s="72">
        <v>0</v>
      </c>
      <c r="AA229" s="71">
        <f>INDEX(Chemical_analyses!$A:$L, MATCH($P229, Chemical_analyses!$A:$A), 9)/$AI$1/(INDEX(Chemical_analyses!$A:$L, MATCH($P229, Chemical_analyses!$A:$A), 9)/$AI$1+INDEX(Chemical_analyses!$A:$L, MATCH($P229, Chemical_analyses!$A:$A), 11)/$AJ$1+INDEX(Chemical_analyses!$A:$L, MATCH($P229, Chemical_analyses!$A:$A), 12)/$AK$1)*100</f>
        <v>18.660247523903216</v>
      </c>
      <c r="AB229" s="71">
        <f>IF($T229 &gt; 0, 100 - $AA229 - $AC229, 0)</f>
        <v>42.443894939821234</v>
      </c>
      <c r="AC229" s="72">
        <f>INDEX(Chemical_analyses!$A:$L, MATCH($P229, Chemical_analyses!$A:$A), 12)/$AK$1/(INDEX(Chemical_analyses!$A:$L, MATCH($P229, Chemical_analyses!$A:$A), 9)/$AI$1+INDEX(Chemical_analyses!$A:$L, MATCH($P229, Chemical_analyses!$A:$A), 11)/$AJ$1+INDEX(Chemical_analyses!$A:$L, MATCH($P229, Chemical_analyses!$A:$A), 12)/$AK$1)*100</f>
        <v>38.895857536275543</v>
      </c>
      <c r="AD229" s="71">
        <v>0</v>
      </c>
      <c r="AE229" s="71">
        <f>IF($U229 &gt; 0, 100 - $AD229 - $AF229, 0)</f>
        <v>0</v>
      </c>
      <c r="AF229" s="72">
        <v>0</v>
      </c>
      <c r="AG229" s="10" t="s">
        <v>43</v>
      </c>
      <c r="AH229" s="10" t="str">
        <f>_xlfn.CONCAT("FeO: ", INDEX(Chemical_analyses!$A:$M, MATCH($P229, Chemical_analyses!$A:$A), 9), ", MgO: ", INDEX(Chemical_analyses!$A:$M, MATCH($P229, Chemical_analyses!$A:$A), 11), ", CaO: ", INDEX(Chemical_analyses!$A:$M, MATCH($P229, Chemical_analyses!$A:$A), 12), ", MnO: ", INDEX(Chemical_analyses!$A:$M, MATCH($P229, Chemical_analyses!$A:$A), 10), ", NaO2: ", INDEX(Chemical_analyses!$A:$M, MATCH($P229, Chemical_analyses!$A:$A), 13), ", Fe2O3: ", INDEX(Chemical_analyses!$A:$M, MATCH($P229, Chemical_analyses!$A:$A), 8), ", Al2O3: ", INDEX(Chemical_analyses!$A:$M, MATCH($P229, Chemical_analyses!$A:$A), 6))</f>
        <v>FeO: 11.34, MgO: 14.47, CaO: 18.45, MnO: 0.28, NaO2: 0.23, Fe2O3: 0.57, Al2O3: 1.91</v>
      </c>
      <c r="AJ229" s="10"/>
      <c r="AN229" s="86"/>
      <c r="AO229" s="86"/>
      <c r="AP229" s="86"/>
      <c r="AQ229" s="86"/>
      <c r="AR229" s="86"/>
      <c r="AS229" s="86"/>
      <c r="AT229" s="86"/>
      <c r="AU229" s="86"/>
    </row>
    <row r="230" spans="1:47" s="6" customFormat="1" ht="12">
      <c r="A230" s="6" t="s">
        <v>763</v>
      </c>
      <c r="B230" s="7" t="s">
        <v>764</v>
      </c>
      <c r="C230" s="8" t="s">
        <v>737</v>
      </c>
      <c r="D230" s="8" t="s">
        <v>310</v>
      </c>
      <c r="E230" s="6" t="s">
        <v>311</v>
      </c>
      <c r="G230" s="6" t="s">
        <v>414</v>
      </c>
      <c r="H230" s="6" t="s">
        <v>647</v>
      </c>
      <c r="J230" s="6">
        <v>0</v>
      </c>
      <c r="K230" s="6">
        <v>45</v>
      </c>
      <c r="L230" s="6" t="s">
        <v>38</v>
      </c>
      <c r="M230" s="6" t="s">
        <v>11</v>
      </c>
      <c r="N230" s="6" t="s">
        <v>761</v>
      </c>
      <c r="O230" s="6" t="s">
        <v>739</v>
      </c>
      <c r="P230" s="6">
        <v>16</v>
      </c>
      <c r="Q230" s="28" t="s">
        <v>765</v>
      </c>
      <c r="R230" s="87">
        <v>0</v>
      </c>
      <c r="S230" s="87">
        <f>100 - R230 - U230 - T230</f>
        <v>0</v>
      </c>
      <c r="T230" s="87">
        <v>100</v>
      </c>
      <c r="U230" s="87">
        <v>0</v>
      </c>
      <c r="V230" s="87">
        <v>0</v>
      </c>
      <c r="W230" s="88">
        <f>IF($R230 &gt; 0, 100 - $V230, 0)</f>
        <v>0</v>
      </c>
      <c r="X230" s="71">
        <v>0</v>
      </c>
      <c r="Y230" s="71">
        <f>IF($S230 &gt; 0, 100 - $X230 - $Z230, 0)</f>
        <v>0</v>
      </c>
      <c r="Z230" s="72">
        <v>0</v>
      </c>
      <c r="AA230" s="71">
        <f>INDEX(Chemical_analyses!$A:$L, MATCH($P230, Chemical_analyses!$A:$A), 9)/$AI$1/(INDEX(Chemical_analyses!$A:$L, MATCH($P230, Chemical_analyses!$A:$A), 9)/$AI$1+INDEX(Chemical_analyses!$A:$L, MATCH($P230, Chemical_analyses!$A:$A), 11)/$AJ$1+INDEX(Chemical_analyses!$A:$L, MATCH($P230, Chemical_analyses!$A:$A), 12)/$AK$1)*100</f>
        <v>16.840279153383996</v>
      </c>
      <c r="AB230" s="71">
        <f>IF($T230 &gt; 0, 100 - $AA230 - $AC230, 0)</f>
        <v>46.032474343534417</v>
      </c>
      <c r="AC230" s="72">
        <f>INDEX(Chemical_analyses!$A:$L, MATCH($P230, Chemical_analyses!$A:$A), 12)/$AK$1/(INDEX(Chemical_analyses!$A:$L, MATCH($P230, Chemical_analyses!$A:$A), 9)/$AI$1+INDEX(Chemical_analyses!$A:$L, MATCH($P230, Chemical_analyses!$A:$A), 11)/$AJ$1+INDEX(Chemical_analyses!$A:$L, MATCH($P230, Chemical_analyses!$A:$A), 12)/$AK$1)*100</f>
        <v>37.127246503081594</v>
      </c>
      <c r="AD230" s="71">
        <v>0</v>
      </c>
      <c r="AE230" s="71">
        <f>IF($U230 &gt; 0, 100 - $AD230 - $AF230, 0)</f>
        <v>0</v>
      </c>
      <c r="AF230" s="72">
        <v>0</v>
      </c>
      <c r="AG230" s="10" t="s">
        <v>43</v>
      </c>
      <c r="AH230" s="10" t="str">
        <f>_xlfn.CONCAT("FeO: ", INDEX(Chemical_analyses!$A:$M, MATCH($P230, Chemical_analyses!$A:$A), 9), ", MgO: ", INDEX(Chemical_analyses!$A:$M, MATCH($P230, Chemical_analyses!$A:$A), 11), ", CaO: ", INDEX(Chemical_analyses!$A:$M, MATCH($P230, Chemical_analyses!$A:$A), 12), ", MnO: ", INDEX(Chemical_analyses!$A:$M, MATCH($P230, Chemical_analyses!$A:$A), 10), ", NaO2: ", INDEX(Chemical_analyses!$A:$M, MATCH($P230, Chemical_analyses!$A:$A), 13), ", Fe2O3: ", INDEX(Chemical_analyses!$A:$M, MATCH($P230, Chemical_analyses!$A:$A), 8), ", Al2O3: ", INDEX(Chemical_analyses!$A:$M, MATCH($P230, Chemical_analyses!$A:$A), 6))</f>
        <v>FeO: 10.46, MgO: 16.04, CaO: 18, MnO: 0.24, NaO2: 0.19, Fe2O3: 0.22, Al2O3: 1.96</v>
      </c>
      <c r="AJ230" s="10"/>
      <c r="AN230" s="86"/>
      <c r="AO230" s="86"/>
      <c r="AP230" s="86"/>
      <c r="AQ230" s="86"/>
      <c r="AR230" s="86"/>
      <c r="AS230" s="86"/>
      <c r="AT230" s="86"/>
      <c r="AU230" s="86"/>
    </row>
    <row r="231" spans="1:47" s="6" customFormat="1" ht="12">
      <c r="A231" s="6" t="s">
        <v>766</v>
      </c>
      <c r="B231" s="7" t="s">
        <v>767</v>
      </c>
      <c r="C231" s="8" t="s">
        <v>737</v>
      </c>
      <c r="D231" s="8" t="s">
        <v>310</v>
      </c>
      <c r="E231" s="6" t="s">
        <v>311</v>
      </c>
      <c r="G231" s="6" t="s">
        <v>703</v>
      </c>
      <c r="H231" s="6" t="s">
        <v>691</v>
      </c>
      <c r="J231" s="6">
        <v>0</v>
      </c>
      <c r="K231" s="6">
        <v>45</v>
      </c>
      <c r="L231" s="6" t="s">
        <v>38</v>
      </c>
      <c r="M231" s="6" t="s">
        <v>11</v>
      </c>
      <c r="N231" s="6" t="s">
        <v>757</v>
      </c>
      <c r="O231" s="6" t="s">
        <v>739</v>
      </c>
      <c r="P231" s="6">
        <v>18</v>
      </c>
      <c r="Q231" s="28" t="s">
        <v>768</v>
      </c>
      <c r="R231" s="87">
        <v>0</v>
      </c>
      <c r="S231" s="87">
        <f>100 - R231 - U231 - T231</f>
        <v>0</v>
      </c>
      <c r="T231" s="87">
        <v>100</v>
      </c>
      <c r="U231" s="87">
        <v>0</v>
      </c>
      <c r="V231" s="87">
        <v>0</v>
      </c>
      <c r="W231" s="88">
        <f>IF($R231 &gt; 0, 100 - $V231, 0)</f>
        <v>0</v>
      </c>
      <c r="X231" s="71">
        <v>0</v>
      </c>
      <c r="Y231" s="71">
        <f>IF($S231 &gt; 0, 100 - $X231 - $Z231, 0)</f>
        <v>0</v>
      </c>
      <c r="Z231" s="72">
        <v>0</v>
      </c>
      <c r="AA231" s="71">
        <f>INDEX(Chemical_analyses!$A:$L, MATCH($P231, Chemical_analyses!$A:$A), 9)/$AI$1/(INDEX(Chemical_analyses!$A:$L, MATCH($P231, Chemical_analyses!$A:$A), 9)/$AI$1+INDEX(Chemical_analyses!$A:$L, MATCH($P231, Chemical_analyses!$A:$A), 11)/$AJ$1+INDEX(Chemical_analyses!$A:$L, MATCH($P231, Chemical_analyses!$A:$A), 12)/$AK$1)*100</f>
        <v>8.8927648690450418</v>
      </c>
      <c r="AB231" s="71">
        <f>IF($T231 &gt; 0, 100 - $AA231 - $AC231, 0)</f>
        <v>44.56028866089585</v>
      </c>
      <c r="AC231" s="72">
        <f>INDEX(Chemical_analyses!$A:$L, MATCH($P231, Chemical_analyses!$A:$A), 12)/$AK$1/(INDEX(Chemical_analyses!$A:$L, MATCH($P231, Chemical_analyses!$A:$A), 9)/$AI$1+INDEX(Chemical_analyses!$A:$L, MATCH($P231, Chemical_analyses!$A:$A), 11)/$AJ$1+INDEX(Chemical_analyses!$A:$L, MATCH($P231, Chemical_analyses!$A:$A), 12)/$AK$1)*100</f>
        <v>46.546946470059112</v>
      </c>
      <c r="AD231" s="71">
        <v>0</v>
      </c>
      <c r="AE231" s="71">
        <f>IF($U231 &gt; 0, 100 - $AD231 - $AF231, 0)</f>
        <v>0</v>
      </c>
      <c r="AF231" s="72">
        <v>0</v>
      </c>
      <c r="AG231" s="6" t="s">
        <v>43</v>
      </c>
      <c r="AH231" s="10" t="str">
        <f>_xlfn.CONCAT("FeO: ", INDEX(Chemical_analyses!$A:$M, MATCH($P231, Chemical_analyses!$A:$A), 9), ", MgO: ", INDEX(Chemical_analyses!$A:$M, MATCH($P231, Chemical_analyses!$A:$A), 11), ", CaO: ", INDEX(Chemical_analyses!$A:$M, MATCH($P231, Chemical_analyses!$A:$A), 12), ", MnO: ", INDEX(Chemical_analyses!$A:$M, MATCH($P231, Chemical_analyses!$A:$A), 10), ", NaO2: ", INDEX(Chemical_analyses!$A:$M, MATCH($P231, Chemical_analyses!$A:$A), 13), ", Fe2O3: ", INDEX(Chemical_analyses!$A:$M, MATCH($P231, Chemical_analyses!$A:$A), 8), ", Al2O3: ", INDEX(Chemical_analyses!$A:$M, MATCH($P231, Chemical_analyses!$A:$A), 6))</f>
        <v>FeO: 5.61, MgO: 15.77, CaO: 22.92, MnO: 0.17, NaO2: 0.14, Fe2O3: 0, Al2O3: 2.52</v>
      </c>
      <c r="AI231" s="10"/>
      <c r="AJ231" s="10"/>
      <c r="AN231" s="86"/>
      <c r="AO231" s="86"/>
      <c r="AP231" s="86"/>
      <c r="AQ231" s="86"/>
      <c r="AR231" s="86"/>
      <c r="AS231" s="86"/>
      <c r="AT231" s="86"/>
      <c r="AU231" s="86"/>
    </row>
    <row r="232" spans="1:47" s="6" customFormat="1" ht="12">
      <c r="A232" s="6" t="s">
        <v>769</v>
      </c>
      <c r="B232" s="7" t="s">
        <v>770</v>
      </c>
      <c r="C232" s="8" t="s">
        <v>737</v>
      </c>
      <c r="D232" s="8" t="s">
        <v>310</v>
      </c>
      <c r="E232" s="6" t="s">
        <v>311</v>
      </c>
      <c r="G232" s="6" t="s">
        <v>414</v>
      </c>
      <c r="H232" s="6" t="s">
        <v>771</v>
      </c>
      <c r="J232" s="6">
        <v>0</v>
      </c>
      <c r="K232" s="6">
        <v>45</v>
      </c>
      <c r="L232" s="6" t="s">
        <v>38</v>
      </c>
      <c r="M232" s="6" t="s">
        <v>11</v>
      </c>
      <c r="N232" s="6" t="s">
        <v>772</v>
      </c>
      <c r="O232" s="6" t="s">
        <v>773</v>
      </c>
      <c r="P232" s="6">
        <v>462</v>
      </c>
      <c r="Q232" s="28" t="s">
        <v>774</v>
      </c>
      <c r="R232" s="87">
        <v>0</v>
      </c>
      <c r="S232" s="87">
        <f>100 - R232 - U232 - T232</f>
        <v>0</v>
      </c>
      <c r="T232" s="87">
        <v>100</v>
      </c>
      <c r="U232" s="87">
        <v>0</v>
      </c>
      <c r="V232" s="87">
        <v>0</v>
      </c>
      <c r="W232" s="88">
        <f>IF($R232 &gt; 0, 100 - $V232, 0)</f>
        <v>0</v>
      </c>
      <c r="X232" s="71">
        <v>0</v>
      </c>
      <c r="Y232" s="71">
        <f>IF($S232 &gt; 0, 100 - $X232 - $Z232, 0)</f>
        <v>0</v>
      </c>
      <c r="Z232" s="71">
        <v>0</v>
      </c>
      <c r="AA232" s="71">
        <f>INDEX(Chemical_analyses!$A:$L, MATCH($P232, Chemical_analyses!$A:$A), 9)/$AI$1/(INDEX(Chemical_analyses!$A:$L, MATCH($P232, Chemical_analyses!$A:$A), 9)/$AI$1+INDEX(Chemical_analyses!$A:$L, MATCH($P232, Chemical_analyses!$A:$A), 11)/$AJ$1+INDEX(Chemical_analyses!$A:$L, MATCH($P232, Chemical_analyses!$A:$A), 12)/$AK$1)*100</f>
        <v>25.741973840224436</v>
      </c>
      <c r="AB232" s="71">
        <f>IF($T232 &gt; 0, 100 - $AA232 - $AC232, 0)</f>
        <v>52.425656778438345</v>
      </c>
      <c r="AC232" s="72">
        <f>INDEX(Chemical_analyses!$A:$L, MATCH($P232, Chemical_analyses!$A:$A), 12)/$AK$1/(INDEX(Chemical_analyses!$A:$L, MATCH($P232, Chemical_analyses!$A:$A), 9)/$AI$1+INDEX(Chemical_analyses!$A:$L, MATCH($P232, Chemical_analyses!$A:$A), 11)/$AJ$1+INDEX(Chemical_analyses!$A:$L, MATCH($P232, Chemical_analyses!$A:$A), 12)/$AK$1)*100</f>
        <v>21.832369381337223</v>
      </c>
      <c r="AD232" s="71">
        <v>0</v>
      </c>
      <c r="AE232" s="71">
        <f>IF($U232 &gt; 0, 100 - $AD232 - $AF232, 0)</f>
        <v>0</v>
      </c>
      <c r="AF232" s="72">
        <v>0</v>
      </c>
      <c r="AG232" s="6" t="s">
        <v>43</v>
      </c>
      <c r="AH232" s="10" t="str">
        <f>_xlfn.CONCAT("FeO: ", INDEX(Chemical_analyses!$A:$M, MATCH($P232, Chemical_analyses!$A:$A), 9), ", MgO: ", INDEX(Chemical_analyses!$A:$M, MATCH($P232, Chemical_analyses!$A:$A), 11), ", CaO: ", INDEX(Chemical_analyses!$A:$M, MATCH($P232, Chemical_analyses!$A:$A), 12), ", MnO: ", INDEX(Chemical_analyses!$A:$M, MATCH($P232, Chemical_analyses!$A:$A), 10), ", NaO2: ", INDEX(Chemical_analyses!$A:$M, MATCH($P232, Chemical_analyses!$A:$A), 13), ", Fe2O3: ", INDEX(Chemical_analyses!$A:$M, MATCH($P232, Chemical_analyses!$A:$A), 8), ", Al2O3: ", INDEX(Chemical_analyses!$A:$M, MATCH($P232, Chemical_analyses!$A:$A), 6))</f>
        <v>FeO: 16.42, MgO: 18.76, CaO: 10.87, MnO: 0.35, NaO2: 0, Fe2O3: 0, Al2O3: 0.54</v>
      </c>
      <c r="AI232" s="10"/>
      <c r="AJ232" s="10"/>
      <c r="AN232" s="86"/>
      <c r="AO232" s="86"/>
      <c r="AP232" s="86"/>
      <c r="AQ232" s="86"/>
      <c r="AR232" s="86"/>
      <c r="AS232" s="86"/>
      <c r="AT232" s="86"/>
      <c r="AU232" s="86"/>
    </row>
    <row r="233" spans="1:47" s="6" customFormat="1" ht="12">
      <c r="A233" s="6" t="s">
        <v>775</v>
      </c>
      <c r="B233" s="6" t="s">
        <v>776</v>
      </c>
      <c r="C233" s="8" t="s">
        <v>777</v>
      </c>
      <c r="D233" s="8" t="s">
        <v>310</v>
      </c>
      <c r="E233" s="6" t="s">
        <v>311</v>
      </c>
      <c r="G233" s="6" t="s">
        <v>414</v>
      </c>
      <c r="H233" s="6" t="s">
        <v>624</v>
      </c>
      <c r="J233" s="6">
        <v>50</v>
      </c>
      <c r="K233" s="6">
        <v>100</v>
      </c>
      <c r="L233" s="6" t="s">
        <v>38</v>
      </c>
      <c r="M233" s="6" t="s">
        <v>81</v>
      </c>
      <c r="N233" s="6" t="s">
        <v>778</v>
      </c>
      <c r="O233" s="6" t="s">
        <v>779</v>
      </c>
      <c r="P233" s="6">
        <v>721</v>
      </c>
      <c r="Q233" s="28" t="s">
        <v>780</v>
      </c>
      <c r="R233" s="87">
        <v>0</v>
      </c>
      <c r="S233" s="87">
        <f>100 - R233 - U233 - T233</f>
        <v>0</v>
      </c>
      <c r="T233" s="87">
        <v>100</v>
      </c>
      <c r="U233" s="88">
        <v>0</v>
      </c>
      <c r="V233" s="87">
        <v>0</v>
      </c>
      <c r="W233" s="88">
        <f>IF($R233 &gt; 0, 100 - $V233, 0)</f>
        <v>0</v>
      </c>
      <c r="X233" s="71">
        <v>0</v>
      </c>
      <c r="Y233" s="71">
        <f>IF($S233 &gt; 0, 100 - $X233 - $Z233, 0)</f>
        <v>0</v>
      </c>
      <c r="Z233" s="72">
        <v>0</v>
      </c>
      <c r="AA233" s="71">
        <f>INDEX(Chemical_analyses!$A:$L, MATCH($P233, Chemical_analyses!$A:$A), 9)/$AI$1/(INDEX(Chemical_analyses!$A:$L, MATCH($P233, Chemical_analyses!$A:$A), 9)/$AI$1+INDEX(Chemical_analyses!$A:$L, MATCH($P233, Chemical_analyses!$A:$A), 11)/$AJ$1+INDEX(Chemical_analyses!$A:$L, MATCH($P233, Chemical_analyses!$A:$A), 12)/$AK$1)*100</f>
        <v>38.045190148714291</v>
      </c>
      <c r="AB233" s="71">
        <f>IF($T233 &gt; 0, 100 - $AA233 - $AC233, 0)</f>
        <v>47.123979166204876</v>
      </c>
      <c r="AC233" s="72">
        <f>INDEX(Chemical_analyses!$A:$L, MATCH($P233, Chemical_analyses!$A:$A), 12)/$AK$1/(INDEX(Chemical_analyses!$A:$L, MATCH($P233, Chemical_analyses!$A:$A), 9)/$AI$1+INDEX(Chemical_analyses!$A:$L, MATCH($P233, Chemical_analyses!$A:$A), 11)/$AJ$1+INDEX(Chemical_analyses!$A:$L, MATCH($P233, Chemical_analyses!$A:$A), 12)/$AK$1)*100</f>
        <v>14.830830685080832</v>
      </c>
      <c r="AD233" s="71">
        <v>0</v>
      </c>
      <c r="AE233" s="71">
        <f>IF($U233 &gt; 0, 100 - $AD233 - $AF233, 0)</f>
        <v>0</v>
      </c>
      <c r="AF233" s="72">
        <v>0</v>
      </c>
      <c r="AG233" s="6" t="s">
        <v>43</v>
      </c>
      <c r="AH233" s="10" t="str">
        <f>_xlfn.CONCAT("FeO: ", INDEX(Chemical_analyses!$A:$M, MATCH($P233, Chemical_analyses!$A:$A), 9), ", MgO: ", INDEX(Chemical_analyses!$A:$M, MATCH($P233, Chemical_analyses!$A:$A), 11), ", CaO: ", INDEX(Chemical_analyses!$A:$M, MATCH($P233, Chemical_analyses!$A:$A), 12), ", MnO: ", INDEX(Chemical_analyses!$A:$M, MATCH($P233, Chemical_analyses!$A:$A), 10), ", NaO2: ", INDEX(Chemical_analyses!$A:$M, MATCH($P233, Chemical_analyses!$A:$A), 13), ", Fe2O3: ", INDEX(Chemical_analyses!$A:$M, MATCH($P233, Chemical_analyses!$A:$A), 8), ", Al2O3: ", INDEX(Chemical_analyses!$A:$M, MATCH($P233, Chemical_analyses!$A:$A), 6))</f>
        <v>FeO: 23.17, MgO: 16.1, CaO: 7.05, MnO: 0, NaO2: 0.26, Fe2O3: 0.12, Al2O3: 1.41</v>
      </c>
      <c r="AI233" s="10"/>
      <c r="AJ233" s="10"/>
      <c r="AN233" s="86"/>
      <c r="AO233" s="86"/>
      <c r="AP233" s="86"/>
      <c r="AQ233" s="86"/>
      <c r="AR233" s="86"/>
      <c r="AS233" s="86"/>
      <c r="AT233" s="86"/>
      <c r="AU233" s="86"/>
    </row>
    <row r="234" spans="1:47" s="6" customFormat="1" ht="12">
      <c r="A234" s="6" t="s">
        <v>781</v>
      </c>
      <c r="B234" s="6" t="s">
        <v>782</v>
      </c>
      <c r="C234" s="8" t="s">
        <v>777</v>
      </c>
      <c r="D234" s="8" t="s">
        <v>310</v>
      </c>
      <c r="E234" s="6" t="s">
        <v>311</v>
      </c>
      <c r="G234" s="6" t="s">
        <v>414</v>
      </c>
      <c r="H234" s="6" t="s">
        <v>624</v>
      </c>
      <c r="I234" s="6" t="s">
        <v>38</v>
      </c>
      <c r="J234" s="6">
        <v>50</v>
      </c>
      <c r="K234" s="6">
        <v>100</v>
      </c>
      <c r="L234" s="6" t="s">
        <v>38</v>
      </c>
      <c r="M234" s="6" t="s">
        <v>81</v>
      </c>
      <c r="N234" s="6" t="s">
        <v>778</v>
      </c>
      <c r="O234" s="6" t="s">
        <v>779</v>
      </c>
      <c r="P234" s="6">
        <v>721</v>
      </c>
      <c r="Q234" s="28" t="s">
        <v>780</v>
      </c>
      <c r="R234" s="87">
        <v>0</v>
      </c>
      <c r="S234" s="87">
        <f>100 - R234 - U234 - T234</f>
        <v>0</v>
      </c>
      <c r="T234" s="87">
        <v>100</v>
      </c>
      <c r="U234" s="88">
        <v>0</v>
      </c>
      <c r="V234" s="87">
        <v>0</v>
      </c>
      <c r="W234" s="88">
        <f>IF($R234 &gt; 0, 100 - $V234, 0)</f>
        <v>0</v>
      </c>
      <c r="X234" s="71">
        <v>0</v>
      </c>
      <c r="Y234" s="71">
        <f>IF($S234 &gt; 0, 100 - $X234 - $Z234, 0)</f>
        <v>0</v>
      </c>
      <c r="Z234" s="72">
        <v>0</v>
      </c>
      <c r="AA234" s="71">
        <f>INDEX(Chemical_analyses!$A:$L, MATCH($P234, Chemical_analyses!$A:$A), 9)/$AI$1/(INDEX(Chemical_analyses!$A:$L, MATCH($P234, Chemical_analyses!$A:$A), 9)/$AI$1+INDEX(Chemical_analyses!$A:$L, MATCH($P234, Chemical_analyses!$A:$A), 11)/$AJ$1+INDEX(Chemical_analyses!$A:$L, MATCH($P234, Chemical_analyses!$A:$A), 12)/$AK$1)*100</f>
        <v>38.045190148714291</v>
      </c>
      <c r="AB234" s="71">
        <f>IF($T234 &gt; 0, 100 - $AA234 - $AC234, 0)</f>
        <v>47.123979166204876</v>
      </c>
      <c r="AC234" s="72">
        <f>INDEX(Chemical_analyses!$A:$L, MATCH($P234, Chemical_analyses!$A:$A), 12)/$AK$1/(INDEX(Chemical_analyses!$A:$L, MATCH($P234, Chemical_analyses!$A:$A), 9)/$AI$1+INDEX(Chemical_analyses!$A:$L, MATCH($P234, Chemical_analyses!$A:$A), 11)/$AJ$1+INDEX(Chemical_analyses!$A:$L, MATCH($P234, Chemical_analyses!$A:$A), 12)/$AK$1)*100</f>
        <v>14.830830685080832</v>
      </c>
      <c r="AD234" s="71">
        <v>0</v>
      </c>
      <c r="AE234" s="71">
        <f>IF($U234 &gt; 0, 100 - $AD234 - $AF234, 0)</f>
        <v>0</v>
      </c>
      <c r="AF234" s="72">
        <v>0</v>
      </c>
      <c r="AG234" s="6" t="s">
        <v>43</v>
      </c>
      <c r="AH234" s="10" t="str">
        <f>_xlfn.CONCAT("FeO: ", INDEX(Chemical_analyses!$A:$M, MATCH($P234, Chemical_analyses!$A:$A), 9), ", MgO: ", INDEX(Chemical_analyses!$A:$M, MATCH($P234, Chemical_analyses!$A:$A), 11), ", CaO: ", INDEX(Chemical_analyses!$A:$M, MATCH($P234, Chemical_analyses!$A:$A), 12), ", MnO: ", INDEX(Chemical_analyses!$A:$M, MATCH($P234, Chemical_analyses!$A:$A), 10), ", NaO2: ", INDEX(Chemical_analyses!$A:$M, MATCH($P234, Chemical_analyses!$A:$A), 13), ", Fe2O3: ", INDEX(Chemical_analyses!$A:$M, MATCH($P234, Chemical_analyses!$A:$A), 8), ", Al2O3: ", INDEX(Chemical_analyses!$A:$M, MATCH($P234, Chemical_analyses!$A:$A), 6))</f>
        <v>FeO: 23.17, MgO: 16.1, CaO: 7.05, MnO: 0, NaO2: 0.26, Fe2O3: 0.12, Al2O3: 1.41</v>
      </c>
      <c r="AI234" s="10"/>
      <c r="AJ234" s="10"/>
      <c r="AN234" s="86"/>
      <c r="AO234" s="86"/>
      <c r="AP234" s="86"/>
      <c r="AQ234" s="86"/>
      <c r="AR234" s="86"/>
      <c r="AS234" s="86"/>
      <c r="AT234" s="86"/>
      <c r="AU234" s="86"/>
    </row>
    <row r="235" spans="1:47" s="6" customFormat="1" ht="12">
      <c r="A235" s="6" t="s">
        <v>783</v>
      </c>
      <c r="B235" s="6" t="s">
        <v>784</v>
      </c>
      <c r="C235" s="8" t="s">
        <v>737</v>
      </c>
      <c r="D235" s="8" t="s">
        <v>310</v>
      </c>
      <c r="E235" s="6" t="s">
        <v>311</v>
      </c>
      <c r="G235" s="6" t="s">
        <v>414</v>
      </c>
      <c r="H235" s="6" t="s">
        <v>507</v>
      </c>
      <c r="J235" s="6">
        <v>0</v>
      </c>
      <c r="K235" s="6">
        <v>45</v>
      </c>
      <c r="L235" s="6" t="s">
        <v>38</v>
      </c>
      <c r="M235" s="6" t="s">
        <v>81</v>
      </c>
      <c r="N235" s="6" t="s">
        <v>785</v>
      </c>
      <c r="O235" s="6" t="s">
        <v>786</v>
      </c>
      <c r="P235" s="6">
        <v>0</v>
      </c>
      <c r="Q235" s="28"/>
      <c r="R235" s="87">
        <v>0</v>
      </c>
      <c r="S235" s="87">
        <f>100 - R235 - U235 - T235</f>
        <v>0</v>
      </c>
      <c r="T235" s="87">
        <v>100</v>
      </c>
      <c r="U235" s="88">
        <v>0</v>
      </c>
      <c r="V235" s="87">
        <v>0</v>
      </c>
      <c r="W235" s="88">
        <f>IF($R235 &gt; 0, 100 - $V235, 0)</f>
        <v>0</v>
      </c>
      <c r="X235" s="71">
        <v>0</v>
      </c>
      <c r="Y235" s="71">
        <f>IF($S235 &gt; 0, 100 - $X235 - $Z235, 0)</f>
        <v>0</v>
      </c>
      <c r="Z235" s="72">
        <v>0</v>
      </c>
      <c r="AA235" s="87">
        <f>8.98/$AI$1/(8.98/$AI$1 + 17.54/$AJ$1 + 7.33/$AK$1)*100</f>
        <v>18.091394363689059</v>
      </c>
      <c r="AB235" s="71">
        <f>IF($T235 &gt; 0, 100 - $AA235 - $AC235, 0)</f>
        <v>67.141353889558061</v>
      </c>
      <c r="AC235" s="88">
        <f>7.33/$AI$1/(8.98/$AI$1 + 17.54/$AJ$1 + 7.33/$AK$1)*100</f>
        <v>14.767251746752875</v>
      </c>
      <c r="AD235" s="71">
        <v>0</v>
      </c>
      <c r="AE235" s="71">
        <f>IF($U235 &gt; 0, 100 - $AD235 - $AF235, 0)</f>
        <v>0</v>
      </c>
      <c r="AF235" s="72">
        <v>0</v>
      </c>
      <c r="AG235" s="6" t="s">
        <v>43</v>
      </c>
      <c r="AH235" s="9" t="s">
        <v>787</v>
      </c>
      <c r="AI235" s="6" t="s">
        <v>788</v>
      </c>
      <c r="AJ235" s="10"/>
      <c r="AN235" s="86"/>
      <c r="AO235" s="86"/>
      <c r="AP235" s="86"/>
      <c r="AQ235" s="86"/>
      <c r="AR235" s="86"/>
      <c r="AS235" s="86"/>
      <c r="AT235" s="86"/>
      <c r="AU235" s="86"/>
    </row>
    <row r="236" spans="1:47" s="6" customFormat="1" ht="12">
      <c r="A236" s="6" t="s">
        <v>789</v>
      </c>
      <c r="B236" s="7" t="s">
        <v>790</v>
      </c>
      <c r="C236" s="8" t="s">
        <v>412</v>
      </c>
      <c r="D236" s="8" t="s">
        <v>413</v>
      </c>
      <c r="E236" s="6" t="s">
        <v>311</v>
      </c>
      <c r="G236" s="6" t="s">
        <v>414</v>
      </c>
      <c r="H236" s="6" t="s">
        <v>791</v>
      </c>
      <c r="J236" s="6">
        <v>0</v>
      </c>
      <c r="K236" s="6">
        <v>25</v>
      </c>
      <c r="L236" s="6" t="s">
        <v>38</v>
      </c>
      <c r="M236" s="6" t="s">
        <v>416</v>
      </c>
      <c r="N236" s="6" t="s">
        <v>417</v>
      </c>
      <c r="O236" s="6" t="s">
        <v>418</v>
      </c>
      <c r="P236" s="6">
        <v>0</v>
      </c>
      <c r="Q236" s="28"/>
      <c r="R236" s="87">
        <v>0</v>
      </c>
      <c r="S236" s="87">
        <f>100 - R236 - U236 - T236</f>
        <v>0</v>
      </c>
      <c r="T236" s="87">
        <v>100</v>
      </c>
      <c r="U236" s="87">
        <v>0</v>
      </c>
      <c r="V236" s="87">
        <v>0</v>
      </c>
      <c r="W236" s="88">
        <f>IF($R236 &gt; 0, 100 - $V236, 0)</f>
        <v>0</v>
      </c>
      <c r="X236" s="71">
        <v>0</v>
      </c>
      <c r="Y236" s="71">
        <f>IF($S236 &gt; 0, 100 - $X236 - $Z236, 0)</f>
        <v>0</v>
      </c>
      <c r="Z236" s="72">
        <v>0</v>
      </c>
      <c r="AA236" s="71">
        <v>33</v>
      </c>
      <c r="AB236" s="71">
        <f>IF($T236 &gt; 0, 100 - $AA236 - $AC236, 0)</f>
        <v>29.4</v>
      </c>
      <c r="AC236" s="72">
        <v>37.6</v>
      </c>
      <c r="AD236" s="71">
        <v>0</v>
      </c>
      <c r="AE236" s="71">
        <f>IF($U236 &gt; 0, 100 - $AD236 - $AF236, 0)</f>
        <v>0</v>
      </c>
      <c r="AF236" s="72">
        <v>0</v>
      </c>
      <c r="AG236" s="6" t="s">
        <v>43</v>
      </c>
      <c r="AH236" s="6" t="s">
        <v>792</v>
      </c>
      <c r="AI236" s="10"/>
      <c r="AJ236" s="10"/>
      <c r="AN236" s="86"/>
      <c r="AO236" s="86"/>
      <c r="AP236" s="86"/>
      <c r="AQ236" s="86"/>
      <c r="AR236" s="86"/>
      <c r="AS236" s="86"/>
      <c r="AT236" s="86"/>
      <c r="AU236" s="86"/>
    </row>
    <row r="237" spans="1:47" s="6" customFormat="1" ht="12">
      <c r="A237" s="6" t="s">
        <v>793</v>
      </c>
      <c r="B237" s="7" t="s">
        <v>794</v>
      </c>
      <c r="C237" s="8" t="s">
        <v>795</v>
      </c>
      <c r="D237" s="8" t="s">
        <v>310</v>
      </c>
      <c r="E237" s="6" t="s">
        <v>311</v>
      </c>
      <c r="G237" s="6" t="s">
        <v>623</v>
      </c>
      <c r="H237" s="6" t="s">
        <v>796</v>
      </c>
      <c r="J237" s="6">
        <v>0</v>
      </c>
      <c r="K237" s="6">
        <v>0</v>
      </c>
      <c r="O237" s="6" t="s">
        <v>797</v>
      </c>
      <c r="P237" s="6">
        <v>287</v>
      </c>
      <c r="Q237" s="28" t="s">
        <v>798</v>
      </c>
      <c r="R237" s="87">
        <v>0</v>
      </c>
      <c r="S237" s="87">
        <f>100 - R237 - U237 - T237</f>
        <v>0</v>
      </c>
      <c r="T237" s="87">
        <v>100</v>
      </c>
      <c r="U237" s="87">
        <v>0</v>
      </c>
      <c r="V237" s="87">
        <v>0</v>
      </c>
      <c r="W237" s="88">
        <f>IF($R237 &gt; 0, 100 - $V237, 0)</f>
        <v>0</v>
      </c>
      <c r="X237" s="71">
        <v>0</v>
      </c>
      <c r="Y237" s="71">
        <f>IF($S237 &gt; 0, 100 - $X237 - $Z237, 0)</f>
        <v>0</v>
      </c>
      <c r="Z237" s="72">
        <v>0</v>
      </c>
      <c r="AA237" s="71">
        <f>INDEX(Chemical_analyses!$A:$L, MATCH($P237, Chemical_analyses!$A:$A), 9)/$AI$1/(INDEX(Chemical_analyses!$A:$L, MATCH($P237, Chemical_analyses!$A:$A), 9)/$AI$1+INDEX(Chemical_analyses!$A:$L, MATCH($P237, Chemical_analyses!$A:$A), 11)/$AJ$1+INDEX(Chemical_analyses!$A:$L, MATCH($P237, Chemical_analyses!$A:$A), 12)/$AK$1)*100</f>
        <v>38.045190148714291</v>
      </c>
      <c r="AB237" s="71">
        <f>IF($T237 &gt; 0, 100 - $AA237 - $AC237, 0)</f>
        <v>47.123979166204876</v>
      </c>
      <c r="AC237" s="72">
        <f>INDEX(Chemical_analyses!$A:$L, MATCH($P237, Chemical_analyses!$A:$A), 12)/$AK$1/(INDEX(Chemical_analyses!$A:$L, MATCH($P237, Chemical_analyses!$A:$A), 9)/$AI$1+INDEX(Chemical_analyses!$A:$L, MATCH($P237, Chemical_analyses!$A:$A), 11)/$AJ$1+INDEX(Chemical_analyses!$A:$L, MATCH($P237, Chemical_analyses!$A:$A), 12)/$AK$1)*100</f>
        <v>14.830830685080832</v>
      </c>
      <c r="AD237" s="71">
        <v>0</v>
      </c>
      <c r="AE237" s="71">
        <f>IF($U237 &gt; 0, 100 - $AD237 - $AF237, 0)</f>
        <v>0</v>
      </c>
      <c r="AF237" s="72">
        <v>0</v>
      </c>
      <c r="AG237" s="6" t="s">
        <v>43</v>
      </c>
      <c r="AH237" s="10" t="str">
        <f>_xlfn.CONCAT("FeO: ", INDEX(Chemical_analyses!$A:$M, MATCH($P237, Chemical_analyses!$A:$A), 9), ", MgO: ", INDEX(Chemical_analyses!$A:$M, MATCH($P237, Chemical_analyses!$A:$A), 11), ", CaO: ", INDEX(Chemical_analyses!$A:$M, MATCH($P237, Chemical_analyses!$A:$A), 12), ", MnO: ", INDEX(Chemical_analyses!$A:$M, MATCH($P237, Chemical_analyses!$A:$A), 10), ", NaO2: ", INDEX(Chemical_analyses!$A:$M, MATCH($P237, Chemical_analyses!$A:$A), 13), ", Fe2O3: ", INDEX(Chemical_analyses!$A:$M, MATCH($P237, Chemical_analyses!$A:$A), 8), ", Al2O3: ", INDEX(Chemical_analyses!$A:$M, MATCH($P237, Chemical_analyses!$A:$A), 6))</f>
        <v>FeO: 23.17, MgO: 16.1, CaO: 7.05, MnO: 0.54, NaO2: 0.26, Fe2O3: 0.12, Al2O3: 1.41</v>
      </c>
      <c r="AI237" s="10"/>
      <c r="AJ237" s="10"/>
      <c r="AN237" s="86"/>
      <c r="AO237" s="86"/>
      <c r="AP237" s="86"/>
      <c r="AQ237" s="86"/>
      <c r="AR237" s="86"/>
      <c r="AS237" s="86"/>
      <c r="AT237" s="86"/>
      <c r="AU237" s="86"/>
    </row>
    <row r="238" spans="1:47" s="16" customFormat="1" ht="12">
      <c r="A238" s="16" t="s">
        <v>799</v>
      </c>
      <c r="B238" s="17" t="s">
        <v>800</v>
      </c>
      <c r="C238" s="18" t="s">
        <v>79</v>
      </c>
      <c r="D238" s="18" t="s">
        <v>34</v>
      </c>
      <c r="E238" s="16" t="s">
        <v>311</v>
      </c>
      <c r="G238" s="16" t="s">
        <v>414</v>
      </c>
      <c r="H238" s="16" t="s">
        <v>801</v>
      </c>
      <c r="J238" s="16">
        <v>0</v>
      </c>
      <c r="K238" s="16">
        <v>45</v>
      </c>
      <c r="L238" s="16" t="s">
        <v>38</v>
      </c>
      <c r="M238" s="16" t="s">
        <v>39</v>
      </c>
      <c r="N238" s="16" t="s">
        <v>802</v>
      </c>
      <c r="O238" s="16" t="s">
        <v>314</v>
      </c>
      <c r="P238" s="16">
        <v>635</v>
      </c>
      <c r="Q238" s="29" t="s">
        <v>315</v>
      </c>
      <c r="R238" s="89">
        <v>0</v>
      </c>
      <c r="S238" s="89">
        <f>100 - R238 - U238 - T238</f>
        <v>100</v>
      </c>
      <c r="T238" s="89">
        <v>0</v>
      </c>
      <c r="U238" s="89">
        <v>0</v>
      </c>
      <c r="V238" s="89">
        <v>0</v>
      </c>
      <c r="W238" s="90">
        <f>IF($R238 &gt; 0, 100 - $V238, 0)</f>
        <v>0</v>
      </c>
      <c r="X238" s="79">
        <f>INDEX(Chemical_analyses!$A:$L, MATCH($P238, Chemical_analyses!$A:$A), 9)/$AI$1/(INDEX(Chemical_analyses!$A:$L, MATCH($P238, Chemical_analyses!$A:$A), 9)/$AI$1+INDEX(Chemical_analyses!$A:$L, MATCH($P238, Chemical_analyses!$A:$A), 11)/$AJ$1+INDEX(Chemical_analyses!$A:$L, MATCH($P238, Chemical_analyses!$A:$A), 12)/$AK$1)*100</f>
        <v>23.443537035920759</v>
      </c>
      <c r="Y238" s="79">
        <f>IF($S238 &gt; 0, 100 - $X238 - $Z238, 0)</f>
        <v>73.5569226280479</v>
      </c>
      <c r="Z238" s="73">
        <f>INDEX(Chemical_analyses!$A:$L, MATCH($P238, Chemical_analyses!$A:$A), 12)/$AK$1/(INDEX(Chemical_analyses!$A:$L, MATCH($P238, Chemical_analyses!$A:$A), 9)/$AI$1+INDEX(Chemical_analyses!$A:$L, MATCH($P238, Chemical_analyses!$A:$A), 11)/$AJ$1+INDEX(Chemical_analyses!$A:$L, MATCH($P238, Chemical_analyses!$A:$A), 12)/$AK$1)*100</f>
        <v>2.9995403360313451</v>
      </c>
      <c r="AA238" s="89">
        <v>0</v>
      </c>
      <c r="AB238" s="79">
        <f>IF($T238 &gt; 0, 100 - $AA238 - $AC238, 0)</f>
        <v>0</v>
      </c>
      <c r="AC238" s="90">
        <v>0</v>
      </c>
      <c r="AD238" s="79">
        <v>0</v>
      </c>
      <c r="AE238" s="79">
        <f>IF($U238 &gt; 0, 100 - $AD238 - $AF238, 0)</f>
        <v>0</v>
      </c>
      <c r="AF238" s="90">
        <v>0</v>
      </c>
      <c r="AG238" s="16" t="s">
        <v>43</v>
      </c>
      <c r="AH238" s="22" t="str">
        <f>_xlfn.CONCAT("FeO: ", INDEX(Chemical_analyses!$A:$M, MATCH($P238, Chemical_analyses!$A:$A), 9), ", MgO: ", INDEX(Chemical_analyses!$A:$M, MATCH($P238, Chemical_analyses!$A:$A), 11), ", CaO: ", INDEX(Chemical_analyses!$A:$M, MATCH($P238, Chemical_analyses!$A:$A), 12), ", MnO: ", INDEX(Chemical_analyses!$A:$M, MATCH($P238, Chemical_analyses!$A:$A), 10), ", NaO2: ", INDEX(Chemical_analyses!$A:$M, MATCH($P238, Chemical_analyses!$A:$A), 13), ", Fe2O3: ", INDEX(Chemical_analyses!$A:$M, MATCH($P238, Chemical_analyses!$A:$A), 8), ", Al2O3: ", INDEX(Chemical_analyses!$A:$M, MATCH($P238, Chemical_analyses!$A:$A), 6))</f>
        <v>FeO: 15.22, MgO: 26.79, CaO: 1.52, MnO: 0.49, NaO2: 0.05, Fe2O3: 0, Al2O3: 1.23</v>
      </c>
      <c r="AN238" s="83"/>
      <c r="AO238" s="83"/>
      <c r="AP238" s="83"/>
      <c r="AQ238" s="83"/>
      <c r="AR238" s="83"/>
      <c r="AS238" s="83"/>
      <c r="AT238" s="83"/>
      <c r="AU238" s="83"/>
    </row>
    <row r="239" spans="1:47" s="16" customFormat="1" ht="12">
      <c r="A239" s="16" t="s">
        <v>803</v>
      </c>
      <c r="B239" s="17" t="s">
        <v>804</v>
      </c>
      <c r="C239" s="18" t="s">
        <v>499</v>
      </c>
      <c r="D239" s="18" t="s">
        <v>224</v>
      </c>
      <c r="E239" s="16" t="s">
        <v>311</v>
      </c>
      <c r="G239" s="16" t="s">
        <v>414</v>
      </c>
      <c r="H239" s="16" t="s">
        <v>557</v>
      </c>
      <c r="J239" s="16">
        <v>0</v>
      </c>
      <c r="K239" s="16">
        <v>50</v>
      </c>
      <c r="L239" s="16" t="s">
        <v>38</v>
      </c>
      <c r="M239" s="16" t="s">
        <v>284</v>
      </c>
      <c r="N239" s="16" t="s">
        <v>276</v>
      </c>
      <c r="O239" s="16" t="s">
        <v>515</v>
      </c>
      <c r="P239" s="16">
        <v>0</v>
      </c>
      <c r="Q239" s="29" t="s">
        <v>502</v>
      </c>
      <c r="R239" s="89">
        <v>0</v>
      </c>
      <c r="S239" s="89">
        <f>100 - R239 - U239 - T239</f>
        <v>100</v>
      </c>
      <c r="T239" s="89">
        <v>0</v>
      </c>
      <c r="U239" s="89">
        <v>0</v>
      </c>
      <c r="V239" s="89">
        <v>0</v>
      </c>
      <c r="W239" s="90">
        <f>IF($R239 &gt; 0, 100 - $V239, 0)</f>
        <v>0</v>
      </c>
      <c r="X239" s="79">
        <v>27</v>
      </c>
      <c r="Y239" s="79">
        <f>IF($S239 &gt; 0, 100 - $X239 - $Z239, 0)</f>
        <v>70</v>
      </c>
      <c r="Z239" s="73">
        <v>3</v>
      </c>
      <c r="AA239" s="79">
        <v>0</v>
      </c>
      <c r="AB239" s="79">
        <f>IF($T239 &gt; 0, 100 - $AA239 - $AC239, 0)</f>
        <v>0</v>
      </c>
      <c r="AC239" s="73">
        <v>0</v>
      </c>
      <c r="AD239" s="79">
        <v>0</v>
      </c>
      <c r="AE239" s="79">
        <f>IF($U239 &gt; 0, 100 - $AD239 - $AF239, 0)</f>
        <v>0</v>
      </c>
      <c r="AF239" s="73">
        <v>0</v>
      </c>
      <c r="AG239" s="16" t="s">
        <v>43</v>
      </c>
      <c r="AH239" s="23" t="s">
        <v>805</v>
      </c>
      <c r="AI239" s="16" t="s">
        <v>806</v>
      </c>
      <c r="AN239" s="83"/>
      <c r="AO239" s="83"/>
      <c r="AP239" s="83"/>
      <c r="AQ239" s="83"/>
      <c r="AR239" s="83"/>
      <c r="AS239" s="83"/>
      <c r="AT239" s="83"/>
      <c r="AU239" s="83"/>
    </row>
    <row r="240" spans="1:47" s="16" customFormat="1" ht="12">
      <c r="A240" s="16" t="s">
        <v>807</v>
      </c>
      <c r="B240" s="17" t="s">
        <v>808</v>
      </c>
      <c r="C240" s="18" t="s">
        <v>129</v>
      </c>
      <c r="D240" s="18" t="s">
        <v>413</v>
      </c>
      <c r="E240" s="16" t="s">
        <v>311</v>
      </c>
      <c r="G240" s="16" t="s">
        <v>414</v>
      </c>
      <c r="H240" s="16" t="s">
        <v>557</v>
      </c>
      <c r="J240" s="16">
        <v>0</v>
      </c>
      <c r="K240" s="16">
        <v>100</v>
      </c>
      <c r="L240" s="16" t="s">
        <v>38</v>
      </c>
      <c r="M240" s="16" t="s">
        <v>284</v>
      </c>
      <c r="N240" s="16" t="s">
        <v>523</v>
      </c>
      <c r="P240" s="16">
        <v>0</v>
      </c>
      <c r="Q240" s="29" t="s">
        <v>809</v>
      </c>
      <c r="R240" s="89">
        <v>0</v>
      </c>
      <c r="S240" s="89">
        <f>100 - R240 - U240 - T240</f>
        <v>100</v>
      </c>
      <c r="T240" s="89">
        <v>0</v>
      </c>
      <c r="U240" s="89">
        <v>0</v>
      </c>
      <c r="V240" s="89">
        <v>0</v>
      </c>
      <c r="W240" s="90">
        <f>IF($R240 &gt; 0, 100 - $V240, 0)</f>
        <v>0</v>
      </c>
      <c r="X240" s="79">
        <v>20</v>
      </c>
      <c r="Y240" s="79">
        <f>IF($S240 &gt; 0, 100 - $X240 - $Z240, 0)</f>
        <v>80</v>
      </c>
      <c r="Z240" s="73">
        <v>0</v>
      </c>
      <c r="AA240" s="79">
        <v>0</v>
      </c>
      <c r="AB240" s="79">
        <f>IF($T240 &gt; 0, 100 - $AA240 - $AC240, 0)</f>
        <v>0</v>
      </c>
      <c r="AC240" s="73">
        <v>0</v>
      </c>
      <c r="AD240" s="79">
        <v>0</v>
      </c>
      <c r="AE240" s="79">
        <f>IF($U240 &gt; 0, 100 - $AD240 - $AF240, 0)</f>
        <v>0</v>
      </c>
      <c r="AF240" s="73">
        <v>0</v>
      </c>
      <c r="AG240" s="16" t="s">
        <v>43</v>
      </c>
      <c r="AH240" s="16" t="s">
        <v>525</v>
      </c>
      <c r="AJ240" s="22"/>
      <c r="AN240" s="83"/>
      <c r="AO240" s="83"/>
      <c r="AP240" s="83"/>
      <c r="AQ240" s="83"/>
      <c r="AR240" s="83"/>
      <c r="AS240" s="83"/>
      <c r="AT240" s="83"/>
      <c r="AU240" s="83"/>
    </row>
    <row r="241" spans="1:47" s="16" customFormat="1" ht="12">
      <c r="A241" s="16" t="s">
        <v>810</v>
      </c>
      <c r="B241" s="17" t="s">
        <v>811</v>
      </c>
      <c r="C241" s="18" t="s">
        <v>129</v>
      </c>
      <c r="D241" s="18" t="s">
        <v>413</v>
      </c>
      <c r="E241" s="16" t="s">
        <v>311</v>
      </c>
      <c r="G241" s="16" t="s">
        <v>414</v>
      </c>
      <c r="H241" s="16" t="s">
        <v>557</v>
      </c>
      <c r="J241" s="16">
        <v>0</v>
      </c>
      <c r="K241" s="16">
        <v>100</v>
      </c>
      <c r="L241" s="16" t="s">
        <v>38</v>
      </c>
      <c r="M241" s="16" t="s">
        <v>284</v>
      </c>
      <c r="N241" s="16" t="s">
        <v>523</v>
      </c>
      <c r="P241" s="16">
        <v>0</v>
      </c>
      <c r="Q241" s="29" t="s">
        <v>812</v>
      </c>
      <c r="R241" s="89">
        <v>0</v>
      </c>
      <c r="S241" s="89">
        <f>100 - R241 - U241 - T241</f>
        <v>100</v>
      </c>
      <c r="T241" s="89">
        <v>0</v>
      </c>
      <c r="U241" s="90">
        <v>0</v>
      </c>
      <c r="V241" s="89">
        <v>0</v>
      </c>
      <c r="W241" s="90">
        <f>IF($R241 &gt; 0, 100 - $V241, 0)</f>
        <v>0</v>
      </c>
      <c r="X241" s="79">
        <v>20</v>
      </c>
      <c r="Y241" s="79">
        <f>IF($S241 &gt; 0, 100 - $X241 - $Z241, 0)</f>
        <v>80</v>
      </c>
      <c r="Z241" s="73">
        <v>0</v>
      </c>
      <c r="AA241" s="89">
        <v>0</v>
      </c>
      <c r="AB241" s="79">
        <f>IF($T241 &gt; 0, 100 - $AA241 - $AC241, 0)</f>
        <v>0</v>
      </c>
      <c r="AC241" s="90">
        <v>0</v>
      </c>
      <c r="AD241" s="79">
        <v>0</v>
      </c>
      <c r="AE241" s="79">
        <f>IF($U241 &gt; 0, 100 - $AD241 - $AF241, 0)</f>
        <v>0</v>
      </c>
      <c r="AF241" s="90">
        <v>0</v>
      </c>
      <c r="AG241" s="16" t="s">
        <v>43</v>
      </c>
      <c r="AH241" s="16" t="s">
        <v>525</v>
      </c>
      <c r="AJ241" s="22"/>
      <c r="AN241" s="83"/>
      <c r="AO241" s="83"/>
      <c r="AP241" s="83"/>
      <c r="AQ241" s="83"/>
      <c r="AR241" s="83"/>
      <c r="AS241" s="83"/>
      <c r="AT241" s="83"/>
      <c r="AU241" s="83"/>
    </row>
    <row r="242" spans="1:47" s="16" customFormat="1" ht="12">
      <c r="A242" s="16" t="s">
        <v>813</v>
      </c>
      <c r="B242" s="17" t="s">
        <v>814</v>
      </c>
      <c r="C242" s="18" t="s">
        <v>129</v>
      </c>
      <c r="D242" s="18" t="s">
        <v>413</v>
      </c>
      <c r="E242" s="16" t="s">
        <v>311</v>
      </c>
      <c r="G242" s="16" t="s">
        <v>414</v>
      </c>
      <c r="H242" s="16" t="s">
        <v>557</v>
      </c>
      <c r="J242" s="16">
        <v>0</v>
      </c>
      <c r="K242" s="16">
        <v>100</v>
      </c>
      <c r="L242" s="16" t="s">
        <v>38</v>
      </c>
      <c r="M242" s="16" t="s">
        <v>284</v>
      </c>
      <c r="N242" s="16" t="s">
        <v>523</v>
      </c>
      <c r="P242" s="16">
        <v>0</v>
      </c>
      <c r="Q242" s="29" t="s">
        <v>809</v>
      </c>
      <c r="R242" s="89">
        <v>0</v>
      </c>
      <c r="S242" s="89">
        <f>100 - R242 - U242 - T242</f>
        <v>100</v>
      </c>
      <c r="T242" s="89">
        <v>0</v>
      </c>
      <c r="U242" s="89">
        <v>0</v>
      </c>
      <c r="V242" s="89">
        <v>0</v>
      </c>
      <c r="W242" s="90">
        <f>IF($R242 &gt; 0, 100 - $V242, 0)</f>
        <v>0</v>
      </c>
      <c r="X242" s="79">
        <v>25</v>
      </c>
      <c r="Y242" s="79">
        <f>IF($S242 &gt; 0, 100 - $X242 - $Z242, 0)</f>
        <v>75</v>
      </c>
      <c r="Z242" s="73">
        <v>0</v>
      </c>
      <c r="AA242" s="79">
        <v>0</v>
      </c>
      <c r="AB242" s="79">
        <f>IF($T242 &gt; 0, 100 - $AA242 - $AC242, 0)</f>
        <v>0</v>
      </c>
      <c r="AC242" s="73">
        <v>0</v>
      </c>
      <c r="AD242" s="79">
        <v>0</v>
      </c>
      <c r="AE242" s="79">
        <f>IF($U242 &gt; 0, 100 - $AD242 - $AF242, 0)</f>
        <v>0</v>
      </c>
      <c r="AF242" s="73">
        <v>0</v>
      </c>
      <c r="AG242" s="16" t="s">
        <v>43</v>
      </c>
      <c r="AH242" s="16" t="s">
        <v>525</v>
      </c>
      <c r="AJ242" s="22"/>
      <c r="AN242" s="83"/>
      <c r="AO242" s="83"/>
      <c r="AP242" s="83"/>
      <c r="AQ242" s="83"/>
      <c r="AR242" s="83"/>
      <c r="AS242" s="83"/>
      <c r="AT242" s="83"/>
      <c r="AU242" s="83"/>
    </row>
    <row r="243" spans="1:47" s="16" customFormat="1" ht="12">
      <c r="A243" s="16" t="s">
        <v>815</v>
      </c>
      <c r="B243" s="17" t="s">
        <v>816</v>
      </c>
      <c r="C243" s="18" t="s">
        <v>129</v>
      </c>
      <c r="D243" s="18" t="s">
        <v>413</v>
      </c>
      <c r="E243" s="16" t="s">
        <v>311</v>
      </c>
      <c r="G243" s="16" t="s">
        <v>414</v>
      </c>
      <c r="H243" s="16" t="s">
        <v>557</v>
      </c>
      <c r="J243" s="16">
        <v>0</v>
      </c>
      <c r="K243" s="16">
        <v>100</v>
      </c>
      <c r="L243" s="16" t="s">
        <v>38</v>
      </c>
      <c r="M243" s="16" t="s">
        <v>284</v>
      </c>
      <c r="N243" s="16" t="s">
        <v>523</v>
      </c>
      <c r="P243" s="16">
        <v>0</v>
      </c>
      <c r="Q243" s="29" t="s">
        <v>812</v>
      </c>
      <c r="R243" s="89">
        <v>0</v>
      </c>
      <c r="S243" s="89">
        <f>100 - R243 - U243 - T243</f>
        <v>100</v>
      </c>
      <c r="T243" s="89">
        <v>0</v>
      </c>
      <c r="U243" s="89">
        <v>0</v>
      </c>
      <c r="V243" s="89">
        <v>0</v>
      </c>
      <c r="W243" s="90">
        <f>IF($R243 &gt; 0, 100 - $V243, 0)</f>
        <v>0</v>
      </c>
      <c r="X243" s="79">
        <v>25</v>
      </c>
      <c r="Y243" s="79">
        <f>IF($S243 &gt; 0, 100 - $X243 - $Z243, 0)</f>
        <v>75</v>
      </c>
      <c r="Z243" s="73">
        <v>0</v>
      </c>
      <c r="AA243" s="89">
        <v>0</v>
      </c>
      <c r="AB243" s="79">
        <f>IF($T243 &gt; 0, 100 - $AA243 - $AC243, 0)</f>
        <v>0</v>
      </c>
      <c r="AC243" s="90">
        <v>0</v>
      </c>
      <c r="AD243" s="79">
        <v>0</v>
      </c>
      <c r="AE243" s="79">
        <f>IF($U243 &gt; 0, 100 - $AD243 - $AF243, 0)</f>
        <v>0</v>
      </c>
      <c r="AF243" s="90">
        <v>0</v>
      </c>
      <c r="AG243" s="16" t="s">
        <v>43</v>
      </c>
      <c r="AH243" s="16" t="s">
        <v>525</v>
      </c>
      <c r="AJ243" s="22"/>
      <c r="AN243" s="83"/>
      <c r="AO243" s="83"/>
      <c r="AP243" s="83"/>
      <c r="AQ243" s="83"/>
      <c r="AR243" s="83"/>
      <c r="AS243" s="83"/>
      <c r="AT243" s="83"/>
      <c r="AU243" s="83"/>
    </row>
    <row r="244" spans="1:47" s="16" customFormat="1" ht="12">
      <c r="A244" s="16" t="s">
        <v>817</v>
      </c>
      <c r="B244" s="17" t="s">
        <v>818</v>
      </c>
      <c r="C244" s="18" t="s">
        <v>129</v>
      </c>
      <c r="D244" s="18" t="s">
        <v>413</v>
      </c>
      <c r="E244" s="16" t="s">
        <v>311</v>
      </c>
      <c r="G244" s="16" t="s">
        <v>414</v>
      </c>
      <c r="H244" s="16" t="s">
        <v>557</v>
      </c>
      <c r="J244" s="16">
        <v>0</v>
      </c>
      <c r="K244" s="16">
        <v>100</v>
      </c>
      <c r="L244" s="16" t="s">
        <v>38</v>
      </c>
      <c r="M244" s="16" t="s">
        <v>284</v>
      </c>
      <c r="N244" s="16" t="s">
        <v>523</v>
      </c>
      <c r="P244" s="16">
        <v>0</v>
      </c>
      <c r="Q244" s="29" t="s">
        <v>819</v>
      </c>
      <c r="R244" s="89">
        <v>0</v>
      </c>
      <c r="S244" s="89">
        <f>100 - R244 - U244 - T244</f>
        <v>100</v>
      </c>
      <c r="T244" s="89">
        <v>0</v>
      </c>
      <c r="U244" s="89">
        <v>0</v>
      </c>
      <c r="V244" s="89">
        <v>0</v>
      </c>
      <c r="W244" s="90">
        <f>IF($R244 &gt; 0, 100 - $V244, 0)</f>
        <v>0</v>
      </c>
      <c r="X244" s="89">
        <v>50</v>
      </c>
      <c r="Y244" s="79">
        <f>IF($S244 &gt; 0, 100 - $X244 - $Z244, 0)</f>
        <v>50</v>
      </c>
      <c r="Z244" s="90">
        <v>0</v>
      </c>
      <c r="AA244" s="89">
        <v>0</v>
      </c>
      <c r="AB244" s="79">
        <f>IF($T244 &gt; 0, 100 - $AA244 - $AC244, 0)</f>
        <v>0</v>
      </c>
      <c r="AC244" s="90">
        <v>0</v>
      </c>
      <c r="AD244" s="79">
        <v>0</v>
      </c>
      <c r="AE244" s="79">
        <f>IF($U244 &gt; 0, 100 - $AD244 - $AF244, 0)</f>
        <v>0</v>
      </c>
      <c r="AF244" s="90">
        <v>0</v>
      </c>
      <c r="AG244" s="16" t="s">
        <v>43</v>
      </c>
      <c r="AH244" s="16" t="s">
        <v>525</v>
      </c>
      <c r="AJ244" s="22"/>
      <c r="AN244" s="83"/>
      <c r="AO244" s="83"/>
      <c r="AP244" s="83"/>
      <c r="AQ244" s="83"/>
      <c r="AR244" s="83"/>
      <c r="AS244" s="83"/>
      <c r="AT244" s="83"/>
      <c r="AU244" s="83"/>
    </row>
    <row r="245" spans="1:47" s="16" customFormat="1" ht="12">
      <c r="A245" s="16" t="s">
        <v>820</v>
      </c>
      <c r="B245" s="17" t="s">
        <v>821</v>
      </c>
      <c r="C245" s="18" t="s">
        <v>129</v>
      </c>
      <c r="D245" s="18" t="s">
        <v>413</v>
      </c>
      <c r="E245" s="16" t="s">
        <v>311</v>
      </c>
      <c r="G245" s="16" t="s">
        <v>414</v>
      </c>
      <c r="H245" s="16" t="s">
        <v>557</v>
      </c>
      <c r="J245" s="16">
        <v>0</v>
      </c>
      <c r="K245" s="16">
        <v>100</v>
      </c>
      <c r="L245" s="16" t="s">
        <v>38</v>
      </c>
      <c r="M245" s="16" t="s">
        <v>284</v>
      </c>
      <c r="N245" s="16" t="s">
        <v>523</v>
      </c>
      <c r="P245" s="16">
        <v>0</v>
      </c>
      <c r="Q245" s="29" t="s">
        <v>558</v>
      </c>
      <c r="R245" s="89">
        <v>0</v>
      </c>
      <c r="S245" s="89">
        <f>100 - R245 - U245 - T245</f>
        <v>100</v>
      </c>
      <c r="T245" s="89">
        <v>0</v>
      </c>
      <c r="U245" s="89">
        <v>0</v>
      </c>
      <c r="V245" s="89">
        <v>0</v>
      </c>
      <c r="W245" s="90">
        <f>IF($R245 &gt; 0, 100 - $V245, 0)</f>
        <v>0</v>
      </c>
      <c r="X245" s="79">
        <v>50</v>
      </c>
      <c r="Y245" s="79">
        <f>IF($S245 &gt; 0, 100 - $X245 - $Z245, 0)</f>
        <v>50</v>
      </c>
      <c r="Z245" s="73">
        <v>0</v>
      </c>
      <c r="AA245" s="89">
        <v>0</v>
      </c>
      <c r="AB245" s="79">
        <f>IF($T245 &gt; 0, 100 - $AA245 - $AC245, 0)</f>
        <v>0</v>
      </c>
      <c r="AC245" s="90">
        <v>0</v>
      </c>
      <c r="AD245" s="79">
        <v>0</v>
      </c>
      <c r="AE245" s="79">
        <f>IF($U245 &gt; 0, 100 - $AD245 - $AF245, 0)</f>
        <v>0</v>
      </c>
      <c r="AF245" s="90">
        <v>0</v>
      </c>
      <c r="AG245" s="16" t="s">
        <v>43</v>
      </c>
      <c r="AH245" s="16" t="s">
        <v>525</v>
      </c>
      <c r="AJ245" s="70"/>
      <c r="AK245" s="19"/>
      <c r="AN245" s="83"/>
      <c r="AO245" s="83"/>
      <c r="AP245" s="83"/>
      <c r="AQ245" s="83"/>
      <c r="AR245" s="83"/>
      <c r="AS245" s="83"/>
      <c r="AT245" s="83"/>
      <c r="AU245" s="83"/>
    </row>
    <row r="246" spans="1:47" s="16" customFormat="1" ht="12">
      <c r="A246" s="16" t="s">
        <v>822</v>
      </c>
      <c r="B246" s="17" t="s">
        <v>823</v>
      </c>
      <c r="C246" s="18" t="s">
        <v>129</v>
      </c>
      <c r="D246" s="18" t="s">
        <v>413</v>
      </c>
      <c r="E246" s="16" t="s">
        <v>311</v>
      </c>
      <c r="G246" s="16" t="s">
        <v>414</v>
      </c>
      <c r="H246" s="16" t="s">
        <v>522</v>
      </c>
      <c r="J246" s="16">
        <v>0</v>
      </c>
      <c r="K246" s="16">
        <v>100</v>
      </c>
      <c r="L246" s="16" t="s">
        <v>38</v>
      </c>
      <c r="M246" s="16" t="s">
        <v>284</v>
      </c>
      <c r="N246" s="16" t="s">
        <v>523</v>
      </c>
      <c r="P246" s="16">
        <v>0</v>
      </c>
      <c r="Q246" s="29" t="s">
        <v>819</v>
      </c>
      <c r="R246" s="89">
        <v>0</v>
      </c>
      <c r="S246" s="89">
        <f>100 - R246 - U246 - T246</f>
        <v>100</v>
      </c>
      <c r="T246" s="89">
        <v>0</v>
      </c>
      <c r="U246" s="89">
        <v>0</v>
      </c>
      <c r="V246" s="89">
        <v>0</v>
      </c>
      <c r="W246" s="90">
        <f>IF($R246 &gt; 0, 100 - $V246, 0)</f>
        <v>0</v>
      </c>
      <c r="X246" s="79">
        <v>60</v>
      </c>
      <c r="Y246" s="79">
        <f>IF($S246 &gt; 0, 100 - $X246 - $Z246, 0)</f>
        <v>40</v>
      </c>
      <c r="Z246" s="73">
        <v>0</v>
      </c>
      <c r="AA246" s="89">
        <v>0</v>
      </c>
      <c r="AB246" s="79">
        <f>IF($T246 &gt; 0, 100 - $AA246 - $AC246, 0)</f>
        <v>0</v>
      </c>
      <c r="AC246" s="90">
        <v>0</v>
      </c>
      <c r="AD246" s="79">
        <v>0</v>
      </c>
      <c r="AE246" s="79">
        <f>IF($U246 &gt; 0, 100 - $AD246 - $AF246, 0)</f>
        <v>0</v>
      </c>
      <c r="AF246" s="90">
        <v>0</v>
      </c>
      <c r="AG246" s="16" t="s">
        <v>43</v>
      </c>
      <c r="AH246" s="16" t="s">
        <v>525</v>
      </c>
      <c r="AJ246" s="70"/>
      <c r="AK246" s="19"/>
      <c r="AN246" s="83"/>
      <c r="AO246" s="83"/>
      <c r="AP246" s="83"/>
      <c r="AQ246" s="83"/>
      <c r="AR246" s="83"/>
      <c r="AS246" s="83"/>
      <c r="AT246" s="83"/>
      <c r="AU246" s="83"/>
    </row>
    <row r="247" spans="1:47" s="16" customFormat="1" ht="12">
      <c r="A247" s="16" t="s">
        <v>824</v>
      </c>
      <c r="B247" s="17" t="s">
        <v>825</v>
      </c>
      <c r="C247" s="18" t="s">
        <v>129</v>
      </c>
      <c r="D247" s="18" t="s">
        <v>413</v>
      </c>
      <c r="E247" s="16" t="s">
        <v>311</v>
      </c>
      <c r="G247" s="16" t="s">
        <v>414</v>
      </c>
      <c r="H247" s="16" t="s">
        <v>522</v>
      </c>
      <c r="J247" s="16">
        <v>0</v>
      </c>
      <c r="K247" s="16">
        <v>100</v>
      </c>
      <c r="L247" s="16" t="s">
        <v>38</v>
      </c>
      <c r="M247" s="16" t="s">
        <v>284</v>
      </c>
      <c r="N247" s="16" t="s">
        <v>523</v>
      </c>
      <c r="P247" s="16">
        <v>0</v>
      </c>
      <c r="Q247" s="29" t="s">
        <v>558</v>
      </c>
      <c r="R247" s="89">
        <v>0</v>
      </c>
      <c r="S247" s="89">
        <f>100 - R247 - U247 - T247</f>
        <v>100</v>
      </c>
      <c r="T247" s="89">
        <v>0</v>
      </c>
      <c r="U247" s="89">
        <v>0</v>
      </c>
      <c r="V247" s="89">
        <v>0</v>
      </c>
      <c r="W247" s="90">
        <f>IF($R247 &gt; 0, 100 - $V247, 0)</f>
        <v>0</v>
      </c>
      <c r="X247" s="79">
        <v>60</v>
      </c>
      <c r="Y247" s="79">
        <f>IF($S247 &gt; 0, 100 - $X247 - $Z247, 0)</f>
        <v>40</v>
      </c>
      <c r="Z247" s="73">
        <v>0</v>
      </c>
      <c r="AA247" s="79">
        <v>0</v>
      </c>
      <c r="AB247" s="79">
        <f>IF($T247 &gt; 0, 100 - $AA247 - $AC247, 0)</f>
        <v>0</v>
      </c>
      <c r="AC247" s="73">
        <v>0</v>
      </c>
      <c r="AD247" s="79">
        <v>0</v>
      </c>
      <c r="AE247" s="79">
        <f>IF($U247 &gt; 0, 100 - $AD247 - $AF247, 0)</f>
        <v>0</v>
      </c>
      <c r="AF247" s="73">
        <v>0</v>
      </c>
      <c r="AG247" s="16" t="s">
        <v>43</v>
      </c>
      <c r="AH247" s="16" t="s">
        <v>525</v>
      </c>
      <c r="AJ247" s="70"/>
      <c r="AK247" s="19"/>
      <c r="AN247" s="83"/>
      <c r="AO247" s="83"/>
      <c r="AP247" s="83"/>
      <c r="AQ247" s="83"/>
      <c r="AR247" s="83"/>
      <c r="AS247" s="83"/>
      <c r="AT247" s="83"/>
      <c r="AU247" s="83"/>
    </row>
    <row r="248" spans="1:47" s="16" customFormat="1" ht="12">
      <c r="A248" s="16" t="s">
        <v>826</v>
      </c>
      <c r="B248" s="17" t="s">
        <v>827</v>
      </c>
      <c r="C248" s="18" t="s">
        <v>129</v>
      </c>
      <c r="D248" s="18" t="s">
        <v>413</v>
      </c>
      <c r="E248" s="16" t="s">
        <v>311</v>
      </c>
      <c r="G248" s="16" t="s">
        <v>414</v>
      </c>
      <c r="H248" s="16" t="s">
        <v>557</v>
      </c>
      <c r="J248" s="16">
        <v>0</v>
      </c>
      <c r="K248" s="16">
        <v>100</v>
      </c>
      <c r="L248" s="16" t="s">
        <v>38</v>
      </c>
      <c r="M248" s="16" t="s">
        <v>284</v>
      </c>
      <c r="N248" s="16" t="s">
        <v>523</v>
      </c>
      <c r="P248" s="16">
        <v>0</v>
      </c>
      <c r="Q248" s="29" t="s">
        <v>819</v>
      </c>
      <c r="R248" s="89">
        <v>0</v>
      </c>
      <c r="S248" s="89">
        <f>100 - R248 - U248 - T248</f>
        <v>100</v>
      </c>
      <c r="T248" s="89">
        <v>0</v>
      </c>
      <c r="U248" s="89">
        <v>0</v>
      </c>
      <c r="V248" s="89">
        <v>0</v>
      </c>
      <c r="W248" s="90">
        <f>IF($R248 &gt; 0, 100 - $V248, 0)</f>
        <v>0</v>
      </c>
      <c r="X248" s="79">
        <v>75</v>
      </c>
      <c r="Y248" s="79">
        <f>IF($S248 &gt; 0, 100 - $X248 - $Z248, 0)</f>
        <v>25</v>
      </c>
      <c r="Z248" s="73">
        <v>0</v>
      </c>
      <c r="AA248" s="79">
        <v>0</v>
      </c>
      <c r="AB248" s="79">
        <f>IF($T248 &gt; 0, 100 - $AA248 - $AC248, 0)</f>
        <v>0</v>
      </c>
      <c r="AC248" s="73">
        <v>0</v>
      </c>
      <c r="AD248" s="79">
        <v>0</v>
      </c>
      <c r="AE248" s="79">
        <f>IF($U248 &gt; 0, 100 - $AD248 - $AF248, 0)</f>
        <v>0</v>
      </c>
      <c r="AF248" s="73">
        <v>0</v>
      </c>
      <c r="AG248" s="16" t="s">
        <v>43</v>
      </c>
      <c r="AH248" s="16" t="s">
        <v>525</v>
      </c>
      <c r="AJ248" s="70"/>
      <c r="AK248" s="19"/>
      <c r="AN248" s="83"/>
      <c r="AO248" s="83"/>
      <c r="AP248" s="83"/>
      <c r="AQ248" s="83"/>
      <c r="AR248" s="83"/>
      <c r="AS248" s="83"/>
      <c r="AT248" s="83"/>
      <c r="AU248" s="83"/>
    </row>
    <row r="249" spans="1:47" s="16" customFormat="1" ht="12">
      <c r="A249" s="16" t="s">
        <v>828</v>
      </c>
      <c r="B249" s="17" t="s">
        <v>829</v>
      </c>
      <c r="C249" s="18" t="s">
        <v>129</v>
      </c>
      <c r="D249" s="18" t="s">
        <v>413</v>
      </c>
      <c r="E249" s="16" t="s">
        <v>311</v>
      </c>
      <c r="G249" s="16" t="s">
        <v>414</v>
      </c>
      <c r="H249" s="16" t="s">
        <v>557</v>
      </c>
      <c r="J249" s="16">
        <v>0</v>
      </c>
      <c r="K249" s="16">
        <v>100</v>
      </c>
      <c r="L249" s="16" t="s">
        <v>38</v>
      </c>
      <c r="M249" s="16" t="s">
        <v>284</v>
      </c>
      <c r="N249" s="16" t="s">
        <v>523</v>
      </c>
      <c r="P249" s="16">
        <v>0</v>
      </c>
      <c r="Q249" s="29" t="s">
        <v>558</v>
      </c>
      <c r="R249" s="89">
        <v>0</v>
      </c>
      <c r="S249" s="89">
        <f>100 - R249 - U249 - T249</f>
        <v>100</v>
      </c>
      <c r="T249" s="89">
        <v>0</v>
      </c>
      <c r="U249" s="89">
        <v>0</v>
      </c>
      <c r="V249" s="89">
        <v>0</v>
      </c>
      <c r="W249" s="90">
        <f>IF($R249 &gt; 0, 100 - $V249, 0)</f>
        <v>0</v>
      </c>
      <c r="X249" s="79">
        <v>75</v>
      </c>
      <c r="Y249" s="79">
        <f>IF($S249 &gt; 0, 100 - $X249 - $Z249, 0)</f>
        <v>25</v>
      </c>
      <c r="Z249" s="73">
        <v>0</v>
      </c>
      <c r="AA249" s="79">
        <v>0</v>
      </c>
      <c r="AB249" s="79">
        <f>IF($T249 &gt; 0, 100 - $AA249 - $AC249, 0)</f>
        <v>0</v>
      </c>
      <c r="AC249" s="73">
        <v>0</v>
      </c>
      <c r="AD249" s="79">
        <v>0</v>
      </c>
      <c r="AE249" s="79">
        <f>IF($U249 &gt; 0, 100 - $AD249 - $AF249, 0)</f>
        <v>0</v>
      </c>
      <c r="AF249" s="73">
        <v>0</v>
      </c>
      <c r="AG249" s="16" t="s">
        <v>43</v>
      </c>
      <c r="AH249" s="16" t="s">
        <v>525</v>
      </c>
      <c r="AJ249" s="70"/>
      <c r="AK249" s="19"/>
      <c r="AN249" s="83"/>
      <c r="AO249" s="83"/>
      <c r="AP249" s="83"/>
      <c r="AQ249" s="83"/>
      <c r="AR249" s="83"/>
      <c r="AS249" s="83"/>
      <c r="AT249" s="83"/>
      <c r="AU249" s="83"/>
    </row>
    <row r="250" spans="1:47" s="16" customFormat="1" ht="12">
      <c r="A250" s="16" t="s">
        <v>830</v>
      </c>
      <c r="B250" s="17" t="s">
        <v>831</v>
      </c>
      <c r="C250" s="18" t="s">
        <v>129</v>
      </c>
      <c r="D250" s="18" t="s">
        <v>413</v>
      </c>
      <c r="E250" s="16" t="s">
        <v>311</v>
      </c>
      <c r="G250" s="16" t="s">
        <v>414</v>
      </c>
      <c r="H250" s="16" t="s">
        <v>624</v>
      </c>
      <c r="J250" s="16">
        <v>0</v>
      </c>
      <c r="K250" s="16">
        <v>100</v>
      </c>
      <c r="L250" s="16" t="s">
        <v>38</v>
      </c>
      <c r="M250" s="16" t="s">
        <v>284</v>
      </c>
      <c r="N250" s="16" t="s">
        <v>523</v>
      </c>
      <c r="P250" s="16">
        <v>0</v>
      </c>
      <c r="Q250" s="29" t="s">
        <v>524</v>
      </c>
      <c r="R250" s="89">
        <v>0</v>
      </c>
      <c r="S250" s="89">
        <f>100 - R250 - U250 - T250</f>
        <v>100</v>
      </c>
      <c r="T250" s="89">
        <v>0</v>
      </c>
      <c r="U250" s="89">
        <v>0</v>
      </c>
      <c r="V250" s="89">
        <v>0</v>
      </c>
      <c r="W250" s="90">
        <f>IF($R250 &gt; 0, 100 - $V250, 0)</f>
        <v>0</v>
      </c>
      <c r="X250" s="79">
        <v>57</v>
      </c>
      <c r="Y250" s="79">
        <f>IF($S250 &gt; 0, 100 - $X250 - $Z250, 0)</f>
        <v>38</v>
      </c>
      <c r="Z250" s="73">
        <v>5</v>
      </c>
      <c r="AA250" s="79">
        <v>0</v>
      </c>
      <c r="AB250" s="79">
        <f>IF($T250 &gt; 0, 100 - $AA250 - $AC250, 0)</f>
        <v>0</v>
      </c>
      <c r="AC250" s="73">
        <v>0</v>
      </c>
      <c r="AD250" s="79">
        <v>0</v>
      </c>
      <c r="AE250" s="79">
        <f>IF($U250 &gt; 0, 100 - $AD250 - $AF250, 0)</f>
        <v>0</v>
      </c>
      <c r="AF250" s="73">
        <v>0</v>
      </c>
      <c r="AG250" s="16" t="s">
        <v>43</v>
      </c>
      <c r="AH250" s="16" t="s">
        <v>525</v>
      </c>
      <c r="AI250" s="22"/>
      <c r="AJ250" s="22"/>
      <c r="AN250" s="83"/>
      <c r="AO250" s="83"/>
      <c r="AP250" s="83"/>
      <c r="AQ250" s="83"/>
      <c r="AR250" s="83"/>
      <c r="AS250" s="83"/>
      <c r="AT250" s="83"/>
      <c r="AU250" s="83"/>
    </row>
    <row r="251" spans="1:47" s="16" customFormat="1" ht="12">
      <c r="A251" s="16" t="s">
        <v>832</v>
      </c>
      <c r="B251" s="17" t="s">
        <v>833</v>
      </c>
      <c r="C251" s="18" t="s">
        <v>129</v>
      </c>
      <c r="D251" s="18" t="s">
        <v>413</v>
      </c>
      <c r="E251" s="16" t="s">
        <v>311</v>
      </c>
      <c r="G251" s="16" t="s">
        <v>414</v>
      </c>
      <c r="H251" s="16" t="s">
        <v>624</v>
      </c>
      <c r="J251" s="16">
        <v>0</v>
      </c>
      <c r="K251" s="16">
        <v>45</v>
      </c>
      <c r="L251" s="16" t="s">
        <v>38</v>
      </c>
      <c r="M251" s="16" t="s">
        <v>39</v>
      </c>
      <c r="N251" s="16" t="s">
        <v>523</v>
      </c>
      <c r="P251" s="16">
        <v>0</v>
      </c>
      <c r="Q251" s="29" t="s">
        <v>528</v>
      </c>
      <c r="R251" s="89">
        <v>0</v>
      </c>
      <c r="S251" s="89">
        <f>100 - R251 - U251 - T251</f>
        <v>100</v>
      </c>
      <c r="T251" s="89">
        <v>0</v>
      </c>
      <c r="U251" s="89">
        <v>0</v>
      </c>
      <c r="V251" s="89">
        <v>0</v>
      </c>
      <c r="W251" s="90">
        <f>IF($R251 &gt; 0, 100 - $V251, 0)</f>
        <v>0</v>
      </c>
      <c r="X251" s="79">
        <v>57</v>
      </c>
      <c r="Y251" s="79">
        <f>IF($S251 &gt; 0, 100 - $X251 - $Z251, 0)</f>
        <v>38</v>
      </c>
      <c r="Z251" s="73">
        <v>5</v>
      </c>
      <c r="AA251" s="79">
        <v>0</v>
      </c>
      <c r="AB251" s="79">
        <f>IF($T251 &gt; 0, 100 - $AA251 - $AC251, 0)</f>
        <v>0</v>
      </c>
      <c r="AC251" s="73">
        <v>0</v>
      </c>
      <c r="AD251" s="79">
        <v>0</v>
      </c>
      <c r="AE251" s="79">
        <f>IF($U251 &gt; 0, 100 - $AD251 - $AF251, 0)</f>
        <v>0</v>
      </c>
      <c r="AF251" s="73">
        <v>0</v>
      </c>
      <c r="AG251" s="16" t="s">
        <v>43</v>
      </c>
      <c r="AH251" s="16" t="s">
        <v>525</v>
      </c>
      <c r="AI251" s="22"/>
      <c r="AJ251" s="22"/>
      <c r="AN251" s="83"/>
      <c r="AO251" s="83"/>
      <c r="AP251" s="83"/>
      <c r="AQ251" s="83"/>
      <c r="AR251" s="83"/>
      <c r="AS251" s="83"/>
      <c r="AT251" s="83"/>
      <c r="AU251" s="83"/>
    </row>
    <row r="252" spans="1:47" s="16" customFormat="1" ht="12">
      <c r="A252" s="16" t="s">
        <v>834</v>
      </c>
      <c r="B252" s="17" t="s">
        <v>835</v>
      </c>
      <c r="C252" s="18" t="s">
        <v>129</v>
      </c>
      <c r="D252" s="18" t="s">
        <v>413</v>
      </c>
      <c r="E252" s="16" t="s">
        <v>311</v>
      </c>
      <c r="G252" s="16" t="s">
        <v>414</v>
      </c>
      <c r="H252" s="16" t="s">
        <v>522</v>
      </c>
      <c r="J252" s="16">
        <v>0</v>
      </c>
      <c r="K252" s="16">
        <v>100</v>
      </c>
      <c r="L252" s="16" t="s">
        <v>38</v>
      </c>
      <c r="M252" s="16" t="s">
        <v>284</v>
      </c>
      <c r="N252" s="16" t="s">
        <v>523</v>
      </c>
      <c r="P252" s="16">
        <v>0</v>
      </c>
      <c r="Q252" s="29" t="s">
        <v>524</v>
      </c>
      <c r="R252" s="89">
        <v>0</v>
      </c>
      <c r="S252" s="89">
        <f>100 - R252 - U252 - T252</f>
        <v>100</v>
      </c>
      <c r="T252" s="89">
        <v>0</v>
      </c>
      <c r="U252" s="89">
        <v>0</v>
      </c>
      <c r="V252" s="89">
        <v>0</v>
      </c>
      <c r="W252" s="90">
        <f>IF($R252 &gt; 0, 100 - $V252, 0)</f>
        <v>0</v>
      </c>
      <c r="X252" s="79">
        <v>47.5</v>
      </c>
      <c r="Y252" s="79">
        <f>IF($S252 &gt; 0, 100 - $X252 - $Z252, 0)</f>
        <v>47.5</v>
      </c>
      <c r="Z252" s="73">
        <v>5</v>
      </c>
      <c r="AA252" s="79">
        <v>0</v>
      </c>
      <c r="AB252" s="79">
        <f>IF($T252 &gt; 0, 100 - $AA252 - $AC252, 0)</f>
        <v>0</v>
      </c>
      <c r="AC252" s="73">
        <v>0</v>
      </c>
      <c r="AD252" s="79">
        <v>0</v>
      </c>
      <c r="AE252" s="79">
        <f>IF($U252 &gt; 0, 100 - $AD252 - $AF252, 0)</f>
        <v>0</v>
      </c>
      <c r="AF252" s="73">
        <v>0</v>
      </c>
      <c r="AG252" s="16" t="s">
        <v>43</v>
      </c>
      <c r="AH252" s="16" t="s">
        <v>525</v>
      </c>
      <c r="AI252" s="22"/>
      <c r="AJ252" s="22"/>
      <c r="AN252" s="83"/>
      <c r="AO252" s="83"/>
      <c r="AP252" s="83"/>
      <c r="AQ252" s="83"/>
      <c r="AR252" s="83"/>
      <c r="AS252" s="83"/>
      <c r="AT252" s="83"/>
      <c r="AU252" s="83"/>
    </row>
    <row r="253" spans="1:47" s="16" customFormat="1" ht="12">
      <c r="A253" s="16" t="s">
        <v>836</v>
      </c>
      <c r="B253" s="17" t="s">
        <v>837</v>
      </c>
      <c r="C253" s="18" t="s">
        <v>129</v>
      </c>
      <c r="D253" s="18" t="s">
        <v>413</v>
      </c>
      <c r="E253" s="16" t="s">
        <v>311</v>
      </c>
      <c r="G253" s="16" t="s">
        <v>414</v>
      </c>
      <c r="H253" s="16" t="s">
        <v>522</v>
      </c>
      <c r="J253" s="16">
        <v>0</v>
      </c>
      <c r="K253" s="16">
        <v>45</v>
      </c>
      <c r="L253" s="16" t="s">
        <v>38</v>
      </c>
      <c r="M253" s="16" t="s">
        <v>39</v>
      </c>
      <c r="N253" s="16" t="s">
        <v>523</v>
      </c>
      <c r="P253" s="16">
        <v>0</v>
      </c>
      <c r="Q253" s="29" t="s">
        <v>541</v>
      </c>
      <c r="R253" s="89">
        <v>0</v>
      </c>
      <c r="S253" s="89">
        <f>100 - R253 - U253 - T253</f>
        <v>100</v>
      </c>
      <c r="T253" s="89">
        <v>0</v>
      </c>
      <c r="U253" s="89">
        <v>0</v>
      </c>
      <c r="V253" s="89">
        <v>0</v>
      </c>
      <c r="W253" s="90">
        <f>IF($R253 &gt; 0, 100 - $V253, 0)</f>
        <v>0</v>
      </c>
      <c r="X253" s="79">
        <v>47.5</v>
      </c>
      <c r="Y253" s="79">
        <f>IF($S253 &gt; 0, 100 - $X253 - $Z253, 0)</f>
        <v>47.5</v>
      </c>
      <c r="Z253" s="73">
        <v>5</v>
      </c>
      <c r="AA253" s="79">
        <v>0</v>
      </c>
      <c r="AB253" s="79">
        <f>IF($T253 &gt; 0, 100 - $AA253 - $AC253, 0)</f>
        <v>0</v>
      </c>
      <c r="AC253" s="73">
        <v>0</v>
      </c>
      <c r="AD253" s="79">
        <v>0</v>
      </c>
      <c r="AE253" s="79">
        <f>IF($U253 &gt; 0, 100 - $AD253 - $AF253, 0)</f>
        <v>0</v>
      </c>
      <c r="AF253" s="73">
        <v>0</v>
      </c>
      <c r="AG253" s="16" t="s">
        <v>43</v>
      </c>
      <c r="AH253" s="16" t="s">
        <v>525</v>
      </c>
      <c r="AI253" s="22"/>
      <c r="AJ253" s="22"/>
      <c r="AN253" s="83"/>
      <c r="AO253" s="83"/>
      <c r="AP253" s="83"/>
      <c r="AQ253" s="83"/>
      <c r="AR253" s="83"/>
      <c r="AS253" s="83"/>
      <c r="AT253" s="83"/>
      <c r="AU253" s="83"/>
    </row>
    <row r="254" spans="1:47" s="16" customFormat="1" ht="12">
      <c r="A254" s="16" t="s">
        <v>838</v>
      </c>
      <c r="B254" s="17" t="s">
        <v>839</v>
      </c>
      <c r="C254" s="18" t="s">
        <v>129</v>
      </c>
      <c r="D254" s="18" t="s">
        <v>413</v>
      </c>
      <c r="E254" s="16" t="s">
        <v>311</v>
      </c>
      <c r="G254" s="16" t="s">
        <v>414</v>
      </c>
      <c r="H254" s="16" t="s">
        <v>557</v>
      </c>
      <c r="J254" s="16">
        <v>0</v>
      </c>
      <c r="K254" s="16">
        <v>100</v>
      </c>
      <c r="L254" s="16" t="s">
        <v>38</v>
      </c>
      <c r="M254" s="16" t="s">
        <v>284</v>
      </c>
      <c r="N254" s="16" t="s">
        <v>523</v>
      </c>
      <c r="P254" s="16">
        <v>0</v>
      </c>
      <c r="Q254" s="29" t="s">
        <v>524</v>
      </c>
      <c r="R254" s="89">
        <v>0</v>
      </c>
      <c r="S254" s="89">
        <f>100 - R254 - U254 - T254</f>
        <v>100</v>
      </c>
      <c r="T254" s="89">
        <v>0</v>
      </c>
      <c r="U254" s="89">
        <v>0</v>
      </c>
      <c r="V254" s="89">
        <v>0</v>
      </c>
      <c r="W254" s="90">
        <f>IF($R254 &gt; 0, 100 - $V254, 0)</f>
        <v>0</v>
      </c>
      <c r="X254" s="79">
        <v>58.5</v>
      </c>
      <c r="Y254" s="79">
        <f>IF($S254 &gt; 0, 100 - $X254 - $Z254, 0)</f>
        <v>39</v>
      </c>
      <c r="Z254" s="73">
        <v>2.5</v>
      </c>
      <c r="AA254" s="89">
        <v>0</v>
      </c>
      <c r="AB254" s="79">
        <f>IF($T254 &gt; 0, 100 - $AA254 - $AC254, 0)</f>
        <v>0</v>
      </c>
      <c r="AC254" s="89">
        <v>0</v>
      </c>
      <c r="AD254" s="79">
        <v>0</v>
      </c>
      <c r="AE254" s="79">
        <f>IF($U254 &gt; 0, 100 - $AD254 - $AF254, 0)</f>
        <v>0</v>
      </c>
      <c r="AF254" s="90">
        <v>0</v>
      </c>
      <c r="AG254" s="16" t="s">
        <v>43</v>
      </c>
      <c r="AH254" s="16" t="s">
        <v>525</v>
      </c>
      <c r="AI254" s="22"/>
      <c r="AJ254" s="22"/>
      <c r="AN254" s="83"/>
      <c r="AO254" s="83"/>
      <c r="AP254" s="83"/>
      <c r="AQ254" s="83"/>
      <c r="AR254" s="83"/>
      <c r="AS254" s="83"/>
      <c r="AT254" s="83"/>
      <c r="AU254" s="83"/>
    </row>
    <row r="255" spans="1:47" s="16" customFormat="1" ht="12">
      <c r="A255" s="16" t="s">
        <v>840</v>
      </c>
      <c r="B255" s="17" t="s">
        <v>841</v>
      </c>
      <c r="C255" s="18" t="s">
        <v>129</v>
      </c>
      <c r="D255" s="18" t="s">
        <v>413</v>
      </c>
      <c r="E255" s="16" t="s">
        <v>311</v>
      </c>
      <c r="G255" s="16" t="s">
        <v>414</v>
      </c>
      <c r="H255" s="16" t="s">
        <v>557</v>
      </c>
      <c r="J255" s="16">
        <v>0</v>
      </c>
      <c r="K255" s="16">
        <v>45</v>
      </c>
      <c r="L255" s="16" t="s">
        <v>38</v>
      </c>
      <c r="M255" s="16" t="s">
        <v>39</v>
      </c>
      <c r="N255" s="16" t="s">
        <v>523</v>
      </c>
      <c r="P255" s="16">
        <v>0</v>
      </c>
      <c r="Q255" s="29" t="s">
        <v>524</v>
      </c>
      <c r="R255" s="89">
        <v>0</v>
      </c>
      <c r="S255" s="89">
        <f>100 - R255 - U255 - T255</f>
        <v>100</v>
      </c>
      <c r="T255" s="89">
        <v>0</v>
      </c>
      <c r="U255" s="89">
        <v>0</v>
      </c>
      <c r="V255" s="89">
        <v>0</v>
      </c>
      <c r="W255" s="90">
        <f>IF($R255 &gt; 0, 100 - $V255, 0)</f>
        <v>0</v>
      </c>
      <c r="X255" s="79">
        <v>58.5</v>
      </c>
      <c r="Y255" s="79">
        <f>IF($S255 &gt; 0, 100 - $X255 - $Z255, 0)</f>
        <v>39</v>
      </c>
      <c r="Z255" s="73">
        <v>2.5</v>
      </c>
      <c r="AA255" s="79">
        <v>0</v>
      </c>
      <c r="AB255" s="79">
        <f>IF($T255 &gt; 0, 100 - $AA255 - $AC255, 0)</f>
        <v>0</v>
      </c>
      <c r="AC255" s="79">
        <v>0</v>
      </c>
      <c r="AD255" s="79">
        <v>0</v>
      </c>
      <c r="AE255" s="79">
        <f>IF($U255 &gt; 0, 100 - $AD255 - $AF255, 0)</f>
        <v>0</v>
      </c>
      <c r="AF255" s="73">
        <v>0</v>
      </c>
      <c r="AG255" s="16" t="s">
        <v>43</v>
      </c>
      <c r="AH255" s="16" t="s">
        <v>525</v>
      </c>
      <c r="AI255" s="22"/>
      <c r="AJ255" s="22"/>
      <c r="AN255" s="83"/>
      <c r="AO255" s="83"/>
      <c r="AP255" s="83"/>
      <c r="AQ255" s="83"/>
      <c r="AR255" s="83"/>
      <c r="AS255" s="83"/>
      <c r="AT255" s="83"/>
      <c r="AU255" s="83"/>
    </row>
    <row r="256" spans="1:47" s="16" customFormat="1" ht="12">
      <c r="A256" s="16" t="s">
        <v>842</v>
      </c>
      <c r="B256" s="17" t="s">
        <v>843</v>
      </c>
      <c r="C256" s="18" t="s">
        <v>129</v>
      </c>
      <c r="D256" s="18" t="s">
        <v>413</v>
      </c>
      <c r="E256" s="16" t="s">
        <v>311</v>
      </c>
      <c r="G256" s="16" t="s">
        <v>414</v>
      </c>
      <c r="H256" s="16" t="s">
        <v>522</v>
      </c>
      <c r="J256" s="16">
        <v>0</v>
      </c>
      <c r="K256" s="16">
        <v>100</v>
      </c>
      <c r="L256" s="16" t="s">
        <v>38</v>
      </c>
      <c r="M256" s="16" t="s">
        <v>284</v>
      </c>
      <c r="N256" s="16" t="s">
        <v>523</v>
      </c>
      <c r="P256" s="16">
        <v>0</v>
      </c>
      <c r="Q256" s="29" t="s">
        <v>524</v>
      </c>
      <c r="R256" s="89">
        <v>0</v>
      </c>
      <c r="S256" s="89">
        <f>100 - R256 - U256 - T256</f>
        <v>100</v>
      </c>
      <c r="T256" s="89">
        <v>0</v>
      </c>
      <c r="U256" s="89">
        <v>0</v>
      </c>
      <c r="V256" s="89">
        <v>0</v>
      </c>
      <c r="W256" s="90">
        <f>IF($R256 &gt; 0, 100 - $V256, 0)</f>
        <v>0</v>
      </c>
      <c r="X256" s="79">
        <v>28.5</v>
      </c>
      <c r="Y256" s="79">
        <f>IF($S256 &gt; 0, 100 - $X256 - $Z256, 0)</f>
        <v>66.5</v>
      </c>
      <c r="Z256" s="73">
        <v>5</v>
      </c>
      <c r="AA256" s="79">
        <v>0</v>
      </c>
      <c r="AB256" s="79">
        <f>IF($T256 &gt; 0, 100 - $AA256 - $AC256, 0)</f>
        <v>0</v>
      </c>
      <c r="AC256" s="79">
        <v>0</v>
      </c>
      <c r="AD256" s="79">
        <v>0</v>
      </c>
      <c r="AE256" s="79">
        <f>IF($U256 &gt; 0, 100 - $AD256 - $AF256, 0)</f>
        <v>0</v>
      </c>
      <c r="AF256" s="73">
        <v>0</v>
      </c>
      <c r="AG256" s="16" t="s">
        <v>43</v>
      </c>
      <c r="AH256" s="16" t="s">
        <v>525</v>
      </c>
      <c r="AI256" s="22"/>
      <c r="AJ256" s="22"/>
      <c r="AN256" s="83"/>
      <c r="AO256" s="83"/>
      <c r="AP256" s="83"/>
      <c r="AQ256" s="83"/>
      <c r="AR256" s="83"/>
      <c r="AS256" s="83"/>
      <c r="AT256" s="83"/>
      <c r="AU256" s="83"/>
    </row>
    <row r="257" spans="1:47" s="16" customFormat="1" ht="12">
      <c r="A257" s="16" t="s">
        <v>844</v>
      </c>
      <c r="B257" s="17" t="s">
        <v>845</v>
      </c>
      <c r="C257" s="18" t="s">
        <v>129</v>
      </c>
      <c r="D257" s="18" t="s">
        <v>413</v>
      </c>
      <c r="E257" s="16" t="s">
        <v>311</v>
      </c>
      <c r="G257" s="16" t="s">
        <v>414</v>
      </c>
      <c r="H257" s="16" t="s">
        <v>522</v>
      </c>
      <c r="J257" s="16">
        <v>0</v>
      </c>
      <c r="K257" s="16">
        <v>45</v>
      </c>
      <c r="L257" s="16" t="s">
        <v>38</v>
      </c>
      <c r="M257" s="16" t="s">
        <v>39</v>
      </c>
      <c r="N257" s="16" t="s">
        <v>523</v>
      </c>
      <c r="P257" s="16">
        <v>0</v>
      </c>
      <c r="Q257" s="29" t="s">
        <v>541</v>
      </c>
      <c r="R257" s="89">
        <v>0</v>
      </c>
      <c r="S257" s="89">
        <f>100 - R257 - U257 - T257</f>
        <v>100</v>
      </c>
      <c r="T257" s="89">
        <v>0</v>
      </c>
      <c r="U257" s="89">
        <v>0</v>
      </c>
      <c r="V257" s="89">
        <v>0</v>
      </c>
      <c r="W257" s="90">
        <f>IF($R257 &gt; 0, 100 - $V257, 0)</f>
        <v>0</v>
      </c>
      <c r="X257" s="79">
        <v>28.5</v>
      </c>
      <c r="Y257" s="79">
        <f>IF($S257 &gt; 0, 100 - $X257 - $Z257, 0)</f>
        <v>66.5</v>
      </c>
      <c r="Z257" s="73">
        <v>5</v>
      </c>
      <c r="AA257" s="79">
        <v>0</v>
      </c>
      <c r="AB257" s="79">
        <f>IF($T257 &gt; 0, 100 - $AA257 - $AC257, 0)</f>
        <v>0</v>
      </c>
      <c r="AC257" s="79">
        <v>0</v>
      </c>
      <c r="AD257" s="79">
        <v>0</v>
      </c>
      <c r="AE257" s="79">
        <f>IF($U257 &gt; 0, 100 - $AD257 - $AF257, 0)</f>
        <v>0</v>
      </c>
      <c r="AF257" s="73">
        <v>0</v>
      </c>
      <c r="AG257" s="16" t="s">
        <v>43</v>
      </c>
      <c r="AH257" s="16" t="s">
        <v>525</v>
      </c>
      <c r="AI257" s="22"/>
      <c r="AJ257" s="22"/>
      <c r="AN257" s="83"/>
      <c r="AO257" s="83"/>
      <c r="AP257" s="83"/>
      <c r="AQ257" s="83"/>
      <c r="AR257" s="83"/>
      <c r="AS257" s="83"/>
      <c r="AT257" s="83"/>
      <c r="AU257" s="83"/>
    </row>
    <row r="258" spans="1:47" s="16" customFormat="1" ht="12">
      <c r="A258" s="16" t="s">
        <v>846</v>
      </c>
      <c r="B258" s="17" t="s">
        <v>847</v>
      </c>
      <c r="C258" s="18" t="s">
        <v>129</v>
      </c>
      <c r="D258" s="18" t="s">
        <v>413</v>
      </c>
      <c r="E258" s="16" t="s">
        <v>311</v>
      </c>
      <c r="G258" s="16" t="s">
        <v>414</v>
      </c>
      <c r="H258" s="16" t="s">
        <v>848</v>
      </c>
      <c r="J258" s="16">
        <v>0</v>
      </c>
      <c r="K258" s="16">
        <v>100</v>
      </c>
      <c r="L258" s="16" t="s">
        <v>38</v>
      </c>
      <c r="M258" s="16" t="s">
        <v>284</v>
      </c>
      <c r="N258" s="16" t="s">
        <v>523</v>
      </c>
      <c r="P258" s="16">
        <v>0</v>
      </c>
      <c r="Q258" s="29" t="s">
        <v>524</v>
      </c>
      <c r="R258" s="89">
        <v>0</v>
      </c>
      <c r="S258" s="89">
        <f>100 - R258 - U258 - T258</f>
        <v>100</v>
      </c>
      <c r="T258" s="89">
        <v>0</v>
      </c>
      <c r="U258" s="89">
        <v>0</v>
      </c>
      <c r="V258" s="89">
        <v>0</v>
      </c>
      <c r="W258" s="90">
        <f>IF($R258 &gt; 0, 100 - $V258, 0)</f>
        <v>0</v>
      </c>
      <c r="X258" s="79">
        <v>19</v>
      </c>
      <c r="Y258" s="79">
        <f>IF($S258 &gt; 0, 100 - $X258 - $Z258, 0)</f>
        <v>76</v>
      </c>
      <c r="Z258" s="73">
        <v>5</v>
      </c>
      <c r="AA258" s="79">
        <v>0</v>
      </c>
      <c r="AB258" s="79">
        <f>IF($T258 &gt; 0, 100 - $AA258 - $AC258, 0)</f>
        <v>0</v>
      </c>
      <c r="AC258" s="79">
        <v>0</v>
      </c>
      <c r="AD258" s="79">
        <v>0</v>
      </c>
      <c r="AE258" s="79">
        <f>IF($U258 &gt; 0, 100 - $AD258 - $AF258, 0)</f>
        <v>0</v>
      </c>
      <c r="AF258" s="73">
        <v>0</v>
      </c>
      <c r="AG258" s="16" t="s">
        <v>43</v>
      </c>
      <c r="AH258" s="16" t="s">
        <v>525</v>
      </c>
      <c r="AI258" s="22"/>
      <c r="AJ258" s="22"/>
      <c r="AN258" s="83"/>
      <c r="AO258" s="83"/>
      <c r="AP258" s="83"/>
      <c r="AQ258" s="83"/>
      <c r="AR258" s="83"/>
      <c r="AS258" s="83"/>
      <c r="AT258" s="83"/>
      <c r="AU258" s="83"/>
    </row>
    <row r="259" spans="1:47" s="16" customFormat="1" ht="12">
      <c r="A259" s="16" t="s">
        <v>849</v>
      </c>
      <c r="B259" s="17" t="s">
        <v>850</v>
      </c>
      <c r="C259" s="18" t="s">
        <v>129</v>
      </c>
      <c r="D259" s="18" t="s">
        <v>413</v>
      </c>
      <c r="E259" s="16" t="s">
        <v>311</v>
      </c>
      <c r="G259" s="16" t="s">
        <v>414</v>
      </c>
      <c r="H259" s="16" t="s">
        <v>848</v>
      </c>
      <c r="J259" s="16">
        <v>0</v>
      </c>
      <c r="K259" s="16">
        <v>45</v>
      </c>
      <c r="L259" s="16" t="s">
        <v>38</v>
      </c>
      <c r="M259" s="16" t="s">
        <v>39</v>
      </c>
      <c r="N259" s="16" t="s">
        <v>523</v>
      </c>
      <c r="P259" s="16">
        <v>0</v>
      </c>
      <c r="Q259" s="29" t="s">
        <v>528</v>
      </c>
      <c r="R259" s="89">
        <v>0</v>
      </c>
      <c r="S259" s="89">
        <f>100 - R259 - U259 - T259</f>
        <v>100</v>
      </c>
      <c r="T259" s="89">
        <v>0</v>
      </c>
      <c r="U259" s="89">
        <v>0</v>
      </c>
      <c r="V259" s="89">
        <v>0</v>
      </c>
      <c r="W259" s="90">
        <f>IF($R259 &gt; 0, 100 - $V259, 0)</f>
        <v>0</v>
      </c>
      <c r="X259" s="79">
        <v>19</v>
      </c>
      <c r="Y259" s="79">
        <f>IF($S259 &gt; 0, 100 - $X259 - $Z259, 0)</f>
        <v>76</v>
      </c>
      <c r="Z259" s="73">
        <v>5</v>
      </c>
      <c r="AA259" s="79">
        <v>0</v>
      </c>
      <c r="AB259" s="79">
        <f>IF($T259 &gt; 0, 100 - $AA259 - $AC259, 0)</f>
        <v>0</v>
      </c>
      <c r="AC259" s="79">
        <v>0</v>
      </c>
      <c r="AD259" s="79">
        <v>0</v>
      </c>
      <c r="AE259" s="79">
        <f>IF($U259 &gt; 0, 100 - $AD259 - $AF259, 0)</f>
        <v>0</v>
      </c>
      <c r="AF259" s="73">
        <v>0</v>
      </c>
      <c r="AG259" s="16" t="s">
        <v>43</v>
      </c>
      <c r="AH259" s="16" t="s">
        <v>525</v>
      </c>
      <c r="AI259" s="22"/>
      <c r="AJ259" s="22"/>
      <c r="AN259" s="83"/>
      <c r="AO259" s="83"/>
      <c r="AP259" s="83"/>
      <c r="AQ259" s="83"/>
      <c r="AR259" s="83"/>
      <c r="AS259" s="83"/>
      <c r="AT259" s="83"/>
      <c r="AU259" s="83"/>
    </row>
    <row r="260" spans="1:47" s="16" customFormat="1" ht="12">
      <c r="A260" s="16" t="s">
        <v>851</v>
      </c>
      <c r="B260" s="17" t="s">
        <v>852</v>
      </c>
      <c r="C260" s="18" t="s">
        <v>129</v>
      </c>
      <c r="D260" s="18" t="s">
        <v>413</v>
      </c>
      <c r="E260" s="16" t="s">
        <v>311</v>
      </c>
      <c r="G260" s="16" t="s">
        <v>414</v>
      </c>
      <c r="H260" s="16" t="s">
        <v>557</v>
      </c>
      <c r="J260" s="16">
        <v>0</v>
      </c>
      <c r="K260" s="16">
        <v>45</v>
      </c>
      <c r="L260" s="16" t="s">
        <v>38</v>
      </c>
      <c r="M260" s="16" t="s">
        <v>39</v>
      </c>
      <c r="N260" s="16" t="s">
        <v>523</v>
      </c>
      <c r="P260" s="16">
        <v>0</v>
      </c>
      <c r="Q260" s="29" t="s">
        <v>812</v>
      </c>
      <c r="R260" s="89">
        <v>0</v>
      </c>
      <c r="S260" s="89">
        <f>100 - R260 - U260 - T260</f>
        <v>100</v>
      </c>
      <c r="T260" s="89">
        <v>0</v>
      </c>
      <c r="U260" s="89">
        <v>0</v>
      </c>
      <c r="V260" s="89">
        <v>0</v>
      </c>
      <c r="W260" s="90">
        <f>IF($R260 &gt; 0, 100 - $V260, 0)</f>
        <v>0</v>
      </c>
      <c r="X260" s="79">
        <v>83</v>
      </c>
      <c r="Y260" s="79">
        <f>IF($S260 &gt; 0, 100 - $X260 - $Z260, 0)</f>
        <v>17</v>
      </c>
      <c r="Z260" s="73">
        <v>0</v>
      </c>
      <c r="AA260" s="79">
        <v>0</v>
      </c>
      <c r="AB260" s="79">
        <f>IF($T260 &gt; 0, 100 - $AA260 - $AC260, 0)</f>
        <v>0</v>
      </c>
      <c r="AC260" s="79">
        <v>0</v>
      </c>
      <c r="AD260" s="79">
        <v>0</v>
      </c>
      <c r="AE260" s="79">
        <f>IF($U260 &gt; 0, 100 - $AD260 - $AF260, 0)</f>
        <v>0</v>
      </c>
      <c r="AF260" s="73">
        <v>0</v>
      </c>
      <c r="AG260" s="16" t="s">
        <v>43</v>
      </c>
      <c r="AH260" s="16" t="s">
        <v>525</v>
      </c>
      <c r="AJ260" s="70"/>
      <c r="AK260" s="19"/>
      <c r="AN260" s="83"/>
      <c r="AO260" s="83"/>
      <c r="AP260" s="83"/>
      <c r="AQ260" s="83"/>
      <c r="AR260" s="83"/>
      <c r="AS260" s="83"/>
      <c r="AT260" s="83"/>
      <c r="AU260" s="83"/>
    </row>
    <row r="261" spans="1:47" s="16" customFormat="1" ht="12">
      <c r="A261" s="16" t="s">
        <v>853</v>
      </c>
      <c r="B261" s="17" t="s">
        <v>854</v>
      </c>
      <c r="C261" s="18" t="s">
        <v>129</v>
      </c>
      <c r="D261" s="18" t="s">
        <v>413</v>
      </c>
      <c r="E261" s="16" t="s">
        <v>311</v>
      </c>
      <c r="G261" s="16" t="s">
        <v>414</v>
      </c>
      <c r="H261" s="16" t="s">
        <v>557</v>
      </c>
      <c r="J261" s="16">
        <v>0</v>
      </c>
      <c r="K261" s="16">
        <v>45</v>
      </c>
      <c r="L261" s="16" t="s">
        <v>38</v>
      </c>
      <c r="M261" s="16" t="s">
        <v>39</v>
      </c>
      <c r="N261" s="16" t="s">
        <v>523</v>
      </c>
      <c r="P261" s="16">
        <v>0</v>
      </c>
      <c r="Q261" s="29" t="s">
        <v>812</v>
      </c>
      <c r="R261" s="89">
        <v>0</v>
      </c>
      <c r="S261" s="89">
        <f>100 - R261 - U261 - T261</f>
        <v>100</v>
      </c>
      <c r="T261" s="89">
        <v>0</v>
      </c>
      <c r="U261" s="89">
        <v>0</v>
      </c>
      <c r="V261" s="89">
        <v>0</v>
      </c>
      <c r="W261" s="90">
        <f>IF($R261 &gt; 0, 100 - $V261, 0)</f>
        <v>0</v>
      </c>
      <c r="X261" s="79">
        <v>92</v>
      </c>
      <c r="Y261" s="79">
        <f>IF($S261 &gt; 0, 100 - $X261 - $Z261, 0)</f>
        <v>8</v>
      </c>
      <c r="Z261" s="73">
        <v>0</v>
      </c>
      <c r="AA261" s="79">
        <v>0</v>
      </c>
      <c r="AB261" s="79">
        <f>IF($T261 &gt; 0, 100 - $AA261 - $AC261, 0)</f>
        <v>0</v>
      </c>
      <c r="AC261" s="79">
        <v>0</v>
      </c>
      <c r="AD261" s="79">
        <v>0</v>
      </c>
      <c r="AE261" s="79">
        <f>IF($U261 &gt; 0, 100 - $AD261 - $AF261, 0)</f>
        <v>0</v>
      </c>
      <c r="AF261" s="73">
        <v>0</v>
      </c>
      <c r="AG261" s="16" t="s">
        <v>43</v>
      </c>
      <c r="AH261" s="16" t="s">
        <v>525</v>
      </c>
      <c r="AJ261" s="70"/>
      <c r="AK261" s="19"/>
      <c r="AN261" s="83"/>
      <c r="AO261" s="83"/>
      <c r="AP261" s="83"/>
      <c r="AQ261" s="83"/>
      <c r="AR261" s="83"/>
      <c r="AS261" s="83"/>
      <c r="AT261" s="83"/>
      <c r="AU261" s="83"/>
    </row>
    <row r="262" spans="1:47" s="16" customFormat="1" ht="12">
      <c r="A262" s="16" t="s">
        <v>855</v>
      </c>
      <c r="B262" s="17" t="s">
        <v>856</v>
      </c>
      <c r="C262" s="18" t="s">
        <v>129</v>
      </c>
      <c r="D262" s="18" t="s">
        <v>413</v>
      </c>
      <c r="E262" s="16" t="s">
        <v>311</v>
      </c>
      <c r="G262" s="16" t="s">
        <v>414</v>
      </c>
      <c r="H262" s="16" t="s">
        <v>557</v>
      </c>
      <c r="J262" s="16">
        <v>0</v>
      </c>
      <c r="K262" s="16">
        <v>45</v>
      </c>
      <c r="L262" s="16" t="s">
        <v>38</v>
      </c>
      <c r="M262" s="16" t="s">
        <v>39</v>
      </c>
      <c r="N262" s="16" t="s">
        <v>523</v>
      </c>
      <c r="P262" s="16">
        <v>0</v>
      </c>
      <c r="Q262" s="29" t="s">
        <v>812</v>
      </c>
      <c r="R262" s="89">
        <v>0</v>
      </c>
      <c r="S262" s="89">
        <f>100 - R262 - U262 - T262</f>
        <v>100</v>
      </c>
      <c r="T262" s="89">
        <v>0</v>
      </c>
      <c r="U262" s="89">
        <v>0</v>
      </c>
      <c r="V262" s="89">
        <v>0</v>
      </c>
      <c r="W262" s="90">
        <f>IF($R262 &gt; 0, 100 - $V262, 0)</f>
        <v>0</v>
      </c>
      <c r="X262" s="79">
        <v>25</v>
      </c>
      <c r="Y262" s="79">
        <f>IF($S262 &gt; 0, 100 - $X262 - $Z262, 0)</f>
        <v>75</v>
      </c>
      <c r="Z262" s="73">
        <v>0</v>
      </c>
      <c r="AA262" s="89">
        <v>0</v>
      </c>
      <c r="AB262" s="79">
        <f>IF($T262 &gt; 0, 100 - $AA262 - $AC262, 0)</f>
        <v>0</v>
      </c>
      <c r="AC262" s="89">
        <v>0</v>
      </c>
      <c r="AD262" s="79">
        <v>0</v>
      </c>
      <c r="AE262" s="79">
        <f>IF($U262 &gt; 0, 100 - $AD262 - $AF262, 0)</f>
        <v>0</v>
      </c>
      <c r="AF262" s="90">
        <v>0</v>
      </c>
      <c r="AG262" s="16" t="s">
        <v>43</v>
      </c>
      <c r="AH262" s="16" t="s">
        <v>525</v>
      </c>
      <c r="AJ262" s="22"/>
      <c r="AN262" s="83"/>
      <c r="AO262" s="83"/>
      <c r="AP262" s="83"/>
      <c r="AQ262" s="83"/>
      <c r="AR262" s="83"/>
      <c r="AS262" s="83"/>
      <c r="AT262" s="83"/>
      <c r="AU262" s="83"/>
    </row>
    <row r="263" spans="1:47" s="16" customFormat="1" ht="12">
      <c r="A263" s="16" t="s">
        <v>857</v>
      </c>
      <c r="B263" s="17" t="s">
        <v>858</v>
      </c>
      <c r="C263" s="18" t="s">
        <v>129</v>
      </c>
      <c r="D263" s="18" t="s">
        <v>413</v>
      </c>
      <c r="E263" s="16" t="s">
        <v>311</v>
      </c>
      <c r="G263" s="16" t="s">
        <v>414</v>
      </c>
      <c r="H263" s="16" t="s">
        <v>557</v>
      </c>
      <c r="J263" s="16">
        <v>0</v>
      </c>
      <c r="K263" s="16">
        <v>45</v>
      </c>
      <c r="L263" s="16" t="s">
        <v>38</v>
      </c>
      <c r="M263" s="16" t="s">
        <v>39</v>
      </c>
      <c r="N263" s="16" t="s">
        <v>523</v>
      </c>
      <c r="P263" s="16">
        <v>0</v>
      </c>
      <c r="Q263" s="29" t="s">
        <v>812</v>
      </c>
      <c r="R263" s="89">
        <v>0</v>
      </c>
      <c r="S263" s="89">
        <f>100 - R263 - U263 - T263</f>
        <v>100</v>
      </c>
      <c r="T263" s="89">
        <v>0</v>
      </c>
      <c r="U263" s="89">
        <v>0</v>
      </c>
      <c r="V263" s="89">
        <v>0</v>
      </c>
      <c r="W263" s="90">
        <f>IF($R263 &gt; 0, 100 - $V263, 0)</f>
        <v>0</v>
      </c>
      <c r="X263" s="79">
        <v>70</v>
      </c>
      <c r="Y263" s="79">
        <f>IF($S263 &gt; 0, 100 - $X263 - $Z263, 0)</f>
        <v>30</v>
      </c>
      <c r="Z263" s="73">
        <v>0</v>
      </c>
      <c r="AA263" s="89">
        <v>0</v>
      </c>
      <c r="AB263" s="79">
        <f>IF($T263 &gt; 0, 100 - $AA263 - $AC263, 0)</f>
        <v>0</v>
      </c>
      <c r="AC263" s="90">
        <v>0</v>
      </c>
      <c r="AD263" s="79">
        <v>0</v>
      </c>
      <c r="AE263" s="79">
        <f>IF($U263 &gt; 0, 100 - $AD263 - $AF263, 0)</f>
        <v>0</v>
      </c>
      <c r="AF263" s="90">
        <v>0</v>
      </c>
      <c r="AG263" s="16" t="s">
        <v>43</v>
      </c>
      <c r="AH263" s="16" t="s">
        <v>525</v>
      </c>
      <c r="AJ263" s="70"/>
      <c r="AK263" s="19"/>
      <c r="AN263" s="83"/>
      <c r="AO263" s="83"/>
      <c r="AP263" s="83"/>
      <c r="AQ263" s="83"/>
      <c r="AR263" s="83"/>
      <c r="AS263" s="83"/>
      <c r="AT263" s="83"/>
      <c r="AU263" s="83"/>
    </row>
    <row r="264" spans="1:47" s="16" customFormat="1" ht="12">
      <c r="A264" s="16" t="s">
        <v>859</v>
      </c>
      <c r="B264" s="17" t="s">
        <v>860</v>
      </c>
      <c r="C264" s="18" t="s">
        <v>129</v>
      </c>
      <c r="D264" s="18" t="s">
        <v>413</v>
      </c>
      <c r="E264" s="16" t="s">
        <v>311</v>
      </c>
      <c r="G264" s="16" t="s">
        <v>414</v>
      </c>
      <c r="H264" s="16" t="s">
        <v>557</v>
      </c>
      <c r="J264" s="16">
        <v>0</v>
      </c>
      <c r="K264" s="16">
        <v>45</v>
      </c>
      <c r="L264" s="16" t="s">
        <v>38</v>
      </c>
      <c r="M264" s="16" t="s">
        <v>39</v>
      </c>
      <c r="N264" s="16" t="s">
        <v>523</v>
      </c>
      <c r="P264" s="16">
        <v>0</v>
      </c>
      <c r="Q264" s="29" t="s">
        <v>812</v>
      </c>
      <c r="R264" s="89">
        <v>0</v>
      </c>
      <c r="S264" s="89">
        <f>100 - R264 - U264 - T264</f>
        <v>100</v>
      </c>
      <c r="T264" s="89">
        <v>0</v>
      </c>
      <c r="U264" s="89">
        <v>0</v>
      </c>
      <c r="V264" s="89">
        <v>0</v>
      </c>
      <c r="W264" s="90">
        <f>IF($R264 &gt; 0, 100 - $V264, 0)</f>
        <v>0</v>
      </c>
      <c r="X264" s="89">
        <v>83</v>
      </c>
      <c r="Y264" s="79">
        <f>IF($S264 &gt; 0, 100 - $X264 - $Z264, 0)</f>
        <v>17</v>
      </c>
      <c r="Z264" s="90">
        <v>0</v>
      </c>
      <c r="AA264" s="89">
        <v>0</v>
      </c>
      <c r="AB264" s="79">
        <f>IF($T264 &gt; 0, 100 - $AA264 - $AC264, 0)</f>
        <v>0</v>
      </c>
      <c r="AC264" s="90">
        <v>0</v>
      </c>
      <c r="AD264" s="79">
        <v>0</v>
      </c>
      <c r="AE264" s="79">
        <f>IF($U264 &gt; 0, 100 - $AD264 - $AF264, 0)</f>
        <v>0</v>
      </c>
      <c r="AF264" s="90">
        <v>0</v>
      </c>
      <c r="AG264" s="16" t="s">
        <v>43</v>
      </c>
      <c r="AH264" s="16" t="s">
        <v>525</v>
      </c>
      <c r="AJ264" s="70"/>
      <c r="AK264" s="19"/>
      <c r="AN264" s="83"/>
      <c r="AO264" s="83"/>
      <c r="AP264" s="83"/>
      <c r="AQ264" s="83"/>
      <c r="AR264" s="83"/>
      <c r="AS264" s="83"/>
      <c r="AT264" s="83"/>
      <c r="AU264" s="83"/>
    </row>
    <row r="265" spans="1:47" s="16" customFormat="1" ht="12">
      <c r="A265" s="16" t="s">
        <v>861</v>
      </c>
      <c r="B265" s="17" t="s">
        <v>862</v>
      </c>
      <c r="C265" s="18" t="s">
        <v>129</v>
      </c>
      <c r="D265" s="18" t="s">
        <v>413</v>
      </c>
      <c r="E265" s="16" t="s">
        <v>311</v>
      </c>
      <c r="G265" s="16" t="s">
        <v>414</v>
      </c>
      <c r="H265" s="16" t="s">
        <v>557</v>
      </c>
      <c r="J265" s="16">
        <v>0</v>
      </c>
      <c r="K265" s="16">
        <v>45</v>
      </c>
      <c r="L265" s="16" t="s">
        <v>38</v>
      </c>
      <c r="M265" s="16" t="s">
        <v>39</v>
      </c>
      <c r="N265" s="16" t="s">
        <v>523</v>
      </c>
      <c r="P265" s="16">
        <v>0</v>
      </c>
      <c r="Q265" s="29" t="s">
        <v>558</v>
      </c>
      <c r="R265" s="89">
        <v>0</v>
      </c>
      <c r="S265" s="89">
        <f>100 - R265 - U265 - T265</f>
        <v>100</v>
      </c>
      <c r="T265" s="89">
        <v>0</v>
      </c>
      <c r="U265" s="89">
        <v>0</v>
      </c>
      <c r="V265" s="89">
        <v>0</v>
      </c>
      <c r="W265" s="90">
        <f>IF($R265 &gt; 0, 100 - $V265, 0)</f>
        <v>0</v>
      </c>
      <c r="X265" s="79">
        <v>65</v>
      </c>
      <c r="Y265" s="79">
        <f>IF($S265 &gt; 0, 100 - $X265 - $Z265, 0)</f>
        <v>35</v>
      </c>
      <c r="Z265" s="73">
        <v>0</v>
      </c>
      <c r="AA265" s="79">
        <v>0</v>
      </c>
      <c r="AB265" s="79">
        <f>IF($T265 &gt; 0, 100 - $AA265 - $AC265, 0)</f>
        <v>0</v>
      </c>
      <c r="AC265" s="73">
        <v>0</v>
      </c>
      <c r="AD265" s="79">
        <v>0</v>
      </c>
      <c r="AE265" s="79">
        <f>IF($U265 &gt; 0, 100 - $AD265 - $AF265, 0)</f>
        <v>0</v>
      </c>
      <c r="AF265" s="73">
        <v>0</v>
      </c>
      <c r="AG265" s="16" t="s">
        <v>43</v>
      </c>
      <c r="AH265" s="16" t="s">
        <v>525</v>
      </c>
      <c r="AJ265" s="70"/>
      <c r="AK265" s="19"/>
      <c r="AN265" s="83"/>
      <c r="AO265" s="83"/>
      <c r="AP265" s="83"/>
      <c r="AQ265" s="83"/>
      <c r="AR265" s="83"/>
      <c r="AS265" s="83"/>
      <c r="AT265" s="83"/>
      <c r="AU265" s="83"/>
    </row>
    <row r="266" spans="1:47" s="16" customFormat="1" ht="12">
      <c r="A266" s="16" t="s">
        <v>863</v>
      </c>
      <c r="B266" s="17" t="s">
        <v>864</v>
      </c>
      <c r="C266" s="18" t="s">
        <v>129</v>
      </c>
      <c r="D266" s="18" t="s">
        <v>413</v>
      </c>
      <c r="E266" s="16" t="s">
        <v>311</v>
      </c>
      <c r="G266" s="16" t="s">
        <v>414</v>
      </c>
      <c r="H266" s="16" t="s">
        <v>557</v>
      </c>
      <c r="J266" s="16">
        <v>0</v>
      </c>
      <c r="K266" s="16">
        <v>45</v>
      </c>
      <c r="L266" s="16" t="s">
        <v>38</v>
      </c>
      <c r="M266" s="16" t="s">
        <v>39</v>
      </c>
      <c r="N266" s="16" t="s">
        <v>523</v>
      </c>
      <c r="P266" s="16">
        <v>0</v>
      </c>
      <c r="Q266" s="29" t="s">
        <v>812</v>
      </c>
      <c r="R266" s="89">
        <v>0</v>
      </c>
      <c r="S266" s="89">
        <f>100 - R266 - U266 - T266</f>
        <v>100</v>
      </c>
      <c r="T266" s="89">
        <v>0</v>
      </c>
      <c r="U266" s="89">
        <v>0</v>
      </c>
      <c r="V266" s="89">
        <v>0</v>
      </c>
      <c r="W266" s="90">
        <f>IF($R266 &gt; 0, 100 - $V266, 0)</f>
        <v>0</v>
      </c>
      <c r="X266" s="79">
        <v>30</v>
      </c>
      <c r="Y266" s="79">
        <f>IF($S266 &gt; 0, 100 - $X266 - $Z266, 0)</f>
        <v>70</v>
      </c>
      <c r="Z266" s="73">
        <v>0</v>
      </c>
      <c r="AA266" s="79">
        <v>0</v>
      </c>
      <c r="AB266" s="79">
        <f>IF($T266 &gt; 0, 100 - $AA266 - $AC266, 0)</f>
        <v>0</v>
      </c>
      <c r="AC266" s="73">
        <v>0</v>
      </c>
      <c r="AD266" s="79">
        <v>0</v>
      </c>
      <c r="AE266" s="79">
        <f>IF($U266 &gt; 0, 100 - $AD266 - $AF266, 0)</f>
        <v>0</v>
      </c>
      <c r="AF266" s="73">
        <v>0</v>
      </c>
      <c r="AG266" s="16" t="s">
        <v>43</v>
      </c>
      <c r="AH266" s="16" t="s">
        <v>525</v>
      </c>
      <c r="AJ266" s="70"/>
      <c r="AK266" s="19"/>
      <c r="AN266" s="83"/>
      <c r="AO266" s="83"/>
      <c r="AP266" s="83"/>
      <c r="AQ266" s="83"/>
      <c r="AR266" s="83"/>
      <c r="AS266" s="83"/>
      <c r="AT266" s="83"/>
      <c r="AU266" s="83"/>
    </row>
    <row r="267" spans="1:47" s="16" customFormat="1" ht="12">
      <c r="A267" s="16" t="s">
        <v>865</v>
      </c>
      <c r="B267" s="17" t="s">
        <v>866</v>
      </c>
      <c r="C267" s="18" t="s">
        <v>129</v>
      </c>
      <c r="D267" s="18" t="s">
        <v>413</v>
      </c>
      <c r="E267" s="16" t="s">
        <v>311</v>
      </c>
      <c r="G267" s="16" t="s">
        <v>414</v>
      </c>
      <c r="H267" s="16" t="s">
        <v>557</v>
      </c>
      <c r="J267" s="16">
        <v>0</v>
      </c>
      <c r="K267" s="16">
        <v>45</v>
      </c>
      <c r="L267" s="16" t="s">
        <v>38</v>
      </c>
      <c r="M267" s="16" t="s">
        <v>39</v>
      </c>
      <c r="N267" s="16" t="s">
        <v>523</v>
      </c>
      <c r="P267" s="16">
        <v>0</v>
      </c>
      <c r="Q267" s="29" t="s">
        <v>812</v>
      </c>
      <c r="R267" s="89">
        <v>0</v>
      </c>
      <c r="S267" s="89">
        <f>100 - R267 - U267 - T267</f>
        <v>100</v>
      </c>
      <c r="T267" s="89">
        <v>0</v>
      </c>
      <c r="U267" s="89">
        <v>0</v>
      </c>
      <c r="V267" s="89">
        <v>0</v>
      </c>
      <c r="W267" s="90">
        <f>IF($R267 &gt; 0, 100 - $V267, 0)</f>
        <v>0</v>
      </c>
      <c r="X267" s="79">
        <v>20</v>
      </c>
      <c r="Y267" s="79">
        <f>IF($S267 &gt; 0, 100 - $X267 - $Z267, 0)</f>
        <v>80</v>
      </c>
      <c r="Z267" s="73">
        <v>0</v>
      </c>
      <c r="AA267" s="89">
        <v>0</v>
      </c>
      <c r="AB267" s="79">
        <f>IF($T267 &gt; 0, 100 - $AA267 - $AC267, 0)</f>
        <v>0</v>
      </c>
      <c r="AC267" s="90">
        <v>0</v>
      </c>
      <c r="AD267" s="79">
        <v>0</v>
      </c>
      <c r="AE267" s="79">
        <f>IF($U267 &gt; 0, 100 - $AD267 - $AF267, 0)</f>
        <v>0</v>
      </c>
      <c r="AF267" s="90">
        <v>0</v>
      </c>
      <c r="AG267" s="16" t="s">
        <v>43</v>
      </c>
      <c r="AH267" s="16" t="s">
        <v>525</v>
      </c>
      <c r="AJ267" s="70"/>
      <c r="AK267" s="19"/>
      <c r="AN267" s="83"/>
      <c r="AO267" s="83"/>
      <c r="AP267" s="83"/>
      <c r="AQ267" s="83"/>
      <c r="AR267" s="83"/>
      <c r="AS267" s="83"/>
      <c r="AT267" s="83"/>
      <c r="AU267" s="83"/>
    </row>
    <row r="268" spans="1:47" s="16" customFormat="1" ht="12">
      <c r="A268" s="16" t="s">
        <v>867</v>
      </c>
      <c r="B268" s="17" t="s">
        <v>868</v>
      </c>
      <c r="C268" s="18" t="s">
        <v>129</v>
      </c>
      <c r="D268" s="18" t="s">
        <v>413</v>
      </c>
      <c r="E268" s="16" t="s">
        <v>311</v>
      </c>
      <c r="G268" s="16" t="s">
        <v>414</v>
      </c>
      <c r="H268" s="16" t="s">
        <v>557</v>
      </c>
      <c r="J268" s="16">
        <v>0</v>
      </c>
      <c r="K268" s="16">
        <v>45</v>
      </c>
      <c r="L268" s="16" t="s">
        <v>38</v>
      </c>
      <c r="M268" s="16" t="s">
        <v>39</v>
      </c>
      <c r="N268" s="16" t="s">
        <v>523</v>
      </c>
      <c r="P268" s="16">
        <v>0</v>
      </c>
      <c r="Q268" s="29" t="s">
        <v>812</v>
      </c>
      <c r="R268" s="89">
        <v>0</v>
      </c>
      <c r="S268" s="89">
        <f>100 - R268 - U268 - T268</f>
        <v>100</v>
      </c>
      <c r="T268" s="89">
        <v>0</v>
      </c>
      <c r="U268" s="89">
        <v>0</v>
      </c>
      <c r="V268" s="89">
        <v>0</v>
      </c>
      <c r="W268" s="90">
        <f>IF($R268 &gt; 0, 100 - $V268, 0)</f>
        <v>0</v>
      </c>
      <c r="X268" s="79">
        <v>75</v>
      </c>
      <c r="Y268" s="79">
        <f>IF($S268 &gt; 0, 100 - $X268 - $Z268, 0)</f>
        <v>25</v>
      </c>
      <c r="Z268" s="73">
        <v>0</v>
      </c>
      <c r="AA268" s="89">
        <v>0</v>
      </c>
      <c r="AB268" s="79">
        <f>IF($T268 &gt; 0, 100 - $AA268 - $AC268, 0)</f>
        <v>0</v>
      </c>
      <c r="AC268" s="90">
        <v>0</v>
      </c>
      <c r="AD268" s="79">
        <v>0</v>
      </c>
      <c r="AE268" s="79">
        <f>IF($U268 &gt; 0, 100 - $AD268 - $AF268, 0)</f>
        <v>0</v>
      </c>
      <c r="AF268" s="90">
        <v>0</v>
      </c>
      <c r="AG268" s="16" t="s">
        <v>43</v>
      </c>
      <c r="AH268" s="16" t="s">
        <v>525</v>
      </c>
      <c r="AJ268" s="70"/>
      <c r="AK268" s="19"/>
      <c r="AN268" s="83"/>
      <c r="AO268" s="83"/>
      <c r="AP268" s="83"/>
      <c r="AQ268" s="83"/>
      <c r="AR268" s="83"/>
      <c r="AS268" s="83"/>
      <c r="AT268" s="83"/>
      <c r="AU268" s="83"/>
    </row>
    <row r="269" spans="1:47" s="16" customFormat="1" ht="12">
      <c r="A269" s="16" t="s">
        <v>869</v>
      </c>
      <c r="B269" s="17" t="s">
        <v>870</v>
      </c>
      <c r="C269" s="18" t="s">
        <v>129</v>
      </c>
      <c r="D269" s="18" t="s">
        <v>413</v>
      </c>
      <c r="E269" s="16" t="s">
        <v>311</v>
      </c>
      <c r="G269" s="16" t="s">
        <v>414</v>
      </c>
      <c r="H269" s="16" t="s">
        <v>557</v>
      </c>
      <c r="J269" s="16">
        <v>0</v>
      </c>
      <c r="K269" s="16">
        <v>45</v>
      </c>
      <c r="L269" s="16" t="s">
        <v>38</v>
      </c>
      <c r="M269" s="16" t="s">
        <v>39</v>
      </c>
      <c r="N269" s="16" t="s">
        <v>523</v>
      </c>
      <c r="P269" s="16">
        <v>0</v>
      </c>
      <c r="Q269" s="29" t="s">
        <v>558</v>
      </c>
      <c r="R269" s="89">
        <v>0</v>
      </c>
      <c r="S269" s="89">
        <f>100 - R269 - U269 - T269</f>
        <v>100</v>
      </c>
      <c r="T269" s="89">
        <v>0</v>
      </c>
      <c r="U269" s="89">
        <v>0</v>
      </c>
      <c r="V269" s="89">
        <v>0</v>
      </c>
      <c r="W269" s="90">
        <f>IF($R269 &gt; 0, 100 - $V269, 0)</f>
        <v>0</v>
      </c>
      <c r="X269" s="79">
        <v>85</v>
      </c>
      <c r="Y269" s="79">
        <f>IF($S269 &gt; 0, 100 - $X269 - $Z269, 0)</f>
        <v>15</v>
      </c>
      <c r="Z269" s="73">
        <v>0</v>
      </c>
      <c r="AA269" s="89">
        <v>0</v>
      </c>
      <c r="AB269" s="79">
        <f>IF($T269 &gt; 0, 100 - $AA269 - $AC269, 0)</f>
        <v>0</v>
      </c>
      <c r="AC269" s="90">
        <v>0</v>
      </c>
      <c r="AD269" s="79">
        <v>0</v>
      </c>
      <c r="AE269" s="79">
        <f>IF($U269 &gt; 0, 100 - $AD269 - $AF269, 0)</f>
        <v>0</v>
      </c>
      <c r="AF269" s="90">
        <v>0</v>
      </c>
      <c r="AG269" s="16" t="s">
        <v>43</v>
      </c>
      <c r="AH269" s="16" t="s">
        <v>525</v>
      </c>
      <c r="AJ269" s="22"/>
      <c r="AN269" s="83"/>
      <c r="AO269" s="83"/>
      <c r="AP269" s="83"/>
      <c r="AQ269" s="83"/>
      <c r="AR269" s="83"/>
      <c r="AS269" s="83"/>
      <c r="AT269" s="83"/>
      <c r="AU269" s="83"/>
    </row>
    <row r="270" spans="1:47" s="16" customFormat="1" ht="12">
      <c r="A270" s="16" t="s">
        <v>871</v>
      </c>
      <c r="B270" s="17" t="s">
        <v>872</v>
      </c>
      <c r="C270" s="18" t="s">
        <v>129</v>
      </c>
      <c r="D270" s="18" t="s">
        <v>413</v>
      </c>
      <c r="E270" s="16" t="s">
        <v>311</v>
      </c>
      <c r="G270" s="16" t="s">
        <v>414</v>
      </c>
      <c r="H270" s="16" t="s">
        <v>557</v>
      </c>
      <c r="J270" s="16">
        <v>0</v>
      </c>
      <c r="K270" s="16">
        <v>45</v>
      </c>
      <c r="L270" s="16" t="s">
        <v>38</v>
      </c>
      <c r="M270" s="16" t="s">
        <v>39</v>
      </c>
      <c r="N270" s="16" t="s">
        <v>523</v>
      </c>
      <c r="P270" s="16">
        <v>0</v>
      </c>
      <c r="Q270" s="29" t="s">
        <v>558</v>
      </c>
      <c r="R270" s="89">
        <v>0</v>
      </c>
      <c r="S270" s="89">
        <f>100 - R270 - U270 - T270</f>
        <v>100</v>
      </c>
      <c r="T270" s="89">
        <v>0</v>
      </c>
      <c r="U270" s="89">
        <v>0</v>
      </c>
      <c r="V270" s="89">
        <v>0</v>
      </c>
      <c r="W270" s="90">
        <f>IF($R270 &gt; 0, 100 - $V270, 0)</f>
        <v>0</v>
      </c>
      <c r="X270" s="79">
        <v>50</v>
      </c>
      <c r="Y270" s="79">
        <f>IF($S270 &gt; 0, 100 - $X270 - $Z270, 0)</f>
        <v>50</v>
      </c>
      <c r="Z270" s="73">
        <v>0</v>
      </c>
      <c r="AA270" s="79">
        <v>0</v>
      </c>
      <c r="AB270" s="79">
        <f>IF($T270 &gt; 0, 100 - $AA270 - $AC270, 0)</f>
        <v>0</v>
      </c>
      <c r="AC270" s="73">
        <v>0</v>
      </c>
      <c r="AD270" s="79">
        <v>0</v>
      </c>
      <c r="AE270" s="79">
        <f>IF($U270 &gt; 0, 100 - $AD270 - $AF270, 0)</f>
        <v>0</v>
      </c>
      <c r="AF270" s="73">
        <v>0</v>
      </c>
      <c r="AG270" s="16" t="s">
        <v>43</v>
      </c>
      <c r="AH270" s="16" t="s">
        <v>525</v>
      </c>
      <c r="AJ270" s="22"/>
      <c r="AN270" s="83"/>
      <c r="AO270" s="83"/>
      <c r="AP270" s="83"/>
      <c r="AQ270" s="83"/>
      <c r="AR270" s="83"/>
      <c r="AS270" s="83"/>
      <c r="AT270" s="83"/>
      <c r="AU270" s="83"/>
    </row>
    <row r="271" spans="1:47" s="16" customFormat="1" ht="12">
      <c r="A271" s="16" t="s">
        <v>873</v>
      </c>
      <c r="B271" s="17" t="s">
        <v>874</v>
      </c>
      <c r="C271" s="18" t="s">
        <v>129</v>
      </c>
      <c r="D271" s="18" t="s">
        <v>413</v>
      </c>
      <c r="E271" s="16" t="s">
        <v>311</v>
      </c>
      <c r="G271" s="16" t="s">
        <v>414</v>
      </c>
      <c r="H271" s="16" t="s">
        <v>557</v>
      </c>
      <c r="J271" s="16">
        <v>0</v>
      </c>
      <c r="K271" s="16">
        <v>45</v>
      </c>
      <c r="L271" s="16" t="s">
        <v>38</v>
      </c>
      <c r="M271" s="16" t="s">
        <v>39</v>
      </c>
      <c r="N271" s="16" t="s">
        <v>523</v>
      </c>
      <c r="P271" s="16">
        <v>0</v>
      </c>
      <c r="Q271" s="29" t="s">
        <v>558</v>
      </c>
      <c r="R271" s="89">
        <v>0</v>
      </c>
      <c r="S271" s="89">
        <f>100 - R271 - U271 - T271</f>
        <v>100</v>
      </c>
      <c r="T271" s="89">
        <v>0</v>
      </c>
      <c r="U271" s="89">
        <v>0</v>
      </c>
      <c r="V271" s="89">
        <v>0</v>
      </c>
      <c r="W271" s="90">
        <f>IF($R271 &gt; 0, 100 - $V271, 0)</f>
        <v>0</v>
      </c>
      <c r="X271" s="79">
        <v>50</v>
      </c>
      <c r="Y271" s="79">
        <f>IF($S271 &gt; 0, 100 - $X271 - $Z271, 0)</f>
        <v>50</v>
      </c>
      <c r="Z271" s="73">
        <v>0</v>
      </c>
      <c r="AA271" s="79">
        <v>0</v>
      </c>
      <c r="AB271" s="79">
        <f>IF($T271 &gt; 0, 100 - $AA271 - $AC271, 0)</f>
        <v>0</v>
      </c>
      <c r="AC271" s="73">
        <v>0</v>
      </c>
      <c r="AD271" s="79">
        <v>0</v>
      </c>
      <c r="AE271" s="79">
        <f>IF($U271 &gt; 0, 100 - $AD271 - $AF271, 0)</f>
        <v>0</v>
      </c>
      <c r="AF271" s="73">
        <v>0</v>
      </c>
      <c r="AG271" s="16" t="s">
        <v>43</v>
      </c>
      <c r="AH271" s="16" t="s">
        <v>525</v>
      </c>
      <c r="AJ271" s="22"/>
      <c r="AN271" s="83"/>
      <c r="AO271" s="83"/>
      <c r="AP271" s="83"/>
      <c r="AQ271" s="83"/>
      <c r="AR271" s="83"/>
      <c r="AS271" s="83"/>
      <c r="AT271" s="83"/>
      <c r="AU271" s="83"/>
    </row>
    <row r="272" spans="1:47" s="16" customFormat="1" ht="12">
      <c r="A272" s="16" t="s">
        <v>875</v>
      </c>
      <c r="B272" s="17" t="s">
        <v>876</v>
      </c>
      <c r="C272" s="18" t="s">
        <v>129</v>
      </c>
      <c r="D272" s="18" t="s">
        <v>413</v>
      </c>
      <c r="E272" s="16" t="s">
        <v>311</v>
      </c>
      <c r="G272" s="16" t="s">
        <v>414</v>
      </c>
      <c r="H272" s="16" t="s">
        <v>557</v>
      </c>
      <c r="J272" s="16">
        <v>0</v>
      </c>
      <c r="K272" s="16">
        <v>45</v>
      </c>
      <c r="L272" s="16" t="s">
        <v>38</v>
      </c>
      <c r="M272" s="16" t="s">
        <v>39</v>
      </c>
      <c r="N272" s="16" t="s">
        <v>523</v>
      </c>
      <c r="P272" s="16">
        <v>0</v>
      </c>
      <c r="Q272" s="29" t="s">
        <v>541</v>
      </c>
      <c r="R272" s="89">
        <v>0</v>
      </c>
      <c r="S272" s="89">
        <f>100 - R272 - U272 - T272</f>
        <v>100</v>
      </c>
      <c r="T272" s="89">
        <v>0</v>
      </c>
      <c r="U272" s="89">
        <v>0</v>
      </c>
      <c r="V272" s="89">
        <v>0</v>
      </c>
      <c r="W272" s="90">
        <f>IF($R272 &gt; 0, 100 - $V272, 0)</f>
        <v>0</v>
      </c>
      <c r="X272" s="79">
        <v>48</v>
      </c>
      <c r="Y272" s="79">
        <f>IF($S272 &gt; 0, 100 - $X272 - $Z272, 0)</f>
        <v>48</v>
      </c>
      <c r="Z272" s="73">
        <v>4</v>
      </c>
      <c r="AA272" s="79">
        <v>0</v>
      </c>
      <c r="AB272" s="79">
        <f>IF($T272 &gt; 0, 100 - $AA272 - $AC272, 0)</f>
        <v>0</v>
      </c>
      <c r="AC272" s="73">
        <v>0</v>
      </c>
      <c r="AD272" s="79">
        <v>0</v>
      </c>
      <c r="AE272" s="79">
        <f>IF($U272 &gt; 0, 100 - $AD272 - $AF272, 0)</f>
        <v>0</v>
      </c>
      <c r="AF272" s="73">
        <v>0</v>
      </c>
      <c r="AG272" s="16" t="s">
        <v>43</v>
      </c>
      <c r="AH272" s="16" t="s">
        <v>525</v>
      </c>
      <c r="AI272" s="22"/>
      <c r="AJ272" s="22"/>
      <c r="AN272" s="83"/>
      <c r="AO272" s="83"/>
      <c r="AP272" s="83"/>
      <c r="AQ272" s="83"/>
      <c r="AR272" s="83"/>
      <c r="AS272" s="83"/>
      <c r="AT272" s="83"/>
      <c r="AU272" s="83"/>
    </row>
    <row r="273" spans="1:47" s="16" customFormat="1" ht="12">
      <c r="A273" s="16" t="s">
        <v>877</v>
      </c>
      <c r="B273" s="17" t="s">
        <v>878</v>
      </c>
      <c r="C273" s="18" t="s">
        <v>129</v>
      </c>
      <c r="D273" s="18" t="s">
        <v>413</v>
      </c>
      <c r="E273" s="16" t="s">
        <v>311</v>
      </c>
      <c r="G273" s="16" t="s">
        <v>414</v>
      </c>
      <c r="H273" s="16" t="s">
        <v>879</v>
      </c>
      <c r="J273" s="16">
        <v>0</v>
      </c>
      <c r="K273" s="16">
        <v>45</v>
      </c>
      <c r="L273" s="16" t="s">
        <v>38</v>
      </c>
      <c r="M273" s="16" t="s">
        <v>39</v>
      </c>
      <c r="N273" s="16" t="s">
        <v>523</v>
      </c>
      <c r="P273" s="16">
        <v>0</v>
      </c>
      <c r="Q273" s="29" t="s">
        <v>812</v>
      </c>
      <c r="R273" s="89">
        <v>0</v>
      </c>
      <c r="S273" s="89">
        <f>100 - R273 - U273 - T273</f>
        <v>100</v>
      </c>
      <c r="T273" s="89">
        <v>0</v>
      </c>
      <c r="U273" s="89">
        <v>0</v>
      </c>
      <c r="V273" s="89">
        <v>0</v>
      </c>
      <c r="W273" s="90">
        <f>IF($R273 &gt; 0, 100 - $V273, 0)</f>
        <v>0</v>
      </c>
      <c r="X273" s="89">
        <v>100</v>
      </c>
      <c r="Y273" s="79">
        <f>IF($S273 &gt; 0, 100 - $X273 - $Z273, 0)</f>
        <v>0</v>
      </c>
      <c r="Z273" s="90">
        <v>0</v>
      </c>
      <c r="AA273" s="89">
        <v>0</v>
      </c>
      <c r="AB273" s="79">
        <f>IF($T273 &gt; 0, 100 - $AA273 - $AC273, 0)</f>
        <v>0</v>
      </c>
      <c r="AC273" s="90">
        <v>0</v>
      </c>
      <c r="AD273" s="79">
        <v>0</v>
      </c>
      <c r="AE273" s="79">
        <f>IF($U273 &gt; 0, 100 - $AD273 - $AF273, 0)</f>
        <v>0</v>
      </c>
      <c r="AF273" s="90">
        <v>0</v>
      </c>
      <c r="AG273" s="16" t="s">
        <v>43</v>
      </c>
      <c r="AH273" s="16" t="s">
        <v>525</v>
      </c>
      <c r="AJ273" s="22"/>
      <c r="AN273" s="83"/>
      <c r="AO273" s="83"/>
      <c r="AP273" s="83"/>
      <c r="AQ273" s="83"/>
      <c r="AR273" s="83"/>
      <c r="AS273" s="83"/>
      <c r="AT273" s="83"/>
      <c r="AU273" s="83"/>
    </row>
    <row r="274" spans="1:47" s="16" customFormat="1" ht="12">
      <c r="A274" s="16" t="s">
        <v>880</v>
      </c>
      <c r="B274" s="17" t="s">
        <v>881</v>
      </c>
      <c r="C274" s="18" t="s">
        <v>129</v>
      </c>
      <c r="D274" s="18" t="s">
        <v>413</v>
      </c>
      <c r="E274" s="16" t="s">
        <v>311</v>
      </c>
      <c r="G274" s="16" t="s">
        <v>414</v>
      </c>
      <c r="H274" s="16" t="s">
        <v>879</v>
      </c>
      <c r="J274" s="16">
        <v>0</v>
      </c>
      <c r="K274" s="16">
        <v>45</v>
      </c>
      <c r="L274" s="16" t="s">
        <v>38</v>
      </c>
      <c r="M274" s="16" t="s">
        <v>39</v>
      </c>
      <c r="N274" s="16" t="s">
        <v>523</v>
      </c>
      <c r="P274" s="16">
        <v>0</v>
      </c>
      <c r="Q274" s="29" t="s">
        <v>558</v>
      </c>
      <c r="R274" s="89">
        <v>0</v>
      </c>
      <c r="S274" s="89">
        <f>100 - R274 - U274 - T274</f>
        <v>100</v>
      </c>
      <c r="T274" s="89">
        <v>0</v>
      </c>
      <c r="U274" s="89">
        <v>0</v>
      </c>
      <c r="V274" s="89">
        <v>0</v>
      </c>
      <c r="W274" s="90">
        <f>IF($R274 &gt; 0, 100 - $V274, 0)</f>
        <v>0</v>
      </c>
      <c r="X274" s="89">
        <v>100</v>
      </c>
      <c r="Y274" s="79">
        <f>IF($S274 &gt; 0, 100 - $X274 - $Z274, 0)</f>
        <v>0</v>
      </c>
      <c r="Z274" s="90">
        <v>0</v>
      </c>
      <c r="AA274" s="79">
        <v>0</v>
      </c>
      <c r="AB274" s="79">
        <f>IF($T274 &gt; 0, 100 - $AA274 - $AC274, 0)</f>
        <v>0</v>
      </c>
      <c r="AC274" s="73">
        <v>0</v>
      </c>
      <c r="AD274" s="79">
        <v>0</v>
      </c>
      <c r="AE274" s="79">
        <f>IF($U274 &gt; 0, 100 - $AD274 - $AF274, 0)</f>
        <v>0</v>
      </c>
      <c r="AF274" s="73">
        <v>0</v>
      </c>
      <c r="AG274" s="16" t="s">
        <v>43</v>
      </c>
      <c r="AH274" s="16" t="s">
        <v>525</v>
      </c>
      <c r="AJ274" s="22"/>
      <c r="AN274" s="83"/>
      <c r="AO274" s="83"/>
      <c r="AP274" s="83"/>
      <c r="AQ274" s="83"/>
      <c r="AR274" s="83"/>
      <c r="AS274" s="83"/>
      <c r="AT274" s="83"/>
      <c r="AU274" s="83"/>
    </row>
    <row r="275" spans="1:47" s="16" customFormat="1" ht="12">
      <c r="A275" s="16" t="s">
        <v>882</v>
      </c>
      <c r="B275" s="17" t="s">
        <v>883</v>
      </c>
      <c r="C275" s="18" t="s">
        <v>129</v>
      </c>
      <c r="D275" s="18" t="s">
        <v>413</v>
      </c>
      <c r="E275" s="16" t="s">
        <v>311</v>
      </c>
      <c r="G275" s="16" t="s">
        <v>414</v>
      </c>
      <c r="H275" s="16" t="s">
        <v>879</v>
      </c>
      <c r="J275" s="16">
        <v>0</v>
      </c>
      <c r="K275" s="16">
        <v>45</v>
      </c>
      <c r="L275" s="16" t="s">
        <v>38</v>
      </c>
      <c r="M275" s="16" t="s">
        <v>39</v>
      </c>
      <c r="N275" s="16" t="s">
        <v>523</v>
      </c>
      <c r="P275" s="16">
        <v>0</v>
      </c>
      <c r="Q275" s="29" t="s">
        <v>558</v>
      </c>
      <c r="R275" s="89">
        <v>0</v>
      </c>
      <c r="S275" s="89">
        <f>100 - R275 - U275 - T275</f>
        <v>100</v>
      </c>
      <c r="T275" s="89">
        <v>0</v>
      </c>
      <c r="U275" s="89">
        <v>0</v>
      </c>
      <c r="V275" s="89">
        <v>0</v>
      </c>
      <c r="W275" s="90">
        <f>IF($R275 &gt; 0, 100 - $V275, 0)</f>
        <v>0</v>
      </c>
      <c r="X275" s="89">
        <v>100</v>
      </c>
      <c r="Y275" s="79">
        <f>IF($S275 &gt; 0, 100 - $X275 - $Z275, 0)</f>
        <v>0</v>
      </c>
      <c r="Z275" s="90">
        <v>0</v>
      </c>
      <c r="AA275" s="89">
        <v>0</v>
      </c>
      <c r="AB275" s="79">
        <f>IF($T275 &gt; 0, 100 - $AA275 - $AC275, 0)</f>
        <v>0</v>
      </c>
      <c r="AC275" s="90">
        <v>0</v>
      </c>
      <c r="AD275" s="79">
        <v>0</v>
      </c>
      <c r="AE275" s="79">
        <f>IF($U275 &gt; 0, 100 - $AD275 - $AF275, 0)</f>
        <v>0</v>
      </c>
      <c r="AF275" s="90">
        <v>0</v>
      </c>
      <c r="AG275" s="16" t="s">
        <v>43</v>
      </c>
      <c r="AH275" s="16" t="s">
        <v>525</v>
      </c>
      <c r="AJ275" s="22"/>
      <c r="AN275" s="83"/>
      <c r="AO275" s="83"/>
      <c r="AP275" s="83"/>
      <c r="AQ275" s="83"/>
      <c r="AR275" s="83"/>
      <c r="AS275" s="83"/>
      <c r="AT275" s="83"/>
      <c r="AU275" s="83"/>
    </row>
    <row r="276" spans="1:47" s="16" customFormat="1" ht="12">
      <c r="A276" s="16" t="s">
        <v>884</v>
      </c>
      <c r="B276" s="17" t="s">
        <v>885</v>
      </c>
      <c r="C276" s="18" t="s">
        <v>129</v>
      </c>
      <c r="D276" s="18" t="s">
        <v>413</v>
      </c>
      <c r="E276" s="16" t="s">
        <v>311</v>
      </c>
      <c r="G276" s="16" t="s">
        <v>414</v>
      </c>
      <c r="H276" s="16" t="s">
        <v>557</v>
      </c>
      <c r="J276" s="16">
        <v>0</v>
      </c>
      <c r="K276" s="16">
        <v>45</v>
      </c>
      <c r="L276" s="16" t="s">
        <v>38</v>
      </c>
      <c r="M276" s="16" t="s">
        <v>39</v>
      </c>
      <c r="N276" s="16" t="s">
        <v>523</v>
      </c>
      <c r="P276" s="16">
        <v>0</v>
      </c>
      <c r="Q276" s="29" t="s">
        <v>812</v>
      </c>
      <c r="R276" s="89">
        <v>0</v>
      </c>
      <c r="S276" s="89">
        <f>100 - R276 - U276 - T276</f>
        <v>100</v>
      </c>
      <c r="T276" s="89">
        <v>0</v>
      </c>
      <c r="U276" s="89">
        <v>0</v>
      </c>
      <c r="V276" s="89">
        <v>0</v>
      </c>
      <c r="W276" s="90">
        <f>IF($R276 &gt; 0, 100 - $V276, 0)</f>
        <v>0</v>
      </c>
      <c r="X276" s="89">
        <v>10</v>
      </c>
      <c r="Y276" s="79">
        <f>IF($S276 &gt; 0, 100 - $X276 - $Z276, 0)</f>
        <v>90</v>
      </c>
      <c r="Z276" s="90">
        <v>0</v>
      </c>
      <c r="AA276" s="79">
        <v>0</v>
      </c>
      <c r="AB276" s="79">
        <f>IF($T276 &gt; 0, 100 - $AA276 - $AC276, 0)</f>
        <v>0</v>
      </c>
      <c r="AC276" s="73">
        <v>0</v>
      </c>
      <c r="AD276" s="79">
        <v>0</v>
      </c>
      <c r="AE276" s="79">
        <f>IF($U276 &gt; 0, 100 - $AD276 - $AF276, 0)</f>
        <v>0</v>
      </c>
      <c r="AF276" s="73">
        <v>0</v>
      </c>
      <c r="AG276" s="16" t="s">
        <v>43</v>
      </c>
      <c r="AH276" s="16" t="s">
        <v>525</v>
      </c>
      <c r="AJ276" s="22"/>
      <c r="AN276" s="83"/>
      <c r="AO276" s="83"/>
      <c r="AP276" s="83"/>
      <c r="AQ276" s="83"/>
      <c r="AR276" s="83"/>
      <c r="AS276" s="83"/>
      <c r="AT276" s="83"/>
      <c r="AU276" s="83"/>
    </row>
    <row r="277" spans="1:47" s="16" customFormat="1" ht="12">
      <c r="A277" s="16" t="s">
        <v>886</v>
      </c>
      <c r="B277" s="17" t="s">
        <v>887</v>
      </c>
      <c r="C277" s="18" t="s">
        <v>129</v>
      </c>
      <c r="D277" s="18" t="s">
        <v>413</v>
      </c>
      <c r="E277" s="16" t="s">
        <v>311</v>
      </c>
      <c r="G277" s="16" t="s">
        <v>414</v>
      </c>
      <c r="H277" s="16" t="s">
        <v>522</v>
      </c>
      <c r="J277" s="16">
        <v>0</v>
      </c>
      <c r="K277" s="16">
        <v>45</v>
      </c>
      <c r="L277" s="16" t="s">
        <v>38</v>
      </c>
      <c r="M277" s="16" t="s">
        <v>39</v>
      </c>
      <c r="N277" s="16" t="s">
        <v>523</v>
      </c>
      <c r="P277" s="16">
        <v>0</v>
      </c>
      <c r="Q277" s="29" t="s">
        <v>558</v>
      </c>
      <c r="R277" s="89">
        <v>0</v>
      </c>
      <c r="S277" s="89">
        <f>100 - R277 - U277 - T277</f>
        <v>100</v>
      </c>
      <c r="T277" s="89">
        <v>0</v>
      </c>
      <c r="U277" s="89">
        <v>0</v>
      </c>
      <c r="V277" s="89">
        <v>0</v>
      </c>
      <c r="W277" s="90">
        <f>IF($R277 &gt; 0, 100 - $V277, 0)</f>
        <v>0</v>
      </c>
      <c r="X277" s="79">
        <v>95</v>
      </c>
      <c r="Y277" s="79">
        <f>IF($S277 &gt; 0, 100 - $X277 - $Z277, 0)</f>
        <v>0</v>
      </c>
      <c r="Z277" s="73">
        <v>5</v>
      </c>
      <c r="AA277" s="79">
        <v>0</v>
      </c>
      <c r="AB277" s="79">
        <f>IF($T277 &gt; 0, 100 - $AA277 - $AC277, 0)</f>
        <v>0</v>
      </c>
      <c r="AC277" s="73">
        <v>0</v>
      </c>
      <c r="AD277" s="79">
        <v>0</v>
      </c>
      <c r="AE277" s="79">
        <f>IF($U277 &gt; 0, 100 - $AD277 - $AF277, 0)</f>
        <v>0</v>
      </c>
      <c r="AF277" s="73">
        <v>0</v>
      </c>
      <c r="AG277" s="16" t="s">
        <v>43</v>
      </c>
      <c r="AH277" s="16" t="s">
        <v>525</v>
      </c>
      <c r="AI277" s="22"/>
      <c r="AJ277" s="22"/>
      <c r="AN277" s="83"/>
      <c r="AO277" s="83"/>
      <c r="AP277" s="83"/>
      <c r="AQ277" s="83"/>
      <c r="AR277" s="83"/>
      <c r="AS277" s="83"/>
      <c r="AT277" s="83"/>
      <c r="AU277" s="83"/>
    </row>
    <row r="278" spans="1:47" s="16" customFormat="1" ht="12">
      <c r="A278" s="16" t="s">
        <v>888</v>
      </c>
      <c r="B278" s="17" t="s">
        <v>889</v>
      </c>
      <c r="C278" s="18" t="s">
        <v>129</v>
      </c>
      <c r="D278" s="18" t="s">
        <v>413</v>
      </c>
      <c r="E278" s="16" t="s">
        <v>311</v>
      </c>
      <c r="G278" s="16" t="s">
        <v>414</v>
      </c>
      <c r="H278" s="16" t="s">
        <v>522</v>
      </c>
      <c r="J278" s="16">
        <v>0</v>
      </c>
      <c r="K278" s="16">
        <v>45</v>
      </c>
      <c r="L278" s="16" t="s">
        <v>38</v>
      </c>
      <c r="M278" s="16" t="s">
        <v>39</v>
      </c>
      <c r="N278" s="16" t="s">
        <v>523</v>
      </c>
      <c r="P278" s="16">
        <v>0</v>
      </c>
      <c r="Q278" s="29" t="s">
        <v>558</v>
      </c>
      <c r="R278" s="89">
        <v>0</v>
      </c>
      <c r="S278" s="89">
        <f>100 - R278 - U278 - T278</f>
        <v>100</v>
      </c>
      <c r="T278" s="89">
        <v>0</v>
      </c>
      <c r="U278" s="90">
        <v>0</v>
      </c>
      <c r="V278" s="89">
        <v>0</v>
      </c>
      <c r="W278" s="90">
        <f>IF($R278 &gt; 0, 100 - $V278, 0)</f>
        <v>0</v>
      </c>
      <c r="X278" s="79">
        <v>98</v>
      </c>
      <c r="Y278" s="79">
        <f>IF($S278 &gt; 0, 100 - $X278 - $Z278, 0)</f>
        <v>0</v>
      </c>
      <c r="Z278" s="73">
        <v>2</v>
      </c>
      <c r="AA278" s="79">
        <v>0</v>
      </c>
      <c r="AB278" s="79">
        <f>IF($T278 &gt; 0, 100 - $AA278 - $AC278, 0)</f>
        <v>0</v>
      </c>
      <c r="AC278" s="73">
        <v>0</v>
      </c>
      <c r="AD278" s="79">
        <v>0</v>
      </c>
      <c r="AE278" s="79">
        <f>IF($U278 &gt; 0, 100 - $AD278 - $AF278, 0)</f>
        <v>0</v>
      </c>
      <c r="AF278" s="73">
        <v>0</v>
      </c>
      <c r="AG278" s="16" t="s">
        <v>43</v>
      </c>
      <c r="AH278" s="16" t="s">
        <v>525</v>
      </c>
      <c r="AI278" s="22"/>
      <c r="AJ278" s="22"/>
      <c r="AN278" s="83"/>
      <c r="AO278" s="83"/>
      <c r="AP278" s="83"/>
      <c r="AQ278" s="83"/>
      <c r="AR278" s="83"/>
      <c r="AS278" s="83"/>
      <c r="AT278" s="83"/>
      <c r="AU278" s="83"/>
    </row>
    <row r="279" spans="1:47" s="16" customFormat="1" ht="12">
      <c r="A279" s="16" t="s">
        <v>890</v>
      </c>
      <c r="B279" s="17" t="s">
        <v>891</v>
      </c>
      <c r="C279" s="18" t="s">
        <v>129</v>
      </c>
      <c r="D279" s="18" t="s">
        <v>310</v>
      </c>
      <c r="E279" s="16" t="s">
        <v>311</v>
      </c>
      <c r="G279" s="16" t="s">
        <v>703</v>
      </c>
      <c r="H279" s="16" t="s">
        <v>801</v>
      </c>
      <c r="J279" s="16">
        <v>0</v>
      </c>
      <c r="K279" s="16">
        <v>0</v>
      </c>
      <c r="L279" s="16" t="s">
        <v>304</v>
      </c>
      <c r="M279" s="16" t="s">
        <v>685</v>
      </c>
      <c r="N279" s="16" t="s">
        <v>892</v>
      </c>
      <c r="O279" s="16" t="s">
        <v>893</v>
      </c>
      <c r="P279" s="16">
        <v>0</v>
      </c>
      <c r="Q279" s="29"/>
      <c r="R279" s="89">
        <v>0</v>
      </c>
      <c r="S279" s="89">
        <f>100 - R279 - U279 - T279</f>
        <v>100</v>
      </c>
      <c r="T279" s="89">
        <v>0</v>
      </c>
      <c r="U279" s="90">
        <v>0</v>
      </c>
      <c r="V279" s="89">
        <v>0</v>
      </c>
      <c r="W279" s="90">
        <f>IF($R279 &gt; 0, 100 - $V279, 0)</f>
        <v>0</v>
      </c>
      <c r="X279" s="79">
        <v>11.5</v>
      </c>
      <c r="Y279" s="79">
        <f>IF($S279 &gt; 0, 100 - $X279 - $Z279, 0)</f>
        <v>87.95</v>
      </c>
      <c r="Z279" s="73">
        <v>0.55000000000000004</v>
      </c>
      <c r="AA279" s="79">
        <v>0</v>
      </c>
      <c r="AB279" s="79">
        <f>IF($T279 &gt; 0, 100 - $AA279 - $AC279, 0)</f>
        <v>0</v>
      </c>
      <c r="AC279" s="73">
        <v>0</v>
      </c>
      <c r="AD279" s="79">
        <v>0</v>
      </c>
      <c r="AE279" s="79">
        <f>IF($U279 &gt; 0, 100 - $AD279 - $AF279, 0)</f>
        <v>0</v>
      </c>
      <c r="AF279" s="73">
        <v>0</v>
      </c>
      <c r="AG279" s="16" t="s">
        <v>43</v>
      </c>
      <c r="AH279" s="23" t="s">
        <v>894</v>
      </c>
      <c r="AI279" s="16" t="s">
        <v>895</v>
      </c>
      <c r="AN279" s="83"/>
      <c r="AO279" s="83"/>
      <c r="AP279" s="83"/>
      <c r="AQ279" s="83"/>
      <c r="AR279" s="83"/>
      <c r="AS279" s="83"/>
      <c r="AT279" s="83"/>
      <c r="AU279" s="83"/>
    </row>
    <row r="280" spans="1:47" s="16" customFormat="1" ht="12">
      <c r="A280" s="19" t="s">
        <v>896</v>
      </c>
      <c r="B280" s="20" t="s">
        <v>897</v>
      </c>
      <c r="C280" s="21" t="s">
        <v>129</v>
      </c>
      <c r="D280" s="21" t="s">
        <v>310</v>
      </c>
      <c r="E280" s="19" t="s">
        <v>311</v>
      </c>
      <c r="F280" s="19"/>
      <c r="G280" s="19" t="s">
        <v>703</v>
      </c>
      <c r="H280" s="19" t="s">
        <v>801</v>
      </c>
      <c r="I280" s="19"/>
      <c r="J280" s="19">
        <v>0</v>
      </c>
      <c r="K280" s="19">
        <v>0</v>
      </c>
      <c r="L280" s="19" t="s">
        <v>304</v>
      </c>
      <c r="M280" s="19" t="s">
        <v>685</v>
      </c>
      <c r="N280" s="19" t="s">
        <v>898</v>
      </c>
      <c r="O280" s="19" t="s">
        <v>893</v>
      </c>
      <c r="P280" s="19">
        <v>0</v>
      </c>
      <c r="Q280" s="30"/>
      <c r="R280" s="89">
        <v>0</v>
      </c>
      <c r="S280" s="89">
        <f>100 - R280 - U280 - T280</f>
        <v>100</v>
      </c>
      <c r="T280" s="89">
        <v>0</v>
      </c>
      <c r="U280" s="90">
        <v>0</v>
      </c>
      <c r="V280" s="89">
        <v>0</v>
      </c>
      <c r="W280" s="90">
        <f>IF($R280 &gt; 0, 100 - $V280, 0)</f>
        <v>0</v>
      </c>
      <c r="X280" s="91">
        <v>36</v>
      </c>
      <c r="Y280" s="79">
        <f>IF($S280 &gt; 0, 100 - $X280 - $Z280, 0)</f>
        <v>62</v>
      </c>
      <c r="Z280" s="92">
        <v>2</v>
      </c>
      <c r="AA280" s="89">
        <v>0</v>
      </c>
      <c r="AB280" s="79">
        <f>IF($T280 &gt; 0, 100 - $AA280 - $AC280, 0)</f>
        <v>0</v>
      </c>
      <c r="AC280" s="90">
        <v>0</v>
      </c>
      <c r="AD280" s="79">
        <v>0</v>
      </c>
      <c r="AE280" s="79">
        <f>IF($U280 &gt; 0, 100 - $AD280 - $AF280, 0)</f>
        <v>0</v>
      </c>
      <c r="AF280" s="90">
        <v>0</v>
      </c>
      <c r="AG280" s="19" t="s">
        <v>43</v>
      </c>
      <c r="AH280" s="23" t="s">
        <v>899</v>
      </c>
      <c r="AI280" s="19" t="s">
        <v>900</v>
      </c>
      <c r="AJ280" s="70"/>
      <c r="AK280" s="19"/>
      <c r="AN280" s="83"/>
      <c r="AO280" s="83"/>
      <c r="AP280" s="83"/>
      <c r="AQ280" s="83"/>
      <c r="AR280" s="83"/>
      <c r="AS280" s="83"/>
      <c r="AT280" s="83"/>
      <c r="AU280" s="83"/>
    </row>
    <row r="281" spans="1:47" s="16" customFormat="1" ht="12">
      <c r="A281" s="16" t="s">
        <v>901</v>
      </c>
      <c r="B281" s="17" t="s">
        <v>902</v>
      </c>
      <c r="C281" s="18" t="s">
        <v>903</v>
      </c>
      <c r="D281" s="18" t="s">
        <v>310</v>
      </c>
      <c r="E281" s="16" t="s">
        <v>311</v>
      </c>
      <c r="G281" s="16" t="s">
        <v>414</v>
      </c>
      <c r="H281" s="16" t="s">
        <v>904</v>
      </c>
      <c r="J281" s="16">
        <v>20</v>
      </c>
      <c r="K281" s="16">
        <v>32</v>
      </c>
      <c r="L281" s="16" t="s">
        <v>38</v>
      </c>
      <c r="M281" s="16" t="s">
        <v>393</v>
      </c>
      <c r="N281" s="16" t="s">
        <v>905</v>
      </c>
      <c r="O281" s="16" t="s">
        <v>906</v>
      </c>
      <c r="P281" s="16">
        <v>0</v>
      </c>
      <c r="Q281" s="29" t="s">
        <v>907</v>
      </c>
      <c r="R281" s="89">
        <v>0</v>
      </c>
      <c r="S281" s="89">
        <f>100 - R281 - U281 - T281</f>
        <v>100</v>
      </c>
      <c r="T281" s="89">
        <v>0</v>
      </c>
      <c r="U281" s="89">
        <v>0</v>
      </c>
      <c r="V281" s="89">
        <v>0</v>
      </c>
      <c r="W281" s="90">
        <f>IF($R281 &gt; 0, 100 - $V281, 0)</f>
        <v>0</v>
      </c>
      <c r="X281" s="79">
        <v>7</v>
      </c>
      <c r="Y281" s="79">
        <f>IF($S281 &gt; 0, 100 - $X281 - $Z281, 0)</f>
        <v>92</v>
      </c>
      <c r="Z281" s="73">
        <v>1</v>
      </c>
      <c r="AA281" s="89">
        <v>0</v>
      </c>
      <c r="AB281" s="79">
        <f>IF($T281 &gt; 0, 100 - $AA281 - $AC281, 0)</f>
        <v>0</v>
      </c>
      <c r="AC281" s="90">
        <v>0</v>
      </c>
      <c r="AD281" s="79">
        <v>0</v>
      </c>
      <c r="AE281" s="79">
        <f>IF($U281 &gt; 0, 100 - $AD281 - $AF281, 0)</f>
        <v>0</v>
      </c>
      <c r="AF281" s="90">
        <v>0</v>
      </c>
      <c r="AG281" s="16" t="s">
        <v>43</v>
      </c>
      <c r="AH281" s="23" t="s">
        <v>908</v>
      </c>
      <c r="AI281" s="16" t="s">
        <v>909</v>
      </c>
      <c r="AJ281" s="22"/>
      <c r="AN281" s="83"/>
      <c r="AO281" s="83"/>
      <c r="AP281" s="83"/>
      <c r="AQ281" s="83"/>
      <c r="AR281" s="83"/>
      <c r="AS281" s="83"/>
      <c r="AT281" s="83"/>
      <c r="AU281" s="83"/>
    </row>
    <row r="282" spans="1:47" s="16" customFormat="1" ht="12">
      <c r="A282" s="16" t="s">
        <v>910</v>
      </c>
      <c r="B282" s="17" t="s">
        <v>911</v>
      </c>
      <c r="C282" s="18" t="s">
        <v>903</v>
      </c>
      <c r="D282" s="18" t="s">
        <v>310</v>
      </c>
      <c r="E282" s="16" t="s">
        <v>311</v>
      </c>
      <c r="G282" s="16" t="s">
        <v>414</v>
      </c>
      <c r="H282" s="16" t="s">
        <v>904</v>
      </c>
      <c r="J282" s="16">
        <v>32</v>
      </c>
      <c r="K282" s="16">
        <v>45</v>
      </c>
      <c r="L282" s="16" t="s">
        <v>38</v>
      </c>
      <c r="M282" s="16" t="s">
        <v>393</v>
      </c>
      <c r="N282" s="16" t="s">
        <v>905</v>
      </c>
      <c r="O282" s="16" t="s">
        <v>906</v>
      </c>
      <c r="P282" s="16">
        <v>0</v>
      </c>
      <c r="Q282" s="29" t="s">
        <v>907</v>
      </c>
      <c r="R282" s="89">
        <v>0</v>
      </c>
      <c r="S282" s="89">
        <f>100 - R282 - U282 - T282</f>
        <v>100</v>
      </c>
      <c r="T282" s="89">
        <v>0</v>
      </c>
      <c r="U282" s="90">
        <v>0</v>
      </c>
      <c r="V282" s="89">
        <v>0</v>
      </c>
      <c r="W282" s="90">
        <f>IF($R282 &gt; 0, 100 - $V282, 0)</f>
        <v>0</v>
      </c>
      <c r="X282" s="79">
        <v>7</v>
      </c>
      <c r="Y282" s="79">
        <f>IF($S282 &gt; 0, 100 - $X282 - $Z282, 0)</f>
        <v>92</v>
      </c>
      <c r="Z282" s="73">
        <v>1</v>
      </c>
      <c r="AA282" s="79">
        <v>0</v>
      </c>
      <c r="AB282" s="79">
        <f>IF($T282 &gt; 0, 100 - $AA282 - $AC282, 0)</f>
        <v>0</v>
      </c>
      <c r="AC282" s="73">
        <v>0</v>
      </c>
      <c r="AD282" s="79">
        <v>0</v>
      </c>
      <c r="AE282" s="79">
        <f>IF($U282 &gt; 0, 100 - $AD282 - $AF282, 0)</f>
        <v>0</v>
      </c>
      <c r="AF282" s="73">
        <v>0</v>
      </c>
      <c r="AG282" s="16" t="s">
        <v>43</v>
      </c>
      <c r="AH282" s="23" t="s">
        <v>908</v>
      </c>
      <c r="AI282" s="16" t="s">
        <v>909</v>
      </c>
      <c r="AJ282" s="22"/>
      <c r="AN282" s="83"/>
      <c r="AO282" s="83"/>
      <c r="AP282" s="83"/>
      <c r="AQ282" s="83"/>
      <c r="AR282" s="83"/>
      <c r="AS282" s="83"/>
      <c r="AT282" s="83"/>
      <c r="AU282" s="83"/>
    </row>
    <row r="283" spans="1:47" s="16" customFormat="1" ht="12">
      <c r="A283" s="16" t="s">
        <v>912</v>
      </c>
      <c r="B283" s="17" t="s">
        <v>913</v>
      </c>
      <c r="C283" s="18" t="s">
        <v>903</v>
      </c>
      <c r="D283" s="18" t="s">
        <v>310</v>
      </c>
      <c r="E283" s="16" t="s">
        <v>311</v>
      </c>
      <c r="G283" s="16" t="s">
        <v>414</v>
      </c>
      <c r="H283" s="16" t="s">
        <v>904</v>
      </c>
      <c r="J283" s="16">
        <v>45</v>
      </c>
      <c r="K283" s="16">
        <v>63</v>
      </c>
      <c r="L283" s="16" t="s">
        <v>38</v>
      </c>
      <c r="M283" s="16" t="s">
        <v>393</v>
      </c>
      <c r="N283" s="16" t="s">
        <v>905</v>
      </c>
      <c r="O283" s="16" t="s">
        <v>906</v>
      </c>
      <c r="P283" s="16">
        <v>0</v>
      </c>
      <c r="Q283" s="29" t="s">
        <v>907</v>
      </c>
      <c r="R283" s="89">
        <v>0</v>
      </c>
      <c r="S283" s="89">
        <f>100 - R283 - U283 - T283</f>
        <v>100</v>
      </c>
      <c r="T283" s="89">
        <v>0</v>
      </c>
      <c r="U283" s="89">
        <v>0</v>
      </c>
      <c r="V283" s="89">
        <v>0</v>
      </c>
      <c r="W283" s="90">
        <f>IF($R283 &gt; 0, 100 - $V283, 0)</f>
        <v>0</v>
      </c>
      <c r="X283" s="79">
        <v>7</v>
      </c>
      <c r="Y283" s="79">
        <f>IF($S283 &gt; 0, 100 - $X283 - $Z283, 0)</f>
        <v>92</v>
      </c>
      <c r="Z283" s="73">
        <v>1</v>
      </c>
      <c r="AA283" s="89">
        <v>0</v>
      </c>
      <c r="AB283" s="79">
        <f>IF($T283 &gt; 0, 100 - $AA283 - $AC283, 0)</f>
        <v>0</v>
      </c>
      <c r="AC283" s="90">
        <v>0</v>
      </c>
      <c r="AD283" s="79">
        <v>0</v>
      </c>
      <c r="AE283" s="79">
        <f>IF($U283 &gt; 0, 100 - $AD283 - $AF283, 0)</f>
        <v>0</v>
      </c>
      <c r="AF283" s="90">
        <v>0</v>
      </c>
      <c r="AG283" s="16" t="s">
        <v>43</v>
      </c>
      <c r="AH283" s="23" t="s">
        <v>908</v>
      </c>
      <c r="AI283" s="16" t="s">
        <v>909</v>
      </c>
      <c r="AJ283" s="22"/>
      <c r="AN283" s="83"/>
      <c r="AO283" s="83"/>
      <c r="AP283" s="83"/>
      <c r="AQ283" s="83"/>
      <c r="AR283" s="83"/>
      <c r="AS283" s="83"/>
      <c r="AT283" s="83"/>
      <c r="AU283" s="83"/>
    </row>
    <row r="284" spans="1:47" s="16" customFormat="1" ht="12">
      <c r="A284" s="16" t="s">
        <v>914</v>
      </c>
      <c r="B284" s="17" t="s">
        <v>915</v>
      </c>
      <c r="C284" s="18" t="s">
        <v>903</v>
      </c>
      <c r="D284" s="18" t="s">
        <v>310</v>
      </c>
      <c r="E284" s="16" t="s">
        <v>311</v>
      </c>
      <c r="G284" s="16" t="s">
        <v>414</v>
      </c>
      <c r="H284" s="16" t="s">
        <v>904</v>
      </c>
      <c r="J284" s="16">
        <v>63</v>
      </c>
      <c r="K284" s="16">
        <v>75</v>
      </c>
      <c r="L284" s="16" t="s">
        <v>38</v>
      </c>
      <c r="M284" s="16" t="s">
        <v>393</v>
      </c>
      <c r="N284" s="16" t="s">
        <v>905</v>
      </c>
      <c r="O284" s="16" t="s">
        <v>906</v>
      </c>
      <c r="P284" s="16">
        <v>0</v>
      </c>
      <c r="Q284" s="29" t="s">
        <v>907</v>
      </c>
      <c r="R284" s="89">
        <v>0</v>
      </c>
      <c r="S284" s="89">
        <f>100 - R284 - U284 - T284</f>
        <v>100</v>
      </c>
      <c r="T284" s="89">
        <v>0</v>
      </c>
      <c r="U284" s="89">
        <v>0</v>
      </c>
      <c r="V284" s="89">
        <v>0</v>
      </c>
      <c r="W284" s="90">
        <f>IF($R284 &gt; 0, 100 - $V284, 0)</f>
        <v>0</v>
      </c>
      <c r="X284" s="79">
        <v>7</v>
      </c>
      <c r="Y284" s="79">
        <f>IF($S284 &gt; 0, 100 - $X284 - $Z284, 0)</f>
        <v>92</v>
      </c>
      <c r="Z284" s="73">
        <v>1</v>
      </c>
      <c r="AA284" s="79">
        <v>0</v>
      </c>
      <c r="AB284" s="79">
        <f>IF($T284 &gt; 0, 100 - $AA284 - $AC284, 0)</f>
        <v>0</v>
      </c>
      <c r="AC284" s="73">
        <v>0</v>
      </c>
      <c r="AD284" s="79">
        <v>0</v>
      </c>
      <c r="AE284" s="79">
        <f>IF($U284 &gt; 0, 100 - $AD284 - $AF284, 0)</f>
        <v>0</v>
      </c>
      <c r="AF284" s="73">
        <v>0</v>
      </c>
      <c r="AG284" s="16" t="s">
        <v>43</v>
      </c>
      <c r="AH284" s="23" t="s">
        <v>908</v>
      </c>
      <c r="AI284" s="16" t="s">
        <v>909</v>
      </c>
      <c r="AJ284" s="22"/>
      <c r="AN284" s="83"/>
      <c r="AO284" s="83"/>
      <c r="AP284" s="83"/>
      <c r="AQ284" s="83"/>
      <c r="AR284" s="83"/>
      <c r="AS284" s="83"/>
      <c r="AT284" s="83"/>
      <c r="AU284" s="83"/>
    </row>
    <row r="285" spans="1:47" s="16" customFormat="1" ht="12">
      <c r="A285" s="16" t="s">
        <v>916</v>
      </c>
      <c r="B285" s="17" t="s">
        <v>917</v>
      </c>
      <c r="C285" s="18" t="s">
        <v>903</v>
      </c>
      <c r="D285" s="18" t="s">
        <v>310</v>
      </c>
      <c r="E285" s="16" t="s">
        <v>311</v>
      </c>
      <c r="G285" s="16" t="s">
        <v>414</v>
      </c>
      <c r="H285" s="16" t="s">
        <v>904</v>
      </c>
      <c r="J285" s="16">
        <v>75</v>
      </c>
      <c r="K285" s="16">
        <v>125</v>
      </c>
      <c r="L285" s="16" t="s">
        <v>38</v>
      </c>
      <c r="M285" s="16" t="s">
        <v>393</v>
      </c>
      <c r="N285" s="16" t="s">
        <v>905</v>
      </c>
      <c r="O285" s="16" t="s">
        <v>906</v>
      </c>
      <c r="P285" s="16">
        <v>0</v>
      </c>
      <c r="Q285" s="29" t="s">
        <v>907</v>
      </c>
      <c r="R285" s="89">
        <v>0</v>
      </c>
      <c r="S285" s="89">
        <f>100 - R285 - U285 - T285</f>
        <v>100</v>
      </c>
      <c r="T285" s="89">
        <v>0</v>
      </c>
      <c r="U285" s="90">
        <v>0</v>
      </c>
      <c r="V285" s="89">
        <v>0</v>
      </c>
      <c r="W285" s="90">
        <f>IF($R285 &gt; 0, 100 - $V285, 0)</f>
        <v>0</v>
      </c>
      <c r="X285" s="79">
        <v>7</v>
      </c>
      <c r="Y285" s="79">
        <f>IF($S285 &gt; 0, 100 - $X285 - $Z285, 0)</f>
        <v>92</v>
      </c>
      <c r="Z285" s="73">
        <v>1</v>
      </c>
      <c r="AA285" s="89">
        <v>0</v>
      </c>
      <c r="AB285" s="79">
        <f>IF($T285 &gt; 0, 100 - $AA285 - $AC285, 0)</f>
        <v>0</v>
      </c>
      <c r="AC285" s="90">
        <v>0</v>
      </c>
      <c r="AD285" s="79">
        <v>0</v>
      </c>
      <c r="AE285" s="79">
        <f>IF($U285 &gt; 0, 100 - $AD285 - $AF285, 0)</f>
        <v>0</v>
      </c>
      <c r="AF285" s="90">
        <v>0</v>
      </c>
      <c r="AG285" s="16" t="s">
        <v>43</v>
      </c>
      <c r="AH285" s="23" t="s">
        <v>908</v>
      </c>
      <c r="AI285" s="16" t="s">
        <v>909</v>
      </c>
      <c r="AJ285" s="22"/>
      <c r="AN285" s="83"/>
      <c r="AO285" s="83"/>
      <c r="AP285" s="83"/>
      <c r="AQ285" s="83"/>
      <c r="AR285" s="83"/>
      <c r="AS285" s="83"/>
      <c r="AT285" s="83"/>
      <c r="AU285" s="83"/>
    </row>
    <row r="286" spans="1:47" s="16" customFormat="1" ht="12">
      <c r="A286" s="16" t="s">
        <v>918</v>
      </c>
      <c r="B286" s="17" t="s">
        <v>919</v>
      </c>
      <c r="C286" s="18" t="s">
        <v>129</v>
      </c>
      <c r="D286" s="18" t="s">
        <v>34</v>
      </c>
      <c r="E286" s="16" t="s">
        <v>311</v>
      </c>
      <c r="G286" s="16" t="s">
        <v>414</v>
      </c>
      <c r="H286" s="16" t="s">
        <v>920</v>
      </c>
      <c r="J286" s="16">
        <v>75</v>
      </c>
      <c r="K286" s="16">
        <v>150</v>
      </c>
      <c r="L286" s="16" t="s">
        <v>38</v>
      </c>
      <c r="M286" s="16" t="s">
        <v>39</v>
      </c>
      <c r="N286" s="16" t="s">
        <v>680</v>
      </c>
      <c r="O286" s="16" t="s">
        <v>515</v>
      </c>
      <c r="P286" s="16">
        <v>0</v>
      </c>
      <c r="Q286" s="29" t="s">
        <v>921</v>
      </c>
      <c r="R286" s="89">
        <v>0</v>
      </c>
      <c r="S286" s="89">
        <f>100 - R286 - U286 - T286</f>
        <v>100</v>
      </c>
      <c r="T286" s="89">
        <v>0</v>
      </c>
      <c r="U286" s="90">
        <v>0</v>
      </c>
      <c r="V286" s="89">
        <v>0</v>
      </c>
      <c r="W286" s="90">
        <f>IF($R286 &gt; 0, 100 - $V286, 0)</f>
        <v>0</v>
      </c>
      <c r="X286" s="79">
        <f>(48+49)/2</f>
        <v>48.5</v>
      </c>
      <c r="Y286" s="79">
        <f>IF($S286 &gt; 0, 100 - $X286 - $Z286, 0)</f>
        <v>49.5</v>
      </c>
      <c r="Z286" s="73">
        <v>2</v>
      </c>
      <c r="AA286" s="79">
        <v>0</v>
      </c>
      <c r="AB286" s="79">
        <f>IF($T286 &gt; 0, 100 - $AA286 - $AC286, 0)</f>
        <v>0</v>
      </c>
      <c r="AC286" s="73">
        <v>0</v>
      </c>
      <c r="AD286" s="79">
        <v>0</v>
      </c>
      <c r="AE286" s="79">
        <f>IF($U286 &gt; 0, 100 - $AD286 - $AF286, 0)</f>
        <v>0</v>
      </c>
      <c r="AF286" s="73">
        <v>0</v>
      </c>
      <c r="AG286" s="16" t="s">
        <v>43</v>
      </c>
      <c r="AH286" s="16" t="s">
        <v>682</v>
      </c>
      <c r="AI286" s="22"/>
      <c r="AJ286" s="22"/>
      <c r="AN286" s="83"/>
      <c r="AO286" s="83"/>
      <c r="AP286" s="83"/>
      <c r="AQ286" s="83"/>
      <c r="AR286" s="83"/>
      <c r="AS286" s="83"/>
      <c r="AT286" s="83"/>
      <c r="AU286" s="83"/>
    </row>
    <row r="287" spans="1:47" s="16" customFormat="1" ht="12">
      <c r="A287" s="16" t="s">
        <v>922</v>
      </c>
      <c r="B287" s="17" t="s">
        <v>923</v>
      </c>
      <c r="C287" s="18" t="s">
        <v>129</v>
      </c>
      <c r="D287" s="18" t="s">
        <v>34</v>
      </c>
      <c r="E287" s="16" t="s">
        <v>311</v>
      </c>
      <c r="G287" s="16" t="s">
        <v>414</v>
      </c>
      <c r="H287" s="16" t="s">
        <v>507</v>
      </c>
      <c r="J287" s="16">
        <v>37</v>
      </c>
      <c r="K287" s="16">
        <v>63</v>
      </c>
      <c r="L287" s="16" t="s">
        <v>38</v>
      </c>
      <c r="M287" s="16" t="s">
        <v>39</v>
      </c>
      <c r="N287" s="16" t="s">
        <v>680</v>
      </c>
      <c r="O287" s="16" t="s">
        <v>515</v>
      </c>
      <c r="P287" s="16">
        <v>0</v>
      </c>
      <c r="Q287" s="29" t="s">
        <v>924</v>
      </c>
      <c r="R287" s="89">
        <v>0</v>
      </c>
      <c r="S287" s="89">
        <f>100 - R287 - U287 - T287</f>
        <v>100</v>
      </c>
      <c r="T287" s="89">
        <v>0</v>
      </c>
      <c r="U287" s="90">
        <v>0</v>
      </c>
      <c r="V287" s="89">
        <v>0</v>
      </c>
      <c r="W287" s="90">
        <f>IF($R287 &gt; 0, 100 - $V287, 0)</f>
        <v>0</v>
      </c>
      <c r="X287" s="89">
        <f>(47+51)/2</f>
        <v>49</v>
      </c>
      <c r="Y287" s="79">
        <f>IF($S287 &gt; 0, 100 - $X287 - $Z287, 0)</f>
        <v>49</v>
      </c>
      <c r="Z287" s="90">
        <v>2</v>
      </c>
      <c r="AA287" s="89">
        <v>0</v>
      </c>
      <c r="AB287" s="79">
        <f>IF($T287 &gt; 0, 100 - $AA287 - $AC287, 0)</f>
        <v>0</v>
      </c>
      <c r="AC287" s="90">
        <v>0</v>
      </c>
      <c r="AD287" s="79">
        <v>0</v>
      </c>
      <c r="AE287" s="79">
        <f>IF($U287 &gt; 0, 100 - $AD287 - $AF287, 0)</f>
        <v>0</v>
      </c>
      <c r="AF287" s="90">
        <v>0</v>
      </c>
      <c r="AG287" s="16" t="s">
        <v>43</v>
      </c>
      <c r="AH287" s="23" t="s">
        <v>925</v>
      </c>
      <c r="AI287" s="16" t="s">
        <v>926</v>
      </c>
      <c r="AJ287" s="22"/>
      <c r="AN287" s="83"/>
      <c r="AO287" s="83"/>
      <c r="AP287" s="83"/>
      <c r="AQ287" s="83"/>
      <c r="AR287" s="83"/>
      <c r="AS287" s="83"/>
      <c r="AT287" s="83"/>
      <c r="AU287" s="83"/>
    </row>
    <row r="288" spans="1:47" s="16" customFormat="1" ht="12">
      <c r="A288" s="16" t="s">
        <v>927</v>
      </c>
      <c r="B288" s="17" t="s">
        <v>928</v>
      </c>
      <c r="C288" s="18" t="s">
        <v>129</v>
      </c>
      <c r="D288" s="18" t="s">
        <v>310</v>
      </c>
      <c r="E288" s="16" t="s">
        <v>311</v>
      </c>
      <c r="G288" s="16" t="s">
        <v>703</v>
      </c>
      <c r="H288" s="16" t="s">
        <v>928</v>
      </c>
      <c r="J288" s="16">
        <v>0</v>
      </c>
      <c r="K288" s="16">
        <v>250</v>
      </c>
      <c r="M288" s="16" t="s">
        <v>929</v>
      </c>
      <c r="N288" s="16" t="s">
        <v>930</v>
      </c>
      <c r="O288" s="16" t="s">
        <v>931</v>
      </c>
      <c r="P288" s="16">
        <v>0</v>
      </c>
      <c r="Q288" s="29" t="s">
        <v>932</v>
      </c>
      <c r="R288" s="89">
        <v>0</v>
      </c>
      <c r="S288" s="89">
        <f>100 - R288 - U288 - T288</f>
        <v>100</v>
      </c>
      <c r="T288" s="89">
        <v>0</v>
      </c>
      <c r="U288" s="90">
        <v>0</v>
      </c>
      <c r="V288" s="89">
        <v>0</v>
      </c>
      <c r="W288" s="90">
        <f>IF($R288 &gt; 0, 100 - $V288, 0)</f>
        <v>0</v>
      </c>
      <c r="X288" s="89">
        <v>12.63</v>
      </c>
      <c r="Y288" s="79">
        <f>IF($S288 &gt; 0, 100 - $X288 - $Z288, 0)</f>
        <v>86.59</v>
      </c>
      <c r="Z288" s="90">
        <v>0.78</v>
      </c>
      <c r="AA288" s="79">
        <v>0</v>
      </c>
      <c r="AB288" s="79">
        <f>IF($T288 &gt; 0, 100 - $AA288 - $AC288, 0)</f>
        <v>0</v>
      </c>
      <c r="AC288" s="73">
        <v>0</v>
      </c>
      <c r="AD288" s="79">
        <v>0</v>
      </c>
      <c r="AE288" s="79">
        <f>IF($U288 &gt; 0, 100 - $AD288 - $AF288, 0)</f>
        <v>0</v>
      </c>
      <c r="AF288" s="73">
        <v>0</v>
      </c>
      <c r="AG288" s="16" t="s">
        <v>43</v>
      </c>
      <c r="AH288" s="16" t="s">
        <v>933</v>
      </c>
      <c r="AN288" s="83"/>
      <c r="AO288" s="83"/>
      <c r="AP288" s="83"/>
      <c r="AQ288" s="83"/>
      <c r="AR288" s="83"/>
      <c r="AS288" s="83"/>
      <c r="AT288" s="83"/>
      <c r="AU288" s="83"/>
    </row>
    <row r="289" spans="1:47" s="16" customFormat="1" ht="12">
      <c r="A289" s="16" t="s">
        <v>934</v>
      </c>
      <c r="B289" s="17" t="s">
        <v>928</v>
      </c>
      <c r="C289" s="18" t="s">
        <v>129</v>
      </c>
      <c r="D289" s="18" t="s">
        <v>310</v>
      </c>
      <c r="E289" s="16" t="s">
        <v>311</v>
      </c>
      <c r="G289" s="16" t="s">
        <v>703</v>
      </c>
      <c r="H289" s="16" t="s">
        <v>928</v>
      </c>
      <c r="J289" s="16">
        <v>0</v>
      </c>
      <c r="K289" s="16">
        <v>150</v>
      </c>
      <c r="L289" s="16" t="s">
        <v>38</v>
      </c>
      <c r="M289" s="16" t="s">
        <v>11</v>
      </c>
      <c r="N289" s="16" t="s">
        <v>935</v>
      </c>
      <c r="O289" s="16" t="s">
        <v>931</v>
      </c>
      <c r="P289" s="16">
        <v>0</v>
      </c>
      <c r="Q289" s="29" t="s">
        <v>936</v>
      </c>
      <c r="R289" s="89">
        <v>0</v>
      </c>
      <c r="S289" s="89">
        <f>100 - R289 - U289 - T289</f>
        <v>100</v>
      </c>
      <c r="T289" s="89">
        <v>0</v>
      </c>
      <c r="U289" s="90">
        <v>0</v>
      </c>
      <c r="V289" s="89">
        <v>0</v>
      </c>
      <c r="W289" s="90">
        <f>IF($R289 &gt; 0, 100 - $V289, 0)</f>
        <v>0</v>
      </c>
      <c r="X289" s="89">
        <v>12.63</v>
      </c>
      <c r="Y289" s="79">
        <f>IF($S289 &gt; 0, 100 - $X289 - $Z289, 0)</f>
        <v>86.59</v>
      </c>
      <c r="Z289" s="90">
        <v>0.78</v>
      </c>
      <c r="AA289" s="89">
        <v>0</v>
      </c>
      <c r="AB289" s="79">
        <f>IF($T289 &gt; 0, 100 - $AA289 - $AC289, 0)</f>
        <v>0</v>
      </c>
      <c r="AC289" s="90">
        <v>0</v>
      </c>
      <c r="AD289" s="79">
        <v>0</v>
      </c>
      <c r="AE289" s="79">
        <f>IF($U289 &gt; 0, 100 - $AD289 - $AF289, 0)</f>
        <v>0</v>
      </c>
      <c r="AF289" s="90">
        <v>0</v>
      </c>
      <c r="AG289" s="16" t="s">
        <v>43</v>
      </c>
      <c r="AH289" s="16" t="s">
        <v>933</v>
      </c>
      <c r="AN289" s="83"/>
      <c r="AO289" s="83"/>
      <c r="AP289" s="83"/>
      <c r="AQ289" s="83"/>
      <c r="AR289" s="83"/>
      <c r="AS289" s="83"/>
      <c r="AT289" s="83"/>
      <c r="AU289" s="83"/>
    </row>
    <row r="290" spans="1:47" s="16" customFormat="1" ht="12">
      <c r="A290" s="16" t="s">
        <v>937</v>
      </c>
      <c r="B290" s="17" t="s">
        <v>928</v>
      </c>
      <c r="C290" s="18" t="s">
        <v>129</v>
      </c>
      <c r="D290" s="18" t="s">
        <v>310</v>
      </c>
      <c r="E290" s="16" t="s">
        <v>311</v>
      </c>
      <c r="G290" s="16" t="s">
        <v>703</v>
      </c>
      <c r="H290" s="16" t="s">
        <v>928</v>
      </c>
      <c r="J290" s="16">
        <v>125</v>
      </c>
      <c r="K290" s="16">
        <v>250</v>
      </c>
      <c r="N290" s="16" t="s">
        <v>930</v>
      </c>
      <c r="O290" s="16" t="s">
        <v>931</v>
      </c>
      <c r="P290" s="16">
        <v>0</v>
      </c>
      <c r="Q290" s="29" t="s">
        <v>938</v>
      </c>
      <c r="R290" s="89">
        <v>0</v>
      </c>
      <c r="S290" s="89">
        <f>100 - R290 - U290 - T290</f>
        <v>100</v>
      </c>
      <c r="T290" s="89">
        <v>0</v>
      </c>
      <c r="U290" s="90">
        <v>0</v>
      </c>
      <c r="V290" s="89">
        <v>0</v>
      </c>
      <c r="W290" s="90">
        <f>IF($R290 &gt; 0, 100 - $V290, 0)</f>
        <v>0</v>
      </c>
      <c r="X290" s="89">
        <v>12.63</v>
      </c>
      <c r="Y290" s="79">
        <f>IF($S290 &gt; 0, 100 - $X290 - $Z290, 0)</f>
        <v>86.59</v>
      </c>
      <c r="Z290" s="90">
        <v>0.78</v>
      </c>
      <c r="AA290" s="89">
        <v>0</v>
      </c>
      <c r="AB290" s="79">
        <f>IF($T290 &gt; 0, 100 - $AA290 - $AC290, 0)</f>
        <v>0</v>
      </c>
      <c r="AC290" s="90">
        <v>0</v>
      </c>
      <c r="AD290" s="79">
        <v>0</v>
      </c>
      <c r="AE290" s="79">
        <f>IF($U290 &gt; 0, 100 - $AD290 - $AF290, 0)</f>
        <v>0</v>
      </c>
      <c r="AF290" s="73">
        <v>0</v>
      </c>
      <c r="AG290" s="16" t="s">
        <v>43</v>
      </c>
      <c r="AH290" s="16" t="s">
        <v>933</v>
      </c>
      <c r="AN290" s="83"/>
      <c r="AO290" s="83"/>
      <c r="AP290" s="83"/>
      <c r="AQ290" s="83"/>
      <c r="AR290" s="83"/>
      <c r="AS290" s="83"/>
      <c r="AT290" s="83"/>
      <c r="AU290" s="83"/>
    </row>
    <row r="291" spans="1:47" s="16" customFormat="1" ht="12">
      <c r="A291" s="16" t="s">
        <v>939</v>
      </c>
      <c r="B291" s="17" t="s">
        <v>928</v>
      </c>
      <c r="C291" s="18" t="s">
        <v>129</v>
      </c>
      <c r="D291" s="18" t="s">
        <v>310</v>
      </c>
      <c r="E291" s="16" t="s">
        <v>311</v>
      </c>
      <c r="G291" s="16" t="s">
        <v>703</v>
      </c>
      <c r="H291" s="16" t="s">
        <v>928</v>
      </c>
      <c r="J291" s="16">
        <v>63</v>
      </c>
      <c r="K291" s="16">
        <v>125</v>
      </c>
      <c r="L291" s="16" t="s">
        <v>38</v>
      </c>
      <c r="M291" s="16" t="s">
        <v>11</v>
      </c>
      <c r="N291" s="16" t="s">
        <v>930</v>
      </c>
      <c r="O291" s="16" t="s">
        <v>931</v>
      </c>
      <c r="P291" s="16">
        <v>0</v>
      </c>
      <c r="Q291" s="29"/>
      <c r="R291" s="89">
        <v>0</v>
      </c>
      <c r="S291" s="89">
        <f>100 - R291 - U291 - T291</f>
        <v>100</v>
      </c>
      <c r="T291" s="89">
        <v>0</v>
      </c>
      <c r="U291" s="90">
        <v>0</v>
      </c>
      <c r="V291" s="89">
        <v>0</v>
      </c>
      <c r="W291" s="90">
        <f>IF($R291 &gt; 0, 100 - $V291, 0)</f>
        <v>0</v>
      </c>
      <c r="X291" s="89">
        <v>12.63</v>
      </c>
      <c r="Y291" s="79">
        <f>IF($S291 &gt; 0, 100 - $X291 - $Z291, 0)</f>
        <v>86.59</v>
      </c>
      <c r="Z291" s="90">
        <v>0.78</v>
      </c>
      <c r="AA291" s="79">
        <v>0</v>
      </c>
      <c r="AB291" s="79">
        <f>IF($T291 &gt; 0, 100 - $AA291 - $AC291, 0)</f>
        <v>0</v>
      </c>
      <c r="AC291" s="73">
        <v>0</v>
      </c>
      <c r="AD291" s="79">
        <v>0</v>
      </c>
      <c r="AE291" s="79">
        <f>IF($U291 &gt; 0, 100 - $AD291 - $AF291, 0)</f>
        <v>0</v>
      </c>
      <c r="AF291" s="90">
        <v>0</v>
      </c>
      <c r="AG291" s="16" t="s">
        <v>43</v>
      </c>
      <c r="AH291" s="16" t="s">
        <v>933</v>
      </c>
      <c r="AN291" s="83"/>
      <c r="AO291" s="83"/>
      <c r="AP291" s="83"/>
      <c r="AQ291" s="83"/>
      <c r="AR291" s="83"/>
      <c r="AS291" s="83"/>
      <c r="AT291" s="83"/>
      <c r="AU291" s="83"/>
    </row>
    <row r="292" spans="1:47" s="16" customFormat="1" ht="12">
      <c r="A292" s="16" t="s">
        <v>940</v>
      </c>
      <c r="B292" s="17" t="s">
        <v>941</v>
      </c>
      <c r="C292" s="18" t="s">
        <v>129</v>
      </c>
      <c r="D292" s="18" t="s">
        <v>310</v>
      </c>
      <c r="E292" s="16" t="s">
        <v>311</v>
      </c>
      <c r="G292" s="16" t="s">
        <v>703</v>
      </c>
      <c r="H292" s="16" t="s">
        <v>928</v>
      </c>
      <c r="J292" s="16">
        <v>0</v>
      </c>
      <c r="K292" s="16">
        <v>45</v>
      </c>
      <c r="L292" s="16" t="s">
        <v>38</v>
      </c>
      <c r="M292" s="16" t="s">
        <v>11</v>
      </c>
      <c r="N292" s="16" t="s">
        <v>930</v>
      </c>
      <c r="O292" s="16" t="s">
        <v>428</v>
      </c>
      <c r="P292" s="16">
        <v>36</v>
      </c>
      <c r="Q292" s="29" t="s">
        <v>942</v>
      </c>
      <c r="R292" s="89">
        <v>0</v>
      </c>
      <c r="S292" s="89">
        <f>100 - R292 - U292 - T292</f>
        <v>100</v>
      </c>
      <c r="T292" s="89">
        <v>0</v>
      </c>
      <c r="U292" s="89">
        <v>0</v>
      </c>
      <c r="V292" s="89">
        <v>0</v>
      </c>
      <c r="W292" s="90">
        <f>IF($R292 &gt; 0, 100 - $V292, 0)</f>
        <v>0</v>
      </c>
      <c r="X292" s="79">
        <f>INDEX(Chemical_analyses!$A:$L, MATCH($P292, Chemical_analyses!$A:$A), 9)/$AI$1/(INDEX(Chemical_analyses!$A:$L, MATCH($P292, Chemical_analyses!$A:$A), 9)/$AI$1+INDEX(Chemical_analyses!$A:$L, MATCH($P292, Chemical_analyses!$A:$A), 11)/$AJ$1+INDEX(Chemical_analyses!$A:$L, MATCH($P292, Chemical_analyses!$A:$A), 12)/$AK$1)*100</f>
        <v>12.62939849179531</v>
      </c>
      <c r="Y292" s="79">
        <f>IF($S292 &gt; 0, 100 - $X292 - $Z292, 0)</f>
        <v>86.592887132451722</v>
      </c>
      <c r="Z292" s="73">
        <f>INDEX(Chemical_analyses!$A:$L, MATCH($P292, Chemical_analyses!$A:$A), 12)/$AK$1/(INDEX(Chemical_analyses!$A:$L, MATCH($P292, Chemical_analyses!$A:$A), 9)/$AI$1+INDEX(Chemical_analyses!$A:$L, MATCH($P292, Chemical_analyses!$A:$A), 11)/$AJ$1+INDEX(Chemical_analyses!$A:$L, MATCH($P292, Chemical_analyses!$A:$A), 12)/$AK$1)*100</f>
        <v>0.77771437575295999</v>
      </c>
      <c r="AA292" s="89">
        <v>0</v>
      </c>
      <c r="AB292" s="79">
        <f>IF($T292 &gt; 0, 100 - $AA292 - $AC292, 0)</f>
        <v>0</v>
      </c>
      <c r="AC292" s="90">
        <v>0</v>
      </c>
      <c r="AD292" s="79">
        <v>0</v>
      </c>
      <c r="AE292" s="79">
        <f>IF($U292 &gt; 0, 100 - $AD292 - $AF292, 0)</f>
        <v>0</v>
      </c>
      <c r="AF292" s="90">
        <v>0</v>
      </c>
      <c r="AG292" s="19" t="s">
        <v>43</v>
      </c>
      <c r="AH292" s="22" t="str">
        <f>_xlfn.CONCAT("FeO: ", INDEX(Chemical_analyses!$A:$M, MATCH($P292, Chemical_analyses!$A:$A), 9), ", MgO: ", INDEX(Chemical_analyses!$A:$M, MATCH($P292, Chemical_analyses!$A:$A), 11), ", CaO: ", INDEX(Chemical_analyses!$A:$M, MATCH($P292, Chemical_analyses!$A:$A), 12), ", MnO: ", INDEX(Chemical_analyses!$A:$M, MATCH($P292, Chemical_analyses!$A:$A), 10), ", NaO2: ", INDEX(Chemical_analyses!$A:$M, MATCH($P292, Chemical_analyses!$A:$A), 13), ", Fe2O3: ", INDEX(Chemical_analyses!$A:$M, MATCH($P292, Chemical_analyses!$A:$A), 8), ", Al2O3: ", INDEX(Chemical_analyses!$A:$M, MATCH($P292, Chemical_analyses!$A:$A), 6))</f>
        <v>FeO: 8.53, MgO: 32.81, CaO: 0.41, MnO: 0.19, NaO2: 0.01, Fe2O3: 0, Al2O3: 1.02</v>
      </c>
      <c r="AN292" s="83"/>
      <c r="AO292" s="83"/>
      <c r="AP292" s="83"/>
      <c r="AQ292" s="83"/>
      <c r="AR292" s="83"/>
      <c r="AS292" s="83"/>
      <c r="AT292" s="83"/>
      <c r="AU292" s="83"/>
    </row>
    <row r="293" spans="1:47" s="16" customFormat="1" ht="12">
      <c r="A293" s="16" t="s">
        <v>943</v>
      </c>
      <c r="B293" s="17" t="s">
        <v>944</v>
      </c>
      <c r="C293" s="18" t="s">
        <v>129</v>
      </c>
      <c r="D293" s="18" t="s">
        <v>310</v>
      </c>
      <c r="E293" s="16" t="s">
        <v>311</v>
      </c>
      <c r="G293" s="16" t="s">
        <v>703</v>
      </c>
      <c r="H293" s="16" t="s">
        <v>928</v>
      </c>
      <c r="J293" s="16">
        <v>45</v>
      </c>
      <c r="K293" s="16">
        <v>75</v>
      </c>
      <c r="L293" s="16" t="s">
        <v>38</v>
      </c>
      <c r="M293" s="16" t="s">
        <v>11</v>
      </c>
      <c r="N293" s="16" t="s">
        <v>930</v>
      </c>
      <c r="O293" s="16" t="s">
        <v>428</v>
      </c>
      <c r="P293" s="16">
        <v>36</v>
      </c>
      <c r="Q293" s="29" t="s">
        <v>945</v>
      </c>
      <c r="R293" s="89">
        <v>0</v>
      </c>
      <c r="S293" s="89">
        <f>100 - R293 - U293 - T293</f>
        <v>100</v>
      </c>
      <c r="T293" s="89">
        <v>0</v>
      </c>
      <c r="U293" s="89">
        <v>0</v>
      </c>
      <c r="V293" s="89">
        <v>0</v>
      </c>
      <c r="W293" s="90">
        <f>IF($R293 &gt; 0, 100 - $V293, 0)</f>
        <v>0</v>
      </c>
      <c r="X293" s="79">
        <f>INDEX(Chemical_analyses!$A:$L, MATCH($P293, Chemical_analyses!$A:$A), 9)/$AI$1/(INDEX(Chemical_analyses!$A:$L, MATCH($P293, Chemical_analyses!$A:$A), 9)/$AI$1+INDEX(Chemical_analyses!$A:$L, MATCH($P293, Chemical_analyses!$A:$A), 11)/$AJ$1+INDEX(Chemical_analyses!$A:$L, MATCH($P293, Chemical_analyses!$A:$A), 12)/$AK$1)*100</f>
        <v>12.62939849179531</v>
      </c>
      <c r="Y293" s="79">
        <f>IF($S293 &gt; 0, 100 - $X293 - $Z293, 0)</f>
        <v>86.592887132451722</v>
      </c>
      <c r="Z293" s="73">
        <f>INDEX(Chemical_analyses!$A:$L, MATCH($P293, Chemical_analyses!$A:$A), 12)/$AK$1/(INDEX(Chemical_analyses!$A:$L, MATCH($P293, Chemical_analyses!$A:$A), 9)/$AI$1+INDEX(Chemical_analyses!$A:$L, MATCH($P293, Chemical_analyses!$A:$A), 11)/$AJ$1+INDEX(Chemical_analyses!$A:$L, MATCH($P293, Chemical_analyses!$A:$A), 12)/$AK$1)*100</f>
        <v>0.77771437575295999</v>
      </c>
      <c r="AA293" s="79">
        <v>0</v>
      </c>
      <c r="AB293" s="79">
        <f>IF($T293 &gt; 0, 100 - $AA293 - $AC293, 0)</f>
        <v>0</v>
      </c>
      <c r="AC293" s="73">
        <v>0</v>
      </c>
      <c r="AD293" s="79">
        <v>0</v>
      </c>
      <c r="AE293" s="79">
        <f>IF($U293 &gt; 0, 100 - $AD293 - $AF293, 0)</f>
        <v>0</v>
      </c>
      <c r="AF293" s="73">
        <v>0</v>
      </c>
      <c r="AG293" s="19" t="s">
        <v>43</v>
      </c>
      <c r="AH293" s="22" t="str">
        <f>_xlfn.CONCAT("FeO: ", INDEX(Chemical_analyses!$A:$M, MATCH($P293, Chemical_analyses!$A:$A), 9), ", MgO: ", INDEX(Chemical_analyses!$A:$M, MATCH($P293, Chemical_analyses!$A:$A), 11), ", CaO: ", INDEX(Chemical_analyses!$A:$M, MATCH($P293, Chemical_analyses!$A:$A), 12), ", MnO: ", INDEX(Chemical_analyses!$A:$M, MATCH($P293, Chemical_analyses!$A:$A), 10), ", NaO2: ", INDEX(Chemical_analyses!$A:$M, MATCH($P293, Chemical_analyses!$A:$A), 13), ", Fe2O3: ", INDEX(Chemical_analyses!$A:$M, MATCH($P293, Chemical_analyses!$A:$A), 8), ", Al2O3: ", INDEX(Chemical_analyses!$A:$M, MATCH($P293, Chemical_analyses!$A:$A), 6))</f>
        <v>FeO: 8.53, MgO: 32.81, CaO: 0.41, MnO: 0.19, NaO2: 0.01, Fe2O3: 0, Al2O3: 1.02</v>
      </c>
      <c r="AN293" s="83"/>
      <c r="AO293" s="83"/>
      <c r="AP293" s="83"/>
      <c r="AQ293" s="83"/>
      <c r="AR293" s="83"/>
      <c r="AS293" s="83"/>
      <c r="AT293" s="83"/>
      <c r="AU293" s="83"/>
    </row>
    <row r="294" spans="1:47" s="16" customFormat="1" ht="12">
      <c r="A294" s="16" t="s">
        <v>946</v>
      </c>
      <c r="B294" s="17" t="s">
        <v>947</v>
      </c>
      <c r="C294" s="18" t="s">
        <v>129</v>
      </c>
      <c r="D294" s="18" t="s">
        <v>310</v>
      </c>
      <c r="E294" s="16" t="s">
        <v>311</v>
      </c>
      <c r="G294" s="16" t="s">
        <v>414</v>
      </c>
      <c r="H294" s="16" t="s">
        <v>928</v>
      </c>
      <c r="J294" s="16">
        <v>75</v>
      </c>
      <c r="K294" s="16">
        <v>125</v>
      </c>
      <c r="L294" s="16" t="s">
        <v>38</v>
      </c>
      <c r="M294" s="16" t="s">
        <v>11</v>
      </c>
      <c r="N294" s="16" t="s">
        <v>930</v>
      </c>
      <c r="O294" s="16" t="s">
        <v>428</v>
      </c>
      <c r="P294" s="16">
        <v>36</v>
      </c>
      <c r="Q294" s="29" t="s">
        <v>945</v>
      </c>
      <c r="R294" s="89">
        <v>0</v>
      </c>
      <c r="S294" s="89">
        <f>100 - R294 - U294 - T294</f>
        <v>100</v>
      </c>
      <c r="T294" s="89">
        <v>0</v>
      </c>
      <c r="U294" s="90">
        <v>0</v>
      </c>
      <c r="V294" s="89">
        <v>0</v>
      </c>
      <c r="W294" s="90">
        <f>IF($R294 &gt; 0, 100 - $V294, 0)</f>
        <v>0</v>
      </c>
      <c r="X294" s="79">
        <f>INDEX(Chemical_analyses!$A:$L, MATCH($P294, Chemical_analyses!$A:$A), 9)/$AI$1/(INDEX(Chemical_analyses!$A:$L, MATCH($P294, Chemical_analyses!$A:$A), 9)/$AI$1+INDEX(Chemical_analyses!$A:$L, MATCH($P294, Chemical_analyses!$A:$A), 11)/$AJ$1+INDEX(Chemical_analyses!$A:$L, MATCH($P294, Chemical_analyses!$A:$A), 12)/$AK$1)*100</f>
        <v>12.62939849179531</v>
      </c>
      <c r="Y294" s="79">
        <f>IF($S294 &gt; 0, 100 - $X294 - $Z294, 0)</f>
        <v>86.592887132451722</v>
      </c>
      <c r="Z294" s="73">
        <f>INDEX(Chemical_analyses!$A:$L, MATCH($P294, Chemical_analyses!$A:$A), 12)/$AK$1/(INDEX(Chemical_analyses!$A:$L, MATCH($P294, Chemical_analyses!$A:$A), 9)/$AI$1+INDEX(Chemical_analyses!$A:$L, MATCH($P294, Chemical_analyses!$A:$A), 11)/$AJ$1+INDEX(Chemical_analyses!$A:$L, MATCH($P294, Chemical_analyses!$A:$A), 12)/$AK$1)*100</f>
        <v>0.77771437575295999</v>
      </c>
      <c r="AA294" s="79">
        <v>0</v>
      </c>
      <c r="AB294" s="79">
        <f>IF($T294 &gt; 0, 100 - $AA294 - $AC294, 0)</f>
        <v>0</v>
      </c>
      <c r="AC294" s="73">
        <v>0</v>
      </c>
      <c r="AD294" s="79">
        <v>0</v>
      </c>
      <c r="AE294" s="79">
        <f>IF($U294 &gt; 0, 100 - $AD294 - $AF294, 0)</f>
        <v>0</v>
      </c>
      <c r="AF294" s="73">
        <v>0</v>
      </c>
      <c r="AG294" s="19" t="s">
        <v>43</v>
      </c>
      <c r="AH294" s="22" t="str">
        <f>_xlfn.CONCAT("FeO: ", INDEX(Chemical_analyses!$A:$M, MATCH($P294, Chemical_analyses!$A:$A), 9), ", MgO: ", INDEX(Chemical_analyses!$A:$M, MATCH($P294, Chemical_analyses!$A:$A), 11), ", CaO: ", INDEX(Chemical_analyses!$A:$M, MATCH($P294, Chemical_analyses!$A:$A), 12), ", MnO: ", INDEX(Chemical_analyses!$A:$M, MATCH($P294, Chemical_analyses!$A:$A), 10), ", NaO2: ", INDEX(Chemical_analyses!$A:$M, MATCH($P294, Chemical_analyses!$A:$A), 13), ", Fe2O3: ", INDEX(Chemical_analyses!$A:$M, MATCH($P294, Chemical_analyses!$A:$A), 8), ", Al2O3: ", INDEX(Chemical_analyses!$A:$M, MATCH($P294, Chemical_analyses!$A:$A), 6))</f>
        <v>FeO: 8.53, MgO: 32.81, CaO: 0.41, MnO: 0.19, NaO2: 0.01, Fe2O3: 0, Al2O3: 1.02</v>
      </c>
      <c r="AN294" s="83"/>
      <c r="AO294" s="83"/>
      <c r="AP294" s="83"/>
      <c r="AQ294" s="83"/>
      <c r="AR294" s="83"/>
      <c r="AS294" s="83"/>
      <c r="AT294" s="83"/>
      <c r="AU294" s="83"/>
    </row>
    <row r="295" spans="1:47" s="16" customFormat="1" ht="12">
      <c r="A295" s="16" t="s">
        <v>948</v>
      </c>
      <c r="B295" s="17" t="s">
        <v>949</v>
      </c>
      <c r="C295" s="18" t="s">
        <v>129</v>
      </c>
      <c r="D295" s="18" t="s">
        <v>310</v>
      </c>
      <c r="E295" s="16" t="s">
        <v>311</v>
      </c>
      <c r="G295" s="16" t="s">
        <v>414</v>
      </c>
      <c r="H295" s="16" t="s">
        <v>904</v>
      </c>
      <c r="J295" s="16">
        <v>0</v>
      </c>
      <c r="K295" s="16">
        <v>25</v>
      </c>
      <c r="L295" s="16" t="s">
        <v>38</v>
      </c>
      <c r="M295" s="16" t="s">
        <v>11</v>
      </c>
      <c r="N295" s="16" t="s">
        <v>930</v>
      </c>
      <c r="O295" s="16" t="s">
        <v>459</v>
      </c>
      <c r="P295" s="16">
        <v>36</v>
      </c>
      <c r="Q295" s="29" t="s">
        <v>950</v>
      </c>
      <c r="R295" s="89">
        <v>0</v>
      </c>
      <c r="S295" s="89">
        <f>100 - R295 - U295 - T295</f>
        <v>100</v>
      </c>
      <c r="T295" s="89">
        <v>0</v>
      </c>
      <c r="U295" s="90">
        <v>0</v>
      </c>
      <c r="V295" s="89">
        <v>0</v>
      </c>
      <c r="W295" s="90">
        <f>IF($R295 &gt; 0, 100 - $V295, 0)</f>
        <v>0</v>
      </c>
      <c r="X295" s="79">
        <f>INDEX(Chemical_analyses!$A:$L, MATCH($P295, Chemical_analyses!$A:$A), 9)/$AI$1/(INDEX(Chemical_analyses!$A:$L, MATCH($P295, Chemical_analyses!$A:$A), 9)/$AI$1+INDEX(Chemical_analyses!$A:$L, MATCH($P295, Chemical_analyses!$A:$A), 11)/$AJ$1+INDEX(Chemical_analyses!$A:$L, MATCH($P295, Chemical_analyses!$A:$A), 12)/$AK$1)*100</f>
        <v>12.62939849179531</v>
      </c>
      <c r="Y295" s="79">
        <f>IF($S295 &gt; 0, 100 - $X295 - $Z295, 0)</f>
        <v>86.592887132451722</v>
      </c>
      <c r="Z295" s="73">
        <f>INDEX(Chemical_analyses!$A:$L, MATCH($P295, Chemical_analyses!$A:$A), 12)/$AK$1/(INDEX(Chemical_analyses!$A:$L, MATCH($P295, Chemical_analyses!$A:$A), 9)/$AI$1+INDEX(Chemical_analyses!$A:$L, MATCH($P295, Chemical_analyses!$A:$A), 11)/$AJ$1+INDEX(Chemical_analyses!$A:$L, MATCH($P295, Chemical_analyses!$A:$A), 12)/$AK$1)*100</f>
        <v>0.77771437575295999</v>
      </c>
      <c r="AA295" s="89">
        <v>0</v>
      </c>
      <c r="AB295" s="79">
        <f>IF($T295 &gt; 0, 100 - $AA295 - $AC295, 0)</f>
        <v>0</v>
      </c>
      <c r="AC295" s="90">
        <v>0</v>
      </c>
      <c r="AD295" s="79">
        <v>0</v>
      </c>
      <c r="AE295" s="79">
        <f>IF($U295 &gt; 0, 100 - $AD295 - $AF295, 0)</f>
        <v>0</v>
      </c>
      <c r="AF295" s="90">
        <v>0</v>
      </c>
      <c r="AG295" s="19" t="s">
        <v>43</v>
      </c>
      <c r="AH295" s="22" t="str">
        <f>_xlfn.CONCAT("FeO: ", INDEX(Chemical_analyses!$A:$M, MATCH($P295, Chemical_analyses!$A:$A), 9), ", MgO: ", INDEX(Chemical_analyses!$A:$M, MATCH($P295, Chemical_analyses!$A:$A), 11), ", CaO: ", INDEX(Chemical_analyses!$A:$M, MATCH($P295, Chemical_analyses!$A:$A), 12), ", MnO: ", INDEX(Chemical_analyses!$A:$M, MATCH($P295, Chemical_analyses!$A:$A), 10), ", NaO2: ", INDEX(Chemical_analyses!$A:$M, MATCH($P295, Chemical_analyses!$A:$A), 13), ", Fe2O3: ", INDEX(Chemical_analyses!$A:$M, MATCH($P295, Chemical_analyses!$A:$A), 8), ", Al2O3: ", INDEX(Chemical_analyses!$A:$M, MATCH($P295, Chemical_analyses!$A:$A), 6))</f>
        <v>FeO: 8.53, MgO: 32.81, CaO: 0.41, MnO: 0.19, NaO2: 0.01, Fe2O3: 0, Al2O3: 1.02</v>
      </c>
      <c r="AN295" s="83"/>
      <c r="AO295" s="83"/>
      <c r="AP295" s="83"/>
      <c r="AQ295" s="83"/>
      <c r="AR295" s="83"/>
      <c r="AS295" s="83"/>
      <c r="AT295" s="83"/>
      <c r="AU295" s="83"/>
    </row>
    <row r="296" spans="1:47" s="16" customFormat="1" ht="12">
      <c r="A296" s="16" t="s">
        <v>951</v>
      </c>
      <c r="B296" s="17" t="s">
        <v>952</v>
      </c>
      <c r="C296" s="18" t="s">
        <v>129</v>
      </c>
      <c r="D296" s="18" t="s">
        <v>310</v>
      </c>
      <c r="E296" s="16" t="s">
        <v>311</v>
      </c>
      <c r="G296" s="16" t="s">
        <v>414</v>
      </c>
      <c r="H296" s="16" t="s">
        <v>904</v>
      </c>
      <c r="J296" s="16">
        <v>25</v>
      </c>
      <c r="K296" s="16">
        <v>45</v>
      </c>
      <c r="L296" s="16" t="s">
        <v>38</v>
      </c>
      <c r="M296" s="16" t="s">
        <v>11</v>
      </c>
      <c r="N296" s="16" t="s">
        <v>930</v>
      </c>
      <c r="O296" s="16" t="s">
        <v>459</v>
      </c>
      <c r="P296" s="16">
        <v>36</v>
      </c>
      <c r="Q296" s="29" t="s">
        <v>950</v>
      </c>
      <c r="R296" s="89">
        <v>0</v>
      </c>
      <c r="S296" s="89">
        <f>100 - R296 - U296 - T296</f>
        <v>100</v>
      </c>
      <c r="T296" s="89">
        <v>0</v>
      </c>
      <c r="U296" s="90">
        <v>0</v>
      </c>
      <c r="V296" s="89">
        <v>0</v>
      </c>
      <c r="W296" s="90">
        <f>IF($R296 &gt; 0, 100 - $V296, 0)</f>
        <v>0</v>
      </c>
      <c r="X296" s="79">
        <f>INDEX(Chemical_analyses!$A:$L, MATCH($P296, Chemical_analyses!$A:$A), 9)/$AI$1/(INDEX(Chemical_analyses!$A:$L, MATCH($P296, Chemical_analyses!$A:$A), 9)/$AI$1+INDEX(Chemical_analyses!$A:$L, MATCH($P296, Chemical_analyses!$A:$A), 11)/$AJ$1+INDEX(Chemical_analyses!$A:$L, MATCH($P296, Chemical_analyses!$A:$A), 12)/$AK$1)*100</f>
        <v>12.62939849179531</v>
      </c>
      <c r="Y296" s="79">
        <f>IF($S296 &gt; 0, 100 - $X296 - $Z296, 0)</f>
        <v>86.592887132451722</v>
      </c>
      <c r="Z296" s="73">
        <f>INDEX(Chemical_analyses!$A:$L, MATCH($P296, Chemical_analyses!$A:$A), 12)/$AK$1/(INDEX(Chemical_analyses!$A:$L, MATCH($P296, Chemical_analyses!$A:$A), 9)/$AI$1+INDEX(Chemical_analyses!$A:$L, MATCH($P296, Chemical_analyses!$A:$A), 11)/$AJ$1+INDEX(Chemical_analyses!$A:$L, MATCH($P296, Chemical_analyses!$A:$A), 12)/$AK$1)*100</f>
        <v>0.77771437575295999</v>
      </c>
      <c r="AA296" s="79">
        <v>0</v>
      </c>
      <c r="AB296" s="79">
        <f>IF($T296 &gt; 0, 100 - $AA296 - $AC296, 0)</f>
        <v>0</v>
      </c>
      <c r="AC296" s="73">
        <v>0</v>
      </c>
      <c r="AD296" s="79">
        <v>0</v>
      </c>
      <c r="AE296" s="79">
        <f>IF($U296 &gt; 0, 100 - $AD296 - $AF296, 0)</f>
        <v>0</v>
      </c>
      <c r="AF296" s="73">
        <v>0</v>
      </c>
      <c r="AG296" s="19" t="s">
        <v>43</v>
      </c>
      <c r="AH296" s="22" t="str">
        <f>_xlfn.CONCAT("FeO: ", INDEX(Chemical_analyses!$A:$M, MATCH($P296, Chemical_analyses!$A:$A), 9), ", MgO: ", INDEX(Chemical_analyses!$A:$M, MATCH($P296, Chemical_analyses!$A:$A), 11), ", CaO: ", INDEX(Chemical_analyses!$A:$M, MATCH($P296, Chemical_analyses!$A:$A), 12), ", MnO: ", INDEX(Chemical_analyses!$A:$M, MATCH($P296, Chemical_analyses!$A:$A), 10), ", NaO2: ", INDEX(Chemical_analyses!$A:$M, MATCH($P296, Chemical_analyses!$A:$A), 13), ", Fe2O3: ", INDEX(Chemical_analyses!$A:$M, MATCH($P296, Chemical_analyses!$A:$A), 8), ", Al2O3: ", INDEX(Chemical_analyses!$A:$M, MATCH($P296, Chemical_analyses!$A:$A), 6))</f>
        <v>FeO: 8.53, MgO: 32.81, CaO: 0.41, MnO: 0.19, NaO2: 0.01, Fe2O3: 0, Al2O3: 1.02</v>
      </c>
      <c r="AN296" s="83"/>
      <c r="AO296" s="83"/>
      <c r="AP296" s="83"/>
      <c r="AQ296" s="83"/>
      <c r="AR296" s="83"/>
      <c r="AS296" s="83"/>
      <c r="AT296" s="83"/>
      <c r="AU296" s="83"/>
    </row>
    <row r="297" spans="1:47" s="16" customFormat="1" ht="12">
      <c r="A297" s="16" t="s">
        <v>953</v>
      </c>
      <c r="B297" s="17" t="s">
        <v>954</v>
      </c>
      <c r="C297" s="18" t="s">
        <v>129</v>
      </c>
      <c r="D297" s="18" t="s">
        <v>310</v>
      </c>
      <c r="E297" s="16" t="s">
        <v>311</v>
      </c>
      <c r="G297" s="16" t="s">
        <v>414</v>
      </c>
      <c r="H297" s="16" t="s">
        <v>904</v>
      </c>
      <c r="J297" s="16">
        <v>45</v>
      </c>
      <c r="K297" s="16">
        <v>75</v>
      </c>
      <c r="L297" s="16" t="s">
        <v>38</v>
      </c>
      <c r="M297" s="16" t="s">
        <v>11</v>
      </c>
      <c r="N297" s="16" t="s">
        <v>930</v>
      </c>
      <c r="O297" s="16" t="s">
        <v>459</v>
      </c>
      <c r="P297" s="16">
        <v>36</v>
      </c>
      <c r="Q297" s="29" t="s">
        <v>950</v>
      </c>
      <c r="R297" s="89">
        <v>0</v>
      </c>
      <c r="S297" s="89">
        <f>100 - R297 - U297 - T297</f>
        <v>100</v>
      </c>
      <c r="T297" s="89">
        <v>0</v>
      </c>
      <c r="U297" s="90">
        <v>0</v>
      </c>
      <c r="V297" s="89">
        <v>0</v>
      </c>
      <c r="W297" s="90">
        <f>IF($R297 &gt; 0, 100 - $V297, 0)</f>
        <v>0</v>
      </c>
      <c r="X297" s="79">
        <f>INDEX(Chemical_analyses!$A:$L, MATCH($P297, Chemical_analyses!$A:$A), 9)/$AI$1/(INDEX(Chemical_analyses!$A:$L, MATCH($P297, Chemical_analyses!$A:$A), 9)/$AI$1+INDEX(Chemical_analyses!$A:$L, MATCH($P297, Chemical_analyses!$A:$A), 11)/$AJ$1+INDEX(Chemical_analyses!$A:$L, MATCH($P297, Chemical_analyses!$A:$A), 12)/$AK$1)*100</f>
        <v>12.62939849179531</v>
      </c>
      <c r="Y297" s="79">
        <f>IF($S297 &gt; 0, 100 - $X297 - $Z297, 0)</f>
        <v>86.592887132451722</v>
      </c>
      <c r="Z297" s="73">
        <f>INDEX(Chemical_analyses!$A:$L, MATCH($P297, Chemical_analyses!$A:$A), 12)/$AK$1/(INDEX(Chemical_analyses!$A:$L, MATCH($P297, Chemical_analyses!$A:$A), 9)/$AI$1+INDEX(Chemical_analyses!$A:$L, MATCH($P297, Chemical_analyses!$A:$A), 11)/$AJ$1+INDEX(Chemical_analyses!$A:$L, MATCH($P297, Chemical_analyses!$A:$A), 12)/$AK$1)*100</f>
        <v>0.77771437575295999</v>
      </c>
      <c r="AA297" s="89">
        <v>0</v>
      </c>
      <c r="AB297" s="79">
        <f>IF($T297 &gt; 0, 100 - $AA297 - $AC297, 0)</f>
        <v>0</v>
      </c>
      <c r="AC297" s="90">
        <v>0</v>
      </c>
      <c r="AD297" s="79">
        <v>0</v>
      </c>
      <c r="AE297" s="79">
        <f>IF($U297 &gt; 0, 100 - $AD297 - $AF297, 0)</f>
        <v>0</v>
      </c>
      <c r="AF297" s="90">
        <v>0</v>
      </c>
      <c r="AG297" s="19" t="s">
        <v>43</v>
      </c>
      <c r="AH297" s="22" t="str">
        <f>_xlfn.CONCAT("FeO: ", INDEX(Chemical_analyses!$A:$M, MATCH($P297, Chemical_analyses!$A:$A), 9), ", MgO: ", INDEX(Chemical_analyses!$A:$M, MATCH($P297, Chemical_analyses!$A:$A), 11), ", CaO: ", INDEX(Chemical_analyses!$A:$M, MATCH($P297, Chemical_analyses!$A:$A), 12), ", MnO: ", INDEX(Chemical_analyses!$A:$M, MATCH($P297, Chemical_analyses!$A:$A), 10), ", NaO2: ", INDEX(Chemical_analyses!$A:$M, MATCH($P297, Chemical_analyses!$A:$A), 13), ", Fe2O3: ", INDEX(Chemical_analyses!$A:$M, MATCH($P297, Chemical_analyses!$A:$A), 8), ", Al2O3: ", INDEX(Chemical_analyses!$A:$M, MATCH($P297, Chemical_analyses!$A:$A), 6))</f>
        <v>FeO: 8.53, MgO: 32.81, CaO: 0.41, MnO: 0.19, NaO2: 0.01, Fe2O3: 0, Al2O3: 1.02</v>
      </c>
      <c r="AN297" s="83"/>
      <c r="AO297" s="83"/>
      <c r="AP297" s="83"/>
      <c r="AQ297" s="83"/>
      <c r="AR297" s="83"/>
      <c r="AS297" s="83"/>
      <c r="AT297" s="83"/>
      <c r="AU297" s="83"/>
    </row>
    <row r="298" spans="1:47" s="16" customFormat="1" ht="12">
      <c r="A298" s="16" t="s">
        <v>955</v>
      </c>
      <c r="B298" s="17" t="s">
        <v>956</v>
      </c>
      <c r="C298" s="18" t="s">
        <v>129</v>
      </c>
      <c r="D298" s="18" t="s">
        <v>310</v>
      </c>
      <c r="E298" s="16" t="s">
        <v>311</v>
      </c>
      <c r="G298" s="16" t="s">
        <v>414</v>
      </c>
      <c r="H298" s="16" t="s">
        <v>904</v>
      </c>
      <c r="J298" s="16">
        <v>75</v>
      </c>
      <c r="K298" s="16">
        <v>125</v>
      </c>
      <c r="L298" s="16" t="s">
        <v>38</v>
      </c>
      <c r="M298" s="16" t="s">
        <v>11</v>
      </c>
      <c r="N298" s="16" t="s">
        <v>930</v>
      </c>
      <c r="O298" s="16" t="s">
        <v>459</v>
      </c>
      <c r="P298" s="16">
        <v>36</v>
      </c>
      <c r="Q298" s="29" t="s">
        <v>950</v>
      </c>
      <c r="R298" s="89">
        <v>0</v>
      </c>
      <c r="S298" s="89">
        <f>100 - R298 - U298 - T298</f>
        <v>100</v>
      </c>
      <c r="T298" s="89">
        <v>0</v>
      </c>
      <c r="U298" s="90">
        <v>0</v>
      </c>
      <c r="V298" s="89">
        <v>0</v>
      </c>
      <c r="W298" s="90">
        <f>IF($R298 &gt; 0, 100 - $V298, 0)</f>
        <v>0</v>
      </c>
      <c r="X298" s="79">
        <f>INDEX(Chemical_analyses!$A:$L, MATCH($P298, Chemical_analyses!$A:$A), 9)/$AI$1/(INDEX(Chemical_analyses!$A:$L, MATCH($P298, Chemical_analyses!$A:$A), 9)/$AI$1+INDEX(Chemical_analyses!$A:$L, MATCH($P298, Chemical_analyses!$A:$A), 11)/$AJ$1+INDEX(Chemical_analyses!$A:$L, MATCH($P298, Chemical_analyses!$A:$A), 12)/$AK$1)*100</f>
        <v>12.62939849179531</v>
      </c>
      <c r="Y298" s="79">
        <f>IF($S298 &gt; 0, 100 - $X298 - $Z298, 0)</f>
        <v>86.592887132451722</v>
      </c>
      <c r="Z298" s="73">
        <f>INDEX(Chemical_analyses!$A:$L, MATCH($P298, Chemical_analyses!$A:$A), 12)/$AK$1/(INDEX(Chemical_analyses!$A:$L, MATCH($P298, Chemical_analyses!$A:$A), 9)/$AI$1+INDEX(Chemical_analyses!$A:$L, MATCH($P298, Chemical_analyses!$A:$A), 11)/$AJ$1+INDEX(Chemical_analyses!$A:$L, MATCH($P298, Chemical_analyses!$A:$A), 12)/$AK$1)*100</f>
        <v>0.77771437575295999</v>
      </c>
      <c r="AA298" s="79">
        <v>0</v>
      </c>
      <c r="AB298" s="79">
        <f>IF($T298 &gt; 0, 100 - $AA298 - $AC298, 0)</f>
        <v>0</v>
      </c>
      <c r="AC298" s="73">
        <v>0</v>
      </c>
      <c r="AD298" s="79">
        <v>0</v>
      </c>
      <c r="AE298" s="79">
        <f>IF($U298 &gt; 0, 100 - $AD298 - $AF298, 0)</f>
        <v>0</v>
      </c>
      <c r="AF298" s="73">
        <v>0</v>
      </c>
      <c r="AG298" s="19" t="s">
        <v>43</v>
      </c>
      <c r="AH298" s="22" t="str">
        <f>_xlfn.CONCAT("FeO: ", INDEX(Chemical_analyses!$A:$M, MATCH($P298, Chemical_analyses!$A:$A), 9), ", MgO: ", INDEX(Chemical_analyses!$A:$M, MATCH($P298, Chemical_analyses!$A:$A), 11), ", CaO: ", INDEX(Chemical_analyses!$A:$M, MATCH($P298, Chemical_analyses!$A:$A), 12), ", MnO: ", INDEX(Chemical_analyses!$A:$M, MATCH($P298, Chemical_analyses!$A:$A), 10), ", NaO2: ", INDEX(Chemical_analyses!$A:$M, MATCH($P298, Chemical_analyses!$A:$A), 13), ", Fe2O3: ", INDEX(Chemical_analyses!$A:$M, MATCH($P298, Chemical_analyses!$A:$A), 8), ", Al2O3: ", INDEX(Chemical_analyses!$A:$M, MATCH($P298, Chemical_analyses!$A:$A), 6))</f>
        <v>FeO: 8.53, MgO: 32.81, CaO: 0.41, MnO: 0.19, NaO2: 0.01, Fe2O3: 0, Al2O3: 1.02</v>
      </c>
      <c r="AI298" s="78"/>
      <c r="AN298" s="83"/>
      <c r="AO298" s="83"/>
      <c r="AP298" s="83"/>
      <c r="AQ298" s="83"/>
      <c r="AR298" s="83"/>
      <c r="AS298" s="158"/>
      <c r="AT298" s="158"/>
      <c r="AU298" s="158"/>
    </row>
    <row r="299" spans="1:47" s="16" customFormat="1" ht="12">
      <c r="A299" s="16" t="s">
        <v>957</v>
      </c>
      <c r="B299" s="17" t="s">
        <v>958</v>
      </c>
      <c r="C299" s="18" t="s">
        <v>129</v>
      </c>
      <c r="D299" s="18" t="s">
        <v>310</v>
      </c>
      <c r="E299" s="16" t="s">
        <v>311</v>
      </c>
      <c r="G299" s="16" t="s">
        <v>414</v>
      </c>
      <c r="H299" s="16" t="s">
        <v>904</v>
      </c>
      <c r="J299" s="16">
        <v>125</v>
      </c>
      <c r="K299" s="16">
        <v>250</v>
      </c>
      <c r="L299" s="16" t="s">
        <v>38</v>
      </c>
      <c r="M299" s="16" t="s">
        <v>11</v>
      </c>
      <c r="N299" s="16" t="s">
        <v>930</v>
      </c>
      <c r="O299" s="16" t="s">
        <v>459</v>
      </c>
      <c r="P299" s="16">
        <v>36</v>
      </c>
      <c r="Q299" s="29" t="s">
        <v>950</v>
      </c>
      <c r="R299" s="89">
        <v>0</v>
      </c>
      <c r="S299" s="89">
        <f>100 - R299 - U299 - T299</f>
        <v>100</v>
      </c>
      <c r="T299" s="89">
        <v>0</v>
      </c>
      <c r="U299" s="90">
        <v>0</v>
      </c>
      <c r="V299" s="89">
        <v>0</v>
      </c>
      <c r="W299" s="90">
        <f>IF($R299 &gt; 0, 100 - $V299, 0)</f>
        <v>0</v>
      </c>
      <c r="X299" s="79">
        <f>INDEX(Chemical_analyses!$A:$L, MATCH($P299, Chemical_analyses!$A:$A), 9)/$AI$1/(INDEX(Chemical_analyses!$A:$L, MATCH($P299, Chemical_analyses!$A:$A), 9)/$AI$1+INDEX(Chemical_analyses!$A:$L, MATCH($P299, Chemical_analyses!$A:$A), 11)/$AJ$1+INDEX(Chemical_analyses!$A:$L, MATCH($P299, Chemical_analyses!$A:$A), 12)/$AK$1)*100</f>
        <v>12.62939849179531</v>
      </c>
      <c r="Y299" s="79">
        <f>IF($S299 &gt; 0, 100 - $X299 - $Z299, 0)</f>
        <v>86.592887132451722</v>
      </c>
      <c r="Z299" s="73">
        <f>INDEX(Chemical_analyses!$A:$L, MATCH($P299, Chemical_analyses!$A:$A), 12)/$AK$1/(INDEX(Chemical_analyses!$A:$L, MATCH($P299, Chemical_analyses!$A:$A), 9)/$AI$1+INDEX(Chemical_analyses!$A:$L, MATCH($P299, Chemical_analyses!$A:$A), 11)/$AJ$1+INDEX(Chemical_analyses!$A:$L, MATCH($P299, Chemical_analyses!$A:$A), 12)/$AK$1)*100</f>
        <v>0.77771437575295999</v>
      </c>
      <c r="AA299" s="79">
        <v>0</v>
      </c>
      <c r="AB299" s="79">
        <f>IF($T299 &gt; 0, 100 - $AA299 - $AC299, 0)</f>
        <v>0</v>
      </c>
      <c r="AC299" s="73">
        <v>0</v>
      </c>
      <c r="AD299" s="79">
        <v>0</v>
      </c>
      <c r="AE299" s="79">
        <f>IF($U299 &gt; 0, 100 - $AD299 - $AF299, 0)</f>
        <v>0</v>
      </c>
      <c r="AF299" s="73">
        <v>0</v>
      </c>
      <c r="AG299" s="19" t="s">
        <v>43</v>
      </c>
      <c r="AH299" s="22" t="str">
        <f>_xlfn.CONCAT("FeO: ", INDEX(Chemical_analyses!$A:$M, MATCH($P299, Chemical_analyses!$A:$A), 9), ", MgO: ", INDEX(Chemical_analyses!$A:$M, MATCH($P299, Chemical_analyses!$A:$A), 11), ", CaO: ", INDEX(Chemical_analyses!$A:$M, MATCH($P299, Chemical_analyses!$A:$A), 12), ", MnO: ", INDEX(Chemical_analyses!$A:$M, MATCH($P299, Chemical_analyses!$A:$A), 10), ", NaO2: ", INDEX(Chemical_analyses!$A:$M, MATCH($P299, Chemical_analyses!$A:$A), 13), ", Fe2O3: ", INDEX(Chemical_analyses!$A:$M, MATCH($P299, Chemical_analyses!$A:$A), 8), ", Al2O3: ", INDEX(Chemical_analyses!$A:$M, MATCH($P299, Chemical_analyses!$A:$A), 6))</f>
        <v>FeO: 8.53, MgO: 32.81, CaO: 0.41, MnO: 0.19, NaO2: 0.01, Fe2O3: 0, Al2O3: 1.02</v>
      </c>
      <c r="AN299" s="83"/>
      <c r="AO299" s="83"/>
      <c r="AP299" s="83"/>
      <c r="AQ299" s="83"/>
      <c r="AR299" s="83"/>
      <c r="AS299" s="158"/>
      <c r="AT299" s="158"/>
      <c r="AU299" s="158"/>
    </row>
    <row r="300" spans="1:47" s="16" customFormat="1" ht="12">
      <c r="A300" s="16" t="s">
        <v>959</v>
      </c>
      <c r="B300" s="17" t="s">
        <v>960</v>
      </c>
      <c r="C300" s="18" t="s">
        <v>129</v>
      </c>
      <c r="D300" s="18" t="s">
        <v>310</v>
      </c>
      <c r="E300" s="16" t="s">
        <v>311</v>
      </c>
      <c r="G300" s="16" t="s">
        <v>414</v>
      </c>
      <c r="H300" s="16" t="s">
        <v>904</v>
      </c>
      <c r="J300" s="16">
        <v>250</v>
      </c>
      <c r="K300" s="16">
        <v>500</v>
      </c>
      <c r="L300" s="16" t="s">
        <v>38</v>
      </c>
      <c r="M300" s="16" t="s">
        <v>11</v>
      </c>
      <c r="N300" s="16" t="s">
        <v>930</v>
      </c>
      <c r="O300" s="16" t="s">
        <v>459</v>
      </c>
      <c r="P300" s="16">
        <v>36</v>
      </c>
      <c r="Q300" s="29" t="s">
        <v>950</v>
      </c>
      <c r="R300" s="89">
        <v>0</v>
      </c>
      <c r="S300" s="89">
        <f>100 - R300 - U300 - T300</f>
        <v>100</v>
      </c>
      <c r="T300" s="89">
        <v>0</v>
      </c>
      <c r="U300" s="90">
        <v>0</v>
      </c>
      <c r="V300" s="89">
        <v>0</v>
      </c>
      <c r="W300" s="90">
        <f>IF($R300 &gt; 0, 100 - $V300, 0)</f>
        <v>0</v>
      </c>
      <c r="X300" s="79">
        <f>INDEX(Chemical_analyses!$A:$L, MATCH($P300, Chemical_analyses!$A:$A), 9)/$AI$1/(INDEX(Chemical_analyses!$A:$L, MATCH($P300, Chemical_analyses!$A:$A), 9)/$AI$1+INDEX(Chemical_analyses!$A:$L, MATCH($P300, Chemical_analyses!$A:$A), 11)/$AJ$1+INDEX(Chemical_analyses!$A:$L, MATCH($P300, Chemical_analyses!$A:$A), 12)/$AK$1)*100</f>
        <v>12.62939849179531</v>
      </c>
      <c r="Y300" s="79">
        <f>IF($S300 &gt; 0, 100 - $X300 - $Z300, 0)</f>
        <v>86.592887132451722</v>
      </c>
      <c r="Z300" s="73">
        <f>INDEX(Chemical_analyses!$A:$L, MATCH($P300, Chemical_analyses!$A:$A), 12)/$AK$1/(INDEX(Chemical_analyses!$A:$L, MATCH($P300, Chemical_analyses!$A:$A), 9)/$AI$1+INDEX(Chemical_analyses!$A:$L, MATCH($P300, Chemical_analyses!$A:$A), 11)/$AJ$1+INDEX(Chemical_analyses!$A:$L, MATCH($P300, Chemical_analyses!$A:$A), 12)/$AK$1)*100</f>
        <v>0.77771437575295999</v>
      </c>
      <c r="AA300" s="89">
        <v>0</v>
      </c>
      <c r="AB300" s="79">
        <f>IF($T300 &gt; 0, 100 - $AA300 - $AC300, 0)</f>
        <v>0</v>
      </c>
      <c r="AC300" s="90">
        <v>0</v>
      </c>
      <c r="AD300" s="79">
        <v>0</v>
      </c>
      <c r="AE300" s="79">
        <f>IF($U300 &gt; 0, 100 - $AD300 - $AF300, 0)</f>
        <v>0</v>
      </c>
      <c r="AF300" s="90">
        <v>0</v>
      </c>
      <c r="AG300" s="19" t="s">
        <v>43</v>
      </c>
      <c r="AH300" s="22" t="str">
        <f>_xlfn.CONCAT("FeO: ", INDEX(Chemical_analyses!$A:$M, MATCH($P300, Chemical_analyses!$A:$A), 9), ", MgO: ", INDEX(Chemical_analyses!$A:$M, MATCH($P300, Chemical_analyses!$A:$A), 11), ", CaO: ", INDEX(Chemical_analyses!$A:$M, MATCH($P300, Chemical_analyses!$A:$A), 12), ", MnO: ", INDEX(Chemical_analyses!$A:$M, MATCH($P300, Chemical_analyses!$A:$A), 10), ", NaO2: ", INDEX(Chemical_analyses!$A:$M, MATCH($P300, Chemical_analyses!$A:$A), 13), ", Fe2O3: ", INDEX(Chemical_analyses!$A:$M, MATCH($P300, Chemical_analyses!$A:$A), 8), ", Al2O3: ", INDEX(Chemical_analyses!$A:$M, MATCH($P300, Chemical_analyses!$A:$A), 6))</f>
        <v>FeO: 8.53, MgO: 32.81, CaO: 0.41, MnO: 0.19, NaO2: 0.01, Fe2O3: 0, Al2O3: 1.02</v>
      </c>
      <c r="AN300" s="83"/>
      <c r="AO300" s="83"/>
      <c r="AP300" s="83"/>
      <c r="AQ300" s="83"/>
      <c r="AR300" s="83"/>
      <c r="AS300" s="83"/>
      <c r="AT300" s="83"/>
      <c r="AU300" s="83"/>
    </row>
    <row r="301" spans="1:47" s="16" customFormat="1" ht="12">
      <c r="A301" s="16" t="s">
        <v>961</v>
      </c>
      <c r="B301" s="17" t="s">
        <v>962</v>
      </c>
      <c r="C301" s="18" t="s">
        <v>129</v>
      </c>
      <c r="D301" s="18" t="s">
        <v>310</v>
      </c>
      <c r="E301" s="16" t="s">
        <v>311</v>
      </c>
      <c r="G301" s="16" t="s">
        <v>414</v>
      </c>
      <c r="H301" s="16" t="s">
        <v>963</v>
      </c>
      <c r="J301" s="16">
        <v>0</v>
      </c>
      <c r="K301" s="16">
        <v>25</v>
      </c>
      <c r="L301" s="16" t="s">
        <v>38</v>
      </c>
      <c r="M301" s="16" t="s">
        <v>11</v>
      </c>
      <c r="N301" s="16" t="s">
        <v>930</v>
      </c>
      <c r="O301" s="16" t="s">
        <v>964</v>
      </c>
      <c r="P301" s="16">
        <v>36</v>
      </c>
      <c r="Q301" s="29" t="s">
        <v>965</v>
      </c>
      <c r="R301" s="89">
        <v>0</v>
      </c>
      <c r="S301" s="89">
        <f>100 - R301 - U301 - T301</f>
        <v>100</v>
      </c>
      <c r="T301" s="89">
        <v>0</v>
      </c>
      <c r="U301" s="90">
        <v>0</v>
      </c>
      <c r="V301" s="89">
        <v>0</v>
      </c>
      <c r="W301" s="90">
        <f>IF($R301 &gt; 0, 100 - $V301, 0)</f>
        <v>0</v>
      </c>
      <c r="X301" s="79">
        <f>INDEX(Chemical_analyses!$A:$L, MATCH($P301, Chemical_analyses!$A:$A), 9)/$AI$1/(INDEX(Chemical_analyses!$A:$L, MATCH($P301, Chemical_analyses!$A:$A), 9)/$AI$1+INDEX(Chemical_analyses!$A:$L, MATCH($P301, Chemical_analyses!$A:$A), 11)/$AJ$1+INDEX(Chemical_analyses!$A:$L, MATCH($P301, Chemical_analyses!$A:$A), 12)/$AK$1)*100</f>
        <v>12.62939849179531</v>
      </c>
      <c r="Y301" s="79">
        <f>IF($S301 &gt; 0, 100 - $X301 - $Z301, 0)</f>
        <v>86.592887132451722</v>
      </c>
      <c r="Z301" s="73">
        <f>INDEX(Chemical_analyses!$A:$L, MATCH($P301, Chemical_analyses!$A:$A), 12)/$AK$1/(INDEX(Chemical_analyses!$A:$L, MATCH($P301, Chemical_analyses!$A:$A), 9)/$AI$1+INDEX(Chemical_analyses!$A:$L, MATCH($P301, Chemical_analyses!$A:$A), 11)/$AJ$1+INDEX(Chemical_analyses!$A:$L, MATCH($P301, Chemical_analyses!$A:$A), 12)/$AK$1)*100</f>
        <v>0.77771437575295999</v>
      </c>
      <c r="AA301" s="79">
        <v>0</v>
      </c>
      <c r="AB301" s="79">
        <f>IF($T301 &gt; 0, 100 - $AA301 - $AC301, 0)</f>
        <v>0</v>
      </c>
      <c r="AC301" s="73">
        <v>0</v>
      </c>
      <c r="AD301" s="79">
        <v>0</v>
      </c>
      <c r="AE301" s="79">
        <f>IF($U301 &gt; 0, 100 - $AD301 - $AF301, 0)</f>
        <v>0</v>
      </c>
      <c r="AF301" s="73">
        <v>0</v>
      </c>
      <c r="AG301" s="16" t="s">
        <v>43</v>
      </c>
      <c r="AH301" s="22" t="str">
        <f>_xlfn.CONCAT("FeO: ", INDEX(Chemical_analyses!$A:$M, MATCH($P301, Chemical_analyses!$A:$A), 9), ", MgO: ", INDEX(Chemical_analyses!$A:$M, MATCH($P301, Chemical_analyses!$A:$A), 11), ", CaO: ", INDEX(Chemical_analyses!$A:$M, MATCH($P301, Chemical_analyses!$A:$A), 12), ", MnO: ", INDEX(Chemical_analyses!$A:$M, MATCH($P301, Chemical_analyses!$A:$A), 10), ", NaO2: ", INDEX(Chemical_analyses!$A:$M, MATCH($P301, Chemical_analyses!$A:$A), 13), ", Fe2O3: ", INDEX(Chemical_analyses!$A:$M, MATCH($P301, Chemical_analyses!$A:$A), 8), ", Al2O3: ", INDEX(Chemical_analyses!$A:$M, MATCH($P301, Chemical_analyses!$A:$A), 6))</f>
        <v>FeO: 8.53, MgO: 32.81, CaO: 0.41, MnO: 0.19, NaO2: 0.01, Fe2O3: 0, Al2O3: 1.02</v>
      </c>
      <c r="AN301" s="83"/>
      <c r="AO301" s="83"/>
      <c r="AP301" s="83"/>
      <c r="AQ301" s="83"/>
      <c r="AR301" s="83"/>
      <c r="AS301" s="83"/>
      <c r="AT301" s="83"/>
      <c r="AU301" s="83"/>
    </row>
    <row r="302" spans="1:47" s="16" customFormat="1" ht="12">
      <c r="A302" s="16" t="s">
        <v>966</v>
      </c>
      <c r="B302" s="17" t="s">
        <v>962</v>
      </c>
      <c r="C302" s="18" t="s">
        <v>129</v>
      </c>
      <c r="D302" s="18" t="s">
        <v>310</v>
      </c>
      <c r="E302" s="16" t="s">
        <v>311</v>
      </c>
      <c r="G302" s="16" t="s">
        <v>414</v>
      </c>
      <c r="H302" s="16" t="s">
        <v>963</v>
      </c>
      <c r="J302" s="16">
        <v>0</v>
      </c>
      <c r="K302" s="16">
        <v>25</v>
      </c>
      <c r="L302" s="16" t="s">
        <v>38</v>
      </c>
      <c r="M302" s="16" t="s">
        <v>11</v>
      </c>
      <c r="N302" s="16" t="s">
        <v>930</v>
      </c>
      <c r="O302" s="16" t="s">
        <v>964</v>
      </c>
      <c r="P302" s="16">
        <v>36</v>
      </c>
      <c r="Q302" s="29" t="s">
        <v>965</v>
      </c>
      <c r="R302" s="89">
        <v>0</v>
      </c>
      <c r="S302" s="89">
        <f>100 - R302 - U302 - T302</f>
        <v>100</v>
      </c>
      <c r="T302" s="89">
        <v>0</v>
      </c>
      <c r="U302" s="90">
        <v>0</v>
      </c>
      <c r="V302" s="89">
        <v>0</v>
      </c>
      <c r="W302" s="90">
        <f>IF($R302 &gt; 0, 100 - $V302, 0)</f>
        <v>0</v>
      </c>
      <c r="X302" s="79">
        <f>INDEX(Chemical_analyses!$A:$L, MATCH($P302, Chemical_analyses!$A:$A), 9)/$AI$1/(INDEX(Chemical_analyses!$A:$L, MATCH($P302, Chemical_analyses!$A:$A), 9)/$AI$1+INDEX(Chemical_analyses!$A:$L, MATCH($P302, Chemical_analyses!$A:$A), 11)/$AJ$1+INDEX(Chemical_analyses!$A:$L, MATCH($P302, Chemical_analyses!$A:$A), 12)/$AK$1)*100</f>
        <v>12.62939849179531</v>
      </c>
      <c r="Y302" s="79">
        <f>IF($S302 &gt; 0, 100 - $X302 - $Z302, 0)</f>
        <v>86.592887132451722</v>
      </c>
      <c r="Z302" s="73">
        <f>INDEX(Chemical_analyses!$A:$L, MATCH($P302, Chemical_analyses!$A:$A), 12)/$AK$1/(INDEX(Chemical_analyses!$A:$L, MATCH($P302, Chemical_analyses!$A:$A), 9)/$AI$1+INDEX(Chemical_analyses!$A:$L, MATCH($P302, Chemical_analyses!$A:$A), 11)/$AJ$1+INDEX(Chemical_analyses!$A:$L, MATCH($P302, Chemical_analyses!$A:$A), 12)/$AK$1)*100</f>
        <v>0.77771437575295999</v>
      </c>
      <c r="AA302" s="89">
        <v>0</v>
      </c>
      <c r="AB302" s="79">
        <f>IF($T302 &gt; 0, 100 - $AA302 - $AC302, 0)</f>
        <v>0</v>
      </c>
      <c r="AC302" s="90">
        <v>0</v>
      </c>
      <c r="AD302" s="79">
        <v>0</v>
      </c>
      <c r="AE302" s="79">
        <f>IF($U302 &gt; 0, 100 - $AD302 - $AF302, 0)</f>
        <v>0</v>
      </c>
      <c r="AF302" s="90">
        <v>0</v>
      </c>
      <c r="AG302" s="16" t="s">
        <v>43</v>
      </c>
      <c r="AH302" s="22" t="str">
        <f>_xlfn.CONCAT("FeO: ", INDEX(Chemical_analyses!$A:$M, MATCH($P302, Chemical_analyses!$A:$A), 9), ", MgO: ", INDEX(Chemical_analyses!$A:$M, MATCH($P302, Chemical_analyses!$A:$A), 11), ", CaO: ", INDEX(Chemical_analyses!$A:$M, MATCH($P302, Chemical_analyses!$A:$A), 12), ", MnO: ", INDEX(Chemical_analyses!$A:$M, MATCH($P302, Chemical_analyses!$A:$A), 10), ", NaO2: ", INDEX(Chemical_analyses!$A:$M, MATCH($P302, Chemical_analyses!$A:$A), 13), ", Fe2O3: ", INDEX(Chemical_analyses!$A:$M, MATCH($P302, Chemical_analyses!$A:$A), 8), ", Al2O3: ", INDEX(Chemical_analyses!$A:$M, MATCH($P302, Chemical_analyses!$A:$A), 6))</f>
        <v>FeO: 8.53, MgO: 32.81, CaO: 0.41, MnO: 0.19, NaO2: 0.01, Fe2O3: 0, Al2O3: 1.02</v>
      </c>
      <c r="AN302" s="83"/>
      <c r="AO302" s="83"/>
      <c r="AP302" s="83"/>
      <c r="AQ302" s="83"/>
      <c r="AR302" s="83"/>
      <c r="AS302" s="83"/>
      <c r="AT302" s="83"/>
      <c r="AU302" s="83"/>
    </row>
    <row r="303" spans="1:47" s="16" customFormat="1" ht="12">
      <c r="A303" s="16" t="s">
        <v>967</v>
      </c>
      <c r="B303" s="17" t="s">
        <v>968</v>
      </c>
      <c r="C303" s="18" t="s">
        <v>129</v>
      </c>
      <c r="D303" s="18" t="s">
        <v>310</v>
      </c>
      <c r="E303" s="16" t="s">
        <v>311</v>
      </c>
      <c r="G303" s="16" t="s">
        <v>414</v>
      </c>
      <c r="H303" s="16" t="s">
        <v>969</v>
      </c>
      <c r="J303" s="16">
        <v>25</v>
      </c>
      <c r="K303" s="16">
        <v>75</v>
      </c>
      <c r="L303" s="16" t="s">
        <v>38</v>
      </c>
      <c r="M303" s="16" t="s">
        <v>11</v>
      </c>
      <c r="N303" s="16" t="s">
        <v>970</v>
      </c>
      <c r="O303" s="16" t="s">
        <v>964</v>
      </c>
      <c r="P303" s="16">
        <v>36</v>
      </c>
      <c r="Q303" s="29" t="s">
        <v>945</v>
      </c>
      <c r="R303" s="89">
        <v>0</v>
      </c>
      <c r="S303" s="89">
        <f>100 - R303 - U303 - T303</f>
        <v>100</v>
      </c>
      <c r="T303" s="89">
        <v>0</v>
      </c>
      <c r="U303" s="90">
        <v>0</v>
      </c>
      <c r="V303" s="89">
        <v>0</v>
      </c>
      <c r="W303" s="90">
        <f>IF($R303 &gt; 0, 100 - $V303, 0)</f>
        <v>0</v>
      </c>
      <c r="X303" s="79">
        <f>INDEX(Chemical_analyses!$A:$L, MATCH($P303, Chemical_analyses!$A:$A), 9)/$AI$1/(INDEX(Chemical_analyses!$A:$L, MATCH($P303, Chemical_analyses!$A:$A), 9)/$AI$1+INDEX(Chemical_analyses!$A:$L, MATCH($P303, Chemical_analyses!$A:$A), 11)/$AJ$1+INDEX(Chemical_analyses!$A:$L, MATCH($P303, Chemical_analyses!$A:$A), 12)/$AK$1)*100</f>
        <v>12.62939849179531</v>
      </c>
      <c r="Y303" s="79">
        <f>IF($S303 &gt; 0, 100 - $X303 - $Z303, 0)</f>
        <v>86.592887132451722</v>
      </c>
      <c r="Z303" s="73">
        <f>INDEX(Chemical_analyses!$A:$L, MATCH($P303, Chemical_analyses!$A:$A), 12)/$AK$1/(INDEX(Chemical_analyses!$A:$L, MATCH($P303, Chemical_analyses!$A:$A), 9)/$AI$1+INDEX(Chemical_analyses!$A:$L, MATCH($P303, Chemical_analyses!$A:$A), 11)/$AJ$1+INDEX(Chemical_analyses!$A:$L, MATCH($P303, Chemical_analyses!$A:$A), 12)/$AK$1)*100</f>
        <v>0.77771437575295999</v>
      </c>
      <c r="AA303" s="89">
        <v>0</v>
      </c>
      <c r="AB303" s="79">
        <f>IF($T303 &gt; 0, 100 - $AA303 - $AC303, 0)</f>
        <v>0</v>
      </c>
      <c r="AC303" s="90">
        <v>0</v>
      </c>
      <c r="AD303" s="79">
        <v>0</v>
      </c>
      <c r="AE303" s="79">
        <f>IF($U303 &gt; 0, 100 - $AD303 - $AF303, 0)</f>
        <v>0</v>
      </c>
      <c r="AF303" s="90">
        <v>0</v>
      </c>
      <c r="AG303" s="19" t="s">
        <v>43</v>
      </c>
      <c r="AH303" s="22" t="str">
        <f>_xlfn.CONCAT("FeO: ", INDEX(Chemical_analyses!$A:$M, MATCH($P303, Chemical_analyses!$A:$A), 9), ", MgO: ", INDEX(Chemical_analyses!$A:$M, MATCH($P303, Chemical_analyses!$A:$A), 11), ", CaO: ", INDEX(Chemical_analyses!$A:$M, MATCH($P303, Chemical_analyses!$A:$A), 12), ", MnO: ", INDEX(Chemical_analyses!$A:$M, MATCH($P303, Chemical_analyses!$A:$A), 10), ", NaO2: ", INDEX(Chemical_analyses!$A:$M, MATCH($P303, Chemical_analyses!$A:$A), 13), ", Fe2O3: ", INDEX(Chemical_analyses!$A:$M, MATCH($P303, Chemical_analyses!$A:$A), 8), ", Al2O3: ", INDEX(Chemical_analyses!$A:$M, MATCH($P303, Chemical_analyses!$A:$A), 6))</f>
        <v>FeO: 8.53, MgO: 32.81, CaO: 0.41, MnO: 0.19, NaO2: 0.01, Fe2O3: 0, Al2O3: 1.02</v>
      </c>
      <c r="AN303" s="83"/>
      <c r="AO303" s="83"/>
      <c r="AP303" s="83"/>
      <c r="AQ303" s="83"/>
      <c r="AR303" s="83"/>
      <c r="AS303" s="83"/>
      <c r="AT303" s="83"/>
      <c r="AU303" s="83"/>
    </row>
    <row r="304" spans="1:47" s="16" customFormat="1" ht="12">
      <c r="A304" s="16" t="s">
        <v>971</v>
      </c>
      <c r="B304" s="17" t="s">
        <v>972</v>
      </c>
      <c r="C304" s="18" t="s">
        <v>129</v>
      </c>
      <c r="D304" s="18" t="s">
        <v>310</v>
      </c>
      <c r="E304" s="16" t="s">
        <v>311</v>
      </c>
      <c r="G304" s="16" t="s">
        <v>414</v>
      </c>
      <c r="H304" s="16" t="s">
        <v>969</v>
      </c>
      <c r="J304" s="16">
        <v>75</v>
      </c>
      <c r="K304" s="16">
        <v>250</v>
      </c>
      <c r="L304" s="16" t="s">
        <v>38</v>
      </c>
      <c r="M304" s="16" t="s">
        <v>11</v>
      </c>
      <c r="N304" s="16" t="s">
        <v>930</v>
      </c>
      <c r="O304" s="16" t="s">
        <v>964</v>
      </c>
      <c r="P304" s="16">
        <v>36</v>
      </c>
      <c r="Q304" s="29" t="s">
        <v>973</v>
      </c>
      <c r="R304" s="89">
        <v>0</v>
      </c>
      <c r="S304" s="89">
        <f>100 - R304 - U304 - T304</f>
        <v>100</v>
      </c>
      <c r="T304" s="89">
        <v>0</v>
      </c>
      <c r="U304" s="90">
        <v>0</v>
      </c>
      <c r="V304" s="89">
        <v>0</v>
      </c>
      <c r="W304" s="90">
        <f>IF($R304 &gt; 0, 100 - $V304, 0)</f>
        <v>0</v>
      </c>
      <c r="X304" s="79">
        <f>INDEX(Chemical_analyses!$A:$L, MATCH($P304, Chemical_analyses!$A:$A), 9)/$AI$1/(INDEX(Chemical_analyses!$A:$L, MATCH($P304, Chemical_analyses!$A:$A), 9)/$AI$1+INDEX(Chemical_analyses!$A:$L, MATCH($P304, Chemical_analyses!$A:$A), 11)/$AJ$1+INDEX(Chemical_analyses!$A:$L, MATCH($P304, Chemical_analyses!$A:$A), 12)/$AK$1)*100</f>
        <v>12.62939849179531</v>
      </c>
      <c r="Y304" s="79">
        <f>IF($S304 &gt; 0, 100 - $X304 - $Z304, 0)</f>
        <v>86.592887132451722</v>
      </c>
      <c r="Z304" s="73">
        <f>INDEX(Chemical_analyses!$A:$L, MATCH($P304, Chemical_analyses!$A:$A), 12)/$AK$1/(INDEX(Chemical_analyses!$A:$L, MATCH($P304, Chemical_analyses!$A:$A), 9)/$AI$1+INDEX(Chemical_analyses!$A:$L, MATCH($P304, Chemical_analyses!$A:$A), 11)/$AJ$1+INDEX(Chemical_analyses!$A:$L, MATCH($P304, Chemical_analyses!$A:$A), 12)/$AK$1)*100</f>
        <v>0.77771437575295999</v>
      </c>
      <c r="AA304" s="79">
        <v>0</v>
      </c>
      <c r="AB304" s="79">
        <f>IF($T304 &gt; 0, 100 - $AA304 - $AC304, 0)</f>
        <v>0</v>
      </c>
      <c r="AC304" s="73">
        <v>0</v>
      </c>
      <c r="AD304" s="79">
        <v>0</v>
      </c>
      <c r="AE304" s="79">
        <f>IF($U304 &gt; 0, 100 - $AD304 - $AF304, 0)</f>
        <v>0</v>
      </c>
      <c r="AF304" s="73">
        <v>0</v>
      </c>
      <c r="AG304" s="19" t="s">
        <v>43</v>
      </c>
      <c r="AH304" s="22" t="str">
        <f>_xlfn.CONCAT("FeO: ", INDEX(Chemical_analyses!$A:$M, MATCH($P304, Chemical_analyses!$A:$A), 9), ", MgO: ", INDEX(Chemical_analyses!$A:$M, MATCH($P304, Chemical_analyses!$A:$A), 11), ", CaO: ", INDEX(Chemical_analyses!$A:$M, MATCH($P304, Chemical_analyses!$A:$A), 12), ", MnO: ", INDEX(Chemical_analyses!$A:$M, MATCH($P304, Chemical_analyses!$A:$A), 10), ", NaO2: ", INDEX(Chemical_analyses!$A:$M, MATCH($P304, Chemical_analyses!$A:$A), 13), ", Fe2O3: ", INDEX(Chemical_analyses!$A:$M, MATCH($P304, Chemical_analyses!$A:$A), 8), ", Al2O3: ", INDEX(Chemical_analyses!$A:$M, MATCH($P304, Chemical_analyses!$A:$A), 6))</f>
        <v>FeO: 8.53, MgO: 32.81, CaO: 0.41, MnO: 0.19, NaO2: 0.01, Fe2O3: 0, Al2O3: 1.02</v>
      </c>
      <c r="AN304" s="83"/>
      <c r="AO304" s="83"/>
      <c r="AP304" s="83"/>
      <c r="AQ304" s="83"/>
      <c r="AR304" s="83"/>
      <c r="AS304" s="83"/>
      <c r="AT304" s="83"/>
      <c r="AU304" s="83"/>
    </row>
    <row r="305" spans="1:47" s="16" customFormat="1" ht="12">
      <c r="A305" s="16" t="s">
        <v>974</v>
      </c>
      <c r="B305" s="17" t="s">
        <v>975</v>
      </c>
      <c r="C305" s="18" t="s">
        <v>129</v>
      </c>
      <c r="D305" s="18" t="s">
        <v>310</v>
      </c>
      <c r="E305" s="16" t="s">
        <v>311</v>
      </c>
      <c r="G305" s="16" t="s">
        <v>414</v>
      </c>
      <c r="H305" s="16" t="s">
        <v>969</v>
      </c>
      <c r="J305" s="16">
        <v>0</v>
      </c>
      <c r="K305" s="16">
        <v>250</v>
      </c>
      <c r="L305" s="16" t="s">
        <v>38</v>
      </c>
      <c r="M305" s="16" t="s">
        <v>11</v>
      </c>
      <c r="N305" s="16" t="s">
        <v>930</v>
      </c>
      <c r="O305" s="16" t="s">
        <v>964</v>
      </c>
      <c r="P305" s="16">
        <v>36</v>
      </c>
      <c r="Q305" s="29" t="s">
        <v>973</v>
      </c>
      <c r="R305" s="89">
        <v>0</v>
      </c>
      <c r="S305" s="89">
        <f>100 - R305 - U305 - T305</f>
        <v>100</v>
      </c>
      <c r="T305" s="89">
        <v>0</v>
      </c>
      <c r="U305" s="90">
        <v>0</v>
      </c>
      <c r="V305" s="89">
        <v>0</v>
      </c>
      <c r="W305" s="90">
        <f>IF($R305 &gt; 0, 100 - $V305, 0)</f>
        <v>0</v>
      </c>
      <c r="X305" s="79">
        <f>INDEX(Chemical_analyses!$A:$L, MATCH($P305, Chemical_analyses!$A:$A), 9)/$AI$1/(INDEX(Chemical_analyses!$A:$L, MATCH($P305, Chemical_analyses!$A:$A), 9)/$AI$1+INDEX(Chemical_analyses!$A:$L, MATCH($P305, Chemical_analyses!$A:$A), 11)/$AJ$1+INDEX(Chemical_analyses!$A:$L, MATCH($P305, Chemical_analyses!$A:$A), 12)/$AK$1)*100</f>
        <v>12.62939849179531</v>
      </c>
      <c r="Y305" s="79">
        <f>IF($S305 &gt; 0, 100 - $X305 - $Z305, 0)</f>
        <v>86.592887132451722</v>
      </c>
      <c r="Z305" s="73">
        <f>INDEX(Chemical_analyses!$A:$L, MATCH($P305, Chemical_analyses!$A:$A), 12)/$AK$1/(INDEX(Chemical_analyses!$A:$L, MATCH($P305, Chemical_analyses!$A:$A), 9)/$AI$1+INDEX(Chemical_analyses!$A:$L, MATCH($P305, Chemical_analyses!$A:$A), 11)/$AJ$1+INDEX(Chemical_analyses!$A:$L, MATCH($P305, Chemical_analyses!$A:$A), 12)/$AK$1)*100</f>
        <v>0.77771437575295999</v>
      </c>
      <c r="AA305" s="79">
        <v>0</v>
      </c>
      <c r="AB305" s="79">
        <f>IF($T305 &gt; 0, 100 - $AA305 - $AC305, 0)</f>
        <v>0</v>
      </c>
      <c r="AC305" s="73">
        <v>0</v>
      </c>
      <c r="AD305" s="79">
        <v>0</v>
      </c>
      <c r="AE305" s="79">
        <f>IF($U305 &gt; 0, 100 - $AD305 - $AF305, 0)</f>
        <v>0</v>
      </c>
      <c r="AF305" s="73">
        <v>0</v>
      </c>
      <c r="AG305" s="19" t="s">
        <v>43</v>
      </c>
      <c r="AH305" s="22" t="str">
        <f>_xlfn.CONCAT("FeO: ", INDEX(Chemical_analyses!$A:$M, MATCH($P305, Chemical_analyses!$A:$A), 9), ", MgO: ", INDEX(Chemical_analyses!$A:$M, MATCH($P305, Chemical_analyses!$A:$A), 11), ", CaO: ", INDEX(Chemical_analyses!$A:$M, MATCH($P305, Chemical_analyses!$A:$A), 12), ", MnO: ", INDEX(Chemical_analyses!$A:$M, MATCH($P305, Chemical_analyses!$A:$A), 10), ", NaO2: ", INDEX(Chemical_analyses!$A:$M, MATCH($P305, Chemical_analyses!$A:$A), 13), ", Fe2O3: ", INDEX(Chemical_analyses!$A:$M, MATCH($P305, Chemical_analyses!$A:$A), 8), ", Al2O3: ", INDEX(Chemical_analyses!$A:$M, MATCH($P305, Chemical_analyses!$A:$A), 6))</f>
        <v>FeO: 8.53, MgO: 32.81, CaO: 0.41, MnO: 0.19, NaO2: 0.01, Fe2O3: 0, Al2O3: 1.02</v>
      </c>
      <c r="AN305" s="83"/>
      <c r="AO305" s="83"/>
      <c r="AP305" s="83"/>
      <c r="AQ305" s="83"/>
      <c r="AR305" s="83"/>
      <c r="AS305" s="83"/>
      <c r="AT305" s="83"/>
      <c r="AU305" s="83"/>
    </row>
    <row r="306" spans="1:47" s="16" customFormat="1" ht="12">
      <c r="A306" s="16" t="s">
        <v>976</v>
      </c>
      <c r="B306" s="17" t="s">
        <v>977</v>
      </c>
      <c r="C306" s="18" t="s">
        <v>129</v>
      </c>
      <c r="D306" s="18" t="s">
        <v>310</v>
      </c>
      <c r="E306" s="16" t="s">
        <v>311</v>
      </c>
      <c r="G306" s="16" t="s">
        <v>414</v>
      </c>
      <c r="H306" s="16" t="s">
        <v>969</v>
      </c>
      <c r="J306" s="16">
        <v>0</v>
      </c>
      <c r="K306" s="16">
        <v>250</v>
      </c>
      <c r="L306" s="16" t="s">
        <v>38</v>
      </c>
      <c r="M306" s="16" t="s">
        <v>11</v>
      </c>
      <c r="N306" s="16" t="s">
        <v>930</v>
      </c>
      <c r="O306" s="16" t="s">
        <v>964</v>
      </c>
      <c r="P306" s="16">
        <v>36</v>
      </c>
      <c r="Q306" s="29" t="s">
        <v>973</v>
      </c>
      <c r="R306" s="89">
        <v>0</v>
      </c>
      <c r="S306" s="89">
        <f>100 - R306 - U306 - T306</f>
        <v>100</v>
      </c>
      <c r="T306" s="89">
        <v>0</v>
      </c>
      <c r="U306" s="90">
        <v>0</v>
      </c>
      <c r="V306" s="89">
        <v>0</v>
      </c>
      <c r="W306" s="90">
        <f>IF($R306 &gt; 0, 100 - $V306, 0)</f>
        <v>0</v>
      </c>
      <c r="X306" s="79">
        <f>INDEX(Chemical_analyses!$A:$L, MATCH($P306, Chemical_analyses!$A:$A), 9)/$AI$1/(INDEX(Chemical_analyses!$A:$L, MATCH($P306, Chemical_analyses!$A:$A), 9)/$AI$1+INDEX(Chemical_analyses!$A:$L, MATCH($P306, Chemical_analyses!$A:$A), 11)/$AJ$1+INDEX(Chemical_analyses!$A:$L, MATCH($P306, Chemical_analyses!$A:$A), 12)/$AK$1)*100</f>
        <v>12.62939849179531</v>
      </c>
      <c r="Y306" s="79">
        <f>IF($S306 &gt; 0, 100 - $X306 - $Z306, 0)</f>
        <v>86.592887132451722</v>
      </c>
      <c r="Z306" s="73">
        <f>INDEX(Chemical_analyses!$A:$L, MATCH($P306, Chemical_analyses!$A:$A), 12)/$AK$1/(INDEX(Chemical_analyses!$A:$L, MATCH($P306, Chemical_analyses!$A:$A), 9)/$AI$1+INDEX(Chemical_analyses!$A:$L, MATCH($P306, Chemical_analyses!$A:$A), 11)/$AJ$1+INDEX(Chemical_analyses!$A:$L, MATCH($P306, Chemical_analyses!$A:$A), 12)/$AK$1)*100</f>
        <v>0.77771437575295999</v>
      </c>
      <c r="AA306" s="89">
        <v>0</v>
      </c>
      <c r="AB306" s="79">
        <f>IF($T306 &gt; 0, 100 - $AA306 - $AC306, 0)</f>
        <v>0</v>
      </c>
      <c r="AC306" s="90">
        <v>0</v>
      </c>
      <c r="AD306" s="79">
        <v>0</v>
      </c>
      <c r="AE306" s="79">
        <f>IF($U306 &gt; 0, 100 - $AD306 - $AF306, 0)</f>
        <v>0</v>
      </c>
      <c r="AF306" s="90">
        <v>0</v>
      </c>
      <c r="AG306" s="19" t="s">
        <v>43</v>
      </c>
      <c r="AH306" s="22" t="str">
        <f>_xlfn.CONCAT("FeO: ", INDEX(Chemical_analyses!$A:$M, MATCH($P306, Chemical_analyses!$A:$A), 9), ", MgO: ", INDEX(Chemical_analyses!$A:$M, MATCH($P306, Chemical_analyses!$A:$A), 11), ", CaO: ", INDEX(Chemical_analyses!$A:$M, MATCH($P306, Chemical_analyses!$A:$A), 12), ", MnO: ", INDEX(Chemical_analyses!$A:$M, MATCH($P306, Chemical_analyses!$A:$A), 10), ", NaO2: ", INDEX(Chemical_analyses!$A:$M, MATCH($P306, Chemical_analyses!$A:$A), 13), ", Fe2O3: ", INDEX(Chemical_analyses!$A:$M, MATCH($P306, Chemical_analyses!$A:$A), 8), ", Al2O3: ", INDEX(Chemical_analyses!$A:$M, MATCH($P306, Chemical_analyses!$A:$A), 6))</f>
        <v>FeO: 8.53, MgO: 32.81, CaO: 0.41, MnO: 0.19, NaO2: 0.01, Fe2O3: 0, Al2O3: 1.02</v>
      </c>
      <c r="AN306" s="83"/>
      <c r="AO306" s="83"/>
      <c r="AP306" s="83"/>
      <c r="AQ306" s="83"/>
      <c r="AR306" s="83"/>
      <c r="AS306" s="83"/>
      <c r="AT306" s="83"/>
      <c r="AU306" s="83"/>
    </row>
    <row r="307" spans="1:47" s="16" customFormat="1" ht="12">
      <c r="A307" s="16" t="s">
        <v>978</v>
      </c>
      <c r="B307" s="17" t="s">
        <v>979</v>
      </c>
      <c r="C307" s="18" t="s">
        <v>129</v>
      </c>
      <c r="D307" s="18" t="s">
        <v>310</v>
      </c>
      <c r="E307" s="16" t="s">
        <v>311</v>
      </c>
      <c r="G307" s="16" t="s">
        <v>414</v>
      </c>
      <c r="H307" s="16" t="s">
        <v>969</v>
      </c>
      <c r="J307" s="16">
        <v>0</v>
      </c>
      <c r="K307" s="16">
        <v>250</v>
      </c>
      <c r="L307" s="16" t="s">
        <v>38</v>
      </c>
      <c r="M307" s="16" t="s">
        <v>11</v>
      </c>
      <c r="N307" s="16" t="s">
        <v>930</v>
      </c>
      <c r="O307" s="16" t="s">
        <v>964</v>
      </c>
      <c r="P307" s="16">
        <v>36</v>
      </c>
      <c r="Q307" s="29" t="s">
        <v>973</v>
      </c>
      <c r="R307" s="89">
        <v>0</v>
      </c>
      <c r="S307" s="89">
        <f>100 - R307 - U307 - T307</f>
        <v>100</v>
      </c>
      <c r="T307" s="89">
        <v>0</v>
      </c>
      <c r="U307" s="90">
        <v>0</v>
      </c>
      <c r="V307" s="89">
        <v>0</v>
      </c>
      <c r="W307" s="90">
        <f>IF($R307 &gt; 0, 100 - $V307, 0)</f>
        <v>0</v>
      </c>
      <c r="X307" s="79">
        <f>INDEX(Chemical_analyses!$A:$L, MATCH($P307, Chemical_analyses!$A:$A), 9)/$AI$1/(INDEX(Chemical_analyses!$A:$L, MATCH($P307, Chemical_analyses!$A:$A), 9)/$AI$1+INDEX(Chemical_analyses!$A:$L, MATCH($P307, Chemical_analyses!$A:$A), 11)/$AJ$1+INDEX(Chemical_analyses!$A:$L, MATCH($P307, Chemical_analyses!$A:$A), 12)/$AK$1)*100</f>
        <v>12.62939849179531</v>
      </c>
      <c r="Y307" s="79">
        <f>IF($S307 &gt; 0, 100 - $X307 - $Z307, 0)</f>
        <v>86.592887132451722</v>
      </c>
      <c r="Z307" s="73">
        <f>INDEX(Chemical_analyses!$A:$L, MATCH($P307, Chemical_analyses!$A:$A), 12)/$AK$1/(INDEX(Chemical_analyses!$A:$L, MATCH($P307, Chemical_analyses!$A:$A), 9)/$AI$1+INDEX(Chemical_analyses!$A:$L, MATCH($P307, Chemical_analyses!$A:$A), 11)/$AJ$1+INDEX(Chemical_analyses!$A:$L, MATCH($P307, Chemical_analyses!$A:$A), 12)/$AK$1)*100</f>
        <v>0.77771437575295999</v>
      </c>
      <c r="AA307" s="79">
        <v>0</v>
      </c>
      <c r="AB307" s="79">
        <f>IF($T307 &gt; 0, 100 - $AA307 - $AC307, 0)</f>
        <v>0</v>
      </c>
      <c r="AC307" s="73">
        <v>0</v>
      </c>
      <c r="AD307" s="79">
        <v>0</v>
      </c>
      <c r="AE307" s="79">
        <f>IF($U307 &gt; 0, 100 - $AD307 - $AF307, 0)</f>
        <v>0</v>
      </c>
      <c r="AF307" s="73">
        <v>0</v>
      </c>
      <c r="AG307" s="19" t="s">
        <v>43</v>
      </c>
      <c r="AH307" s="22" t="str">
        <f>_xlfn.CONCAT("FeO: ", INDEX(Chemical_analyses!$A:$M, MATCH($P307, Chemical_analyses!$A:$A), 9), ", MgO: ", INDEX(Chemical_analyses!$A:$M, MATCH($P307, Chemical_analyses!$A:$A), 11), ", CaO: ", INDEX(Chemical_analyses!$A:$M, MATCH($P307, Chemical_analyses!$A:$A), 12), ", MnO: ", INDEX(Chemical_analyses!$A:$M, MATCH($P307, Chemical_analyses!$A:$A), 10), ", NaO2: ", INDEX(Chemical_analyses!$A:$M, MATCH($P307, Chemical_analyses!$A:$A), 13), ", Fe2O3: ", INDEX(Chemical_analyses!$A:$M, MATCH($P307, Chemical_analyses!$A:$A), 8), ", Al2O3: ", INDEX(Chemical_analyses!$A:$M, MATCH($P307, Chemical_analyses!$A:$A), 6))</f>
        <v>FeO: 8.53, MgO: 32.81, CaO: 0.41, MnO: 0.19, NaO2: 0.01, Fe2O3: 0, Al2O3: 1.02</v>
      </c>
      <c r="AN307" s="83"/>
      <c r="AO307" s="83"/>
      <c r="AP307" s="83"/>
      <c r="AQ307" s="83"/>
      <c r="AR307" s="83"/>
      <c r="AS307" s="83"/>
      <c r="AT307" s="83"/>
      <c r="AU307" s="83"/>
    </row>
    <row r="308" spans="1:47" s="16" customFormat="1" ht="12">
      <c r="A308" s="19" t="s">
        <v>980</v>
      </c>
      <c r="B308" s="20" t="s">
        <v>981</v>
      </c>
      <c r="C308" s="21" t="s">
        <v>129</v>
      </c>
      <c r="D308" s="21" t="s">
        <v>310</v>
      </c>
      <c r="E308" s="19" t="s">
        <v>311</v>
      </c>
      <c r="F308" s="19"/>
      <c r="G308" s="19" t="s">
        <v>414</v>
      </c>
      <c r="H308" s="19" t="s">
        <v>982</v>
      </c>
      <c r="I308" s="19"/>
      <c r="J308" s="19">
        <v>0</v>
      </c>
      <c r="K308" s="19">
        <v>25</v>
      </c>
      <c r="L308" s="19" t="s">
        <v>38</v>
      </c>
      <c r="M308" s="19" t="s">
        <v>11</v>
      </c>
      <c r="N308" s="19" t="s">
        <v>983</v>
      </c>
      <c r="O308" s="19" t="s">
        <v>459</v>
      </c>
      <c r="P308" s="19">
        <v>0</v>
      </c>
      <c r="Q308" s="30"/>
      <c r="R308" s="89">
        <v>0</v>
      </c>
      <c r="S308" s="89">
        <f>100 - R308 - U308 - T308</f>
        <v>100</v>
      </c>
      <c r="T308" s="89">
        <v>0</v>
      </c>
      <c r="U308" s="90">
        <v>0</v>
      </c>
      <c r="V308" s="89">
        <v>0</v>
      </c>
      <c r="W308" s="90">
        <f>IF($R308 &gt; 0, 100 - $V308, 0)</f>
        <v>0</v>
      </c>
      <c r="X308" s="91">
        <f>(55+65)/2</f>
        <v>60</v>
      </c>
      <c r="Y308" s="79">
        <f>IF($S308 &gt; 0, 100 - $X308 - $Z308, 0)</f>
        <v>40</v>
      </c>
      <c r="Z308" s="92">
        <v>0</v>
      </c>
      <c r="AA308" s="79">
        <v>0</v>
      </c>
      <c r="AB308" s="79">
        <f>IF($T308 &gt; 0, 100 - $AA308 - $AC308, 0)</f>
        <v>0</v>
      </c>
      <c r="AC308" s="73">
        <v>0</v>
      </c>
      <c r="AD308" s="79">
        <v>0</v>
      </c>
      <c r="AE308" s="79">
        <f>IF($U308 &gt; 0, 100 - $AD308 - $AF308, 0)</f>
        <v>0</v>
      </c>
      <c r="AF308" s="73">
        <v>0</v>
      </c>
      <c r="AG308" s="19" t="s">
        <v>43</v>
      </c>
      <c r="AH308" s="16" t="s">
        <v>984</v>
      </c>
      <c r="AN308" s="83"/>
      <c r="AO308" s="83"/>
      <c r="AP308" s="83"/>
      <c r="AQ308" s="83"/>
      <c r="AR308" s="83"/>
      <c r="AS308" s="83"/>
      <c r="AT308" s="83"/>
      <c r="AU308" s="83"/>
    </row>
    <row r="309" spans="1:47" s="16" customFormat="1" ht="12">
      <c r="A309" s="19" t="s">
        <v>985</v>
      </c>
      <c r="B309" s="20" t="s">
        <v>981</v>
      </c>
      <c r="C309" s="21" t="s">
        <v>129</v>
      </c>
      <c r="D309" s="21" t="s">
        <v>310</v>
      </c>
      <c r="E309" s="19" t="s">
        <v>311</v>
      </c>
      <c r="F309" s="19"/>
      <c r="G309" s="19" t="s">
        <v>414</v>
      </c>
      <c r="H309" s="19" t="s">
        <v>982</v>
      </c>
      <c r="I309" s="19"/>
      <c r="J309" s="19">
        <v>25</v>
      </c>
      <c r="K309" s="19">
        <v>45</v>
      </c>
      <c r="L309" s="19" t="s">
        <v>38</v>
      </c>
      <c r="M309" s="19" t="s">
        <v>11</v>
      </c>
      <c r="N309" s="19" t="s">
        <v>983</v>
      </c>
      <c r="O309" s="19" t="s">
        <v>459</v>
      </c>
      <c r="P309" s="19">
        <v>0</v>
      </c>
      <c r="Q309" s="30"/>
      <c r="R309" s="89">
        <v>0</v>
      </c>
      <c r="S309" s="89">
        <f>100 - R309 - U309 - T309</f>
        <v>100</v>
      </c>
      <c r="T309" s="89">
        <v>0</v>
      </c>
      <c r="U309" s="90">
        <v>0</v>
      </c>
      <c r="V309" s="89">
        <v>0</v>
      </c>
      <c r="W309" s="90">
        <f>IF($R309 &gt; 0, 100 - $V309, 0)</f>
        <v>0</v>
      </c>
      <c r="X309" s="91">
        <f>(55+65)/2</f>
        <v>60</v>
      </c>
      <c r="Y309" s="79">
        <f>IF($S309 &gt; 0, 100 - $X309 - $Z309, 0)</f>
        <v>40</v>
      </c>
      <c r="Z309" s="92">
        <v>0</v>
      </c>
      <c r="AA309" s="89">
        <v>0</v>
      </c>
      <c r="AB309" s="79">
        <f>IF($T309 &gt; 0, 100 - $AA309 - $AC309, 0)</f>
        <v>0</v>
      </c>
      <c r="AC309" s="90">
        <v>0</v>
      </c>
      <c r="AD309" s="79">
        <v>0</v>
      </c>
      <c r="AE309" s="79">
        <f>IF($U309 &gt; 0, 100 - $AD309 - $AF309, 0)</f>
        <v>0</v>
      </c>
      <c r="AF309" s="90">
        <v>0</v>
      </c>
      <c r="AG309" s="19" t="s">
        <v>43</v>
      </c>
      <c r="AH309" s="16" t="s">
        <v>984</v>
      </c>
      <c r="AN309" s="83"/>
      <c r="AO309" s="83"/>
      <c r="AP309" s="83"/>
      <c r="AQ309" s="83"/>
      <c r="AR309" s="83"/>
      <c r="AS309" s="83"/>
      <c r="AT309" s="83"/>
      <c r="AU309" s="83"/>
    </row>
    <row r="310" spans="1:47" s="16" customFormat="1" ht="12">
      <c r="A310" s="19" t="s">
        <v>986</v>
      </c>
      <c r="B310" s="20" t="s">
        <v>981</v>
      </c>
      <c r="C310" s="21" t="s">
        <v>129</v>
      </c>
      <c r="D310" s="21" t="s">
        <v>310</v>
      </c>
      <c r="E310" s="19" t="s">
        <v>311</v>
      </c>
      <c r="F310" s="19"/>
      <c r="G310" s="19" t="s">
        <v>414</v>
      </c>
      <c r="H310" s="19" t="s">
        <v>982</v>
      </c>
      <c r="I310" s="19"/>
      <c r="J310" s="19">
        <v>45</v>
      </c>
      <c r="K310" s="19">
        <v>75</v>
      </c>
      <c r="L310" s="19" t="s">
        <v>38</v>
      </c>
      <c r="M310" s="19" t="s">
        <v>11</v>
      </c>
      <c r="N310" s="19" t="s">
        <v>983</v>
      </c>
      <c r="O310" s="19" t="s">
        <v>459</v>
      </c>
      <c r="P310" s="19">
        <v>0</v>
      </c>
      <c r="Q310" s="30"/>
      <c r="R310" s="89">
        <v>0</v>
      </c>
      <c r="S310" s="89">
        <f>100 - R310 - U310 - T310</f>
        <v>100</v>
      </c>
      <c r="T310" s="89">
        <v>0</v>
      </c>
      <c r="U310" s="90">
        <v>0</v>
      </c>
      <c r="V310" s="89">
        <v>0</v>
      </c>
      <c r="W310" s="90">
        <f>IF($R310 &gt; 0, 100 - $V310, 0)</f>
        <v>0</v>
      </c>
      <c r="X310" s="91">
        <f>(55+65)/2</f>
        <v>60</v>
      </c>
      <c r="Y310" s="79">
        <f>IF($S310 &gt; 0, 100 - $X310 - $Z310, 0)</f>
        <v>40</v>
      </c>
      <c r="Z310" s="92">
        <v>0</v>
      </c>
      <c r="AA310" s="79">
        <v>0</v>
      </c>
      <c r="AB310" s="79">
        <f>IF($T310 &gt; 0, 100 - $AA310 - $AC310, 0)</f>
        <v>0</v>
      </c>
      <c r="AC310" s="73">
        <v>0</v>
      </c>
      <c r="AD310" s="79">
        <v>0</v>
      </c>
      <c r="AE310" s="79">
        <f>IF($U310 &gt; 0, 100 - $AD310 - $AF310, 0)</f>
        <v>0</v>
      </c>
      <c r="AF310" s="73">
        <v>0</v>
      </c>
      <c r="AG310" s="19" t="s">
        <v>43</v>
      </c>
      <c r="AH310" s="16" t="s">
        <v>984</v>
      </c>
      <c r="AN310" s="83"/>
      <c r="AO310" s="83"/>
      <c r="AP310" s="83"/>
      <c r="AQ310" s="83"/>
      <c r="AR310" s="83"/>
      <c r="AS310" s="83"/>
      <c r="AT310" s="83"/>
      <c r="AU310" s="83"/>
    </row>
    <row r="311" spans="1:47" s="16" customFormat="1" ht="12">
      <c r="A311" s="19" t="s">
        <v>987</v>
      </c>
      <c r="B311" s="20" t="s">
        <v>981</v>
      </c>
      <c r="C311" s="21" t="s">
        <v>129</v>
      </c>
      <c r="D311" s="21" t="s">
        <v>310</v>
      </c>
      <c r="E311" s="19" t="s">
        <v>311</v>
      </c>
      <c r="F311" s="19"/>
      <c r="G311" s="19" t="s">
        <v>414</v>
      </c>
      <c r="H311" s="19" t="s">
        <v>982</v>
      </c>
      <c r="I311" s="19"/>
      <c r="J311" s="19">
        <v>75</v>
      </c>
      <c r="K311" s="19">
        <v>125</v>
      </c>
      <c r="L311" s="19" t="s">
        <v>38</v>
      </c>
      <c r="M311" s="19" t="s">
        <v>11</v>
      </c>
      <c r="N311" s="19" t="s">
        <v>983</v>
      </c>
      <c r="O311" s="19" t="s">
        <v>459</v>
      </c>
      <c r="P311" s="19">
        <v>0</v>
      </c>
      <c r="Q311" s="30"/>
      <c r="R311" s="89">
        <v>0</v>
      </c>
      <c r="S311" s="89">
        <f>100 - R311 - U311 - T311</f>
        <v>100</v>
      </c>
      <c r="T311" s="89">
        <v>0</v>
      </c>
      <c r="U311" s="90">
        <v>0</v>
      </c>
      <c r="V311" s="89">
        <v>0</v>
      </c>
      <c r="W311" s="90">
        <f>IF($R311 &gt; 0, 100 - $V311, 0)</f>
        <v>0</v>
      </c>
      <c r="X311" s="91">
        <f>(55+65)/2</f>
        <v>60</v>
      </c>
      <c r="Y311" s="79">
        <f>IF($S311 &gt; 0, 100 - $X311 - $Z311, 0)</f>
        <v>40</v>
      </c>
      <c r="Z311" s="92">
        <v>0</v>
      </c>
      <c r="AA311" s="89">
        <v>0</v>
      </c>
      <c r="AB311" s="79">
        <f>IF($T311 &gt; 0, 100 - $AA311 - $AC311, 0)</f>
        <v>0</v>
      </c>
      <c r="AC311" s="90">
        <v>0</v>
      </c>
      <c r="AD311" s="79">
        <v>0</v>
      </c>
      <c r="AE311" s="79">
        <f>IF($U311 &gt; 0, 100 - $AD311 - $AF311, 0)</f>
        <v>0</v>
      </c>
      <c r="AF311" s="90">
        <v>0</v>
      </c>
      <c r="AG311" s="19" t="s">
        <v>43</v>
      </c>
      <c r="AH311" s="16" t="s">
        <v>984</v>
      </c>
      <c r="AN311" s="83"/>
      <c r="AO311" s="83"/>
      <c r="AP311" s="83"/>
      <c r="AQ311" s="83"/>
      <c r="AR311" s="83"/>
      <c r="AS311" s="83"/>
      <c r="AT311" s="83"/>
      <c r="AU311" s="83"/>
    </row>
    <row r="312" spans="1:47" s="16" customFormat="1" ht="12">
      <c r="A312" s="19" t="s">
        <v>988</v>
      </c>
      <c r="B312" s="20" t="s">
        <v>981</v>
      </c>
      <c r="C312" s="21" t="s">
        <v>129</v>
      </c>
      <c r="D312" s="21" t="s">
        <v>310</v>
      </c>
      <c r="E312" s="19" t="s">
        <v>311</v>
      </c>
      <c r="F312" s="19"/>
      <c r="G312" s="19" t="s">
        <v>414</v>
      </c>
      <c r="H312" s="19" t="s">
        <v>982</v>
      </c>
      <c r="I312" s="19"/>
      <c r="J312" s="19">
        <v>125</v>
      </c>
      <c r="K312" s="19">
        <v>250</v>
      </c>
      <c r="L312" s="19" t="s">
        <v>38</v>
      </c>
      <c r="M312" s="19" t="s">
        <v>11</v>
      </c>
      <c r="N312" s="19" t="s">
        <v>983</v>
      </c>
      <c r="O312" s="19" t="s">
        <v>459</v>
      </c>
      <c r="P312" s="19">
        <v>0</v>
      </c>
      <c r="Q312" s="30"/>
      <c r="R312" s="89">
        <v>0</v>
      </c>
      <c r="S312" s="89">
        <f>100 - R312 - U312 - T312</f>
        <v>100</v>
      </c>
      <c r="T312" s="89">
        <v>0</v>
      </c>
      <c r="U312" s="90">
        <v>0</v>
      </c>
      <c r="V312" s="89">
        <v>0</v>
      </c>
      <c r="W312" s="90">
        <f>IF($R312 &gt; 0, 100 - $V312, 0)</f>
        <v>0</v>
      </c>
      <c r="X312" s="91">
        <f>(55+65)/2</f>
        <v>60</v>
      </c>
      <c r="Y312" s="79">
        <f>IF($S312 &gt; 0, 100 - $X312 - $Z312, 0)</f>
        <v>40</v>
      </c>
      <c r="Z312" s="92">
        <v>0</v>
      </c>
      <c r="AA312" s="79">
        <v>0</v>
      </c>
      <c r="AB312" s="79">
        <f>IF($T312 &gt; 0, 100 - $AA312 - $AC312, 0)</f>
        <v>0</v>
      </c>
      <c r="AC312" s="73">
        <v>0</v>
      </c>
      <c r="AD312" s="79">
        <v>0</v>
      </c>
      <c r="AE312" s="79">
        <f>IF($U312 &gt; 0, 100 - $AD312 - $AF312, 0)</f>
        <v>0</v>
      </c>
      <c r="AF312" s="73">
        <v>0</v>
      </c>
      <c r="AG312" s="19" t="s">
        <v>43</v>
      </c>
      <c r="AH312" s="16" t="s">
        <v>984</v>
      </c>
      <c r="AN312" s="83"/>
      <c r="AO312" s="83"/>
      <c r="AP312" s="83"/>
      <c r="AQ312" s="83"/>
      <c r="AR312" s="83"/>
      <c r="AS312" s="83"/>
      <c r="AT312" s="83"/>
      <c r="AU312" s="83"/>
    </row>
    <row r="313" spans="1:47" s="16" customFormat="1" ht="12">
      <c r="A313" s="19" t="s">
        <v>989</v>
      </c>
      <c r="B313" s="20" t="s">
        <v>981</v>
      </c>
      <c r="C313" s="21" t="s">
        <v>129</v>
      </c>
      <c r="D313" s="21" t="s">
        <v>310</v>
      </c>
      <c r="E313" s="19" t="s">
        <v>311</v>
      </c>
      <c r="F313" s="19"/>
      <c r="G313" s="19" t="s">
        <v>414</v>
      </c>
      <c r="H313" s="19" t="s">
        <v>982</v>
      </c>
      <c r="I313" s="19"/>
      <c r="J313" s="19">
        <v>250</v>
      </c>
      <c r="K313" s="19">
        <v>500</v>
      </c>
      <c r="L313" s="19" t="s">
        <v>38</v>
      </c>
      <c r="M313" s="19" t="s">
        <v>11</v>
      </c>
      <c r="N313" s="19" t="s">
        <v>983</v>
      </c>
      <c r="O313" s="19" t="s">
        <v>459</v>
      </c>
      <c r="P313" s="19">
        <v>0</v>
      </c>
      <c r="Q313" s="30"/>
      <c r="R313" s="89">
        <v>0</v>
      </c>
      <c r="S313" s="89">
        <f>100 - R313 - U313 - T313</f>
        <v>100</v>
      </c>
      <c r="T313" s="89">
        <v>0</v>
      </c>
      <c r="U313" s="90">
        <v>0</v>
      </c>
      <c r="V313" s="89">
        <v>0</v>
      </c>
      <c r="W313" s="90">
        <f>IF($R313 &gt; 0, 100 - $V313, 0)</f>
        <v>0</v>
      </c>
      <c r="X313" s="91">
        <f>(55+65)/2</f>
        <v>60</v>
      </c>
      <c r="Y313" s="79">
        <f>IF($S313 &gt; 0, 100 - $X313 - $Z313, 0)</f>
        <v>40</v>
      </c>
      <c r="Z313" s="92">
        <v>0</v>
      </c>
      <c r="AA313" s="89">
        <v>0</v>
      </c>
      <c r="AB313" s="79">
        <f>IF($T313 &gt; 0, 100 - $AA313 - $AC313, 0)</f>
        <v>0</v>
      </c>
      <c r="AC313" s="90">
        <v>0</v>
      </c>
      <c r="AD313" s="79">
        <v>0</v>
      </c>
      <c r="AE313" s="79">
        <f>IF($U313 &gt; 0, 100 - $AD313 - $AF313, 0)</f>
        <v>0</v>
      </c>
      <c r="AF313" s="90">
        <v>0</v>
      </c>
      <c r="AG313" s="19" t="s">
        <v>43</v>
      </c>
      <c r="AH313" s="16" t="s">
        <v>984</v>
      </c>
      <c r="AN313" s="83"/>
      <c r="AO313" s="83"/>
      <c r="AP313" s="83"/>
      <c r="AQ313" s="83"/>
      <c r="AR313" s="83"/>
      <c r="AS313" s="83"/>
      <c r="AT313" s="83"/>
      <c r="AU313" s="83"/>
    </row>
    <row r="314" spans="1:47" s="16" customFormat="1" ht="12">
      <c r="A314" s="19" t="s">
        <v>990</v>
      </c>
      <c r="B314" s="20" t="s">
        <v>991</v>
      </c>
      <c r="C314" s="21" t="s">
        <v>129</v>
      </c>
      <c r="D314" s="21" t="s">
        <v>310</v>
      </c>
      <c r="E314" s="19" t="s">
        <v>311</v>
      </c>
      <c r="F314" s="19"/>
      <c r="G314" s="19" t="s">
        <v>414</v>
      </c>
      <c r="H314" s="19" t="s">
        <v>982</v>
      </c>
      <c r="I314" s="19"/>
      <c r="J314" s="19">
        <v>0</v>
      </c>
      <c r="K314" s="19">
        <v>25</v>
      </c>
      <c r="L314" s="19" t="s">
        <v>38</v>
      </c>
      <c r="M314" s="19" t="s">
        <v>11</v>
      </c>
      <c r="N314" s="19" t="s">
        <v>992</v>
      </c>
      <c r="O314" s="19" t="s">
        <v>459</v>
      </c>
      <c r="P314" s="19">
        <v>0</v>
      </c>
      <c r="Q314" s="30"/>
      <c r="R314" s="89">
        <v>0</v>
      </c>
      <c r="S314" s="89">
        <f>100 - R314 - U314 - T314</f>
        <v>100</v>
      </c>
      <c r="T314" s="89">
        <v>0</v>
      </c>
      <c r="U314" s="90">
        <v>0</v>
      </c>
      <c r="V314" s="89">
        <v>0</v>
      </c>
      <c r="W314" s="90">
        <f>IF($R314 &gt; 0, 100 - $V314, 0)</f>
        <v>0</v>
      </c>
      <c r="X314" s="91">
        <v>40.6</v>
      </c>
      <c r="Y314" s="79">
        <f>IF($S314 &gt; 0, 100 - $X314 - $Z314, 0)</f>
        <v>55.8</v>
      </c>
      <c r="Z314" s="92">
        <v>3.6</v>
      </c>
      <c r="AA314" s="89">
        <v>0</v>
      </c>
      <c r="AB314" s="79">
        <f>IF($T314 &gt; 0, 100 - $AA314 - $AC314, 0)</f>
        <v>0</v>
      </c>
      <c r="AC314" s="90">
        <v>0</v>
      </c>
      <c r="AD314" s="79">
        <v>0</v>
      </c>
      <c r="AE314" s="79">
        <f>IF($U314 &gt; 0, 100 - $AD314 - $AF314, 0)</f>
        <v>0</v>
      </c>
      <c r="AF314" s="90">
        <v>0</v>
      </c>
      <c r="AG314" s="16" t="s">
        <v>43</v>
      </c>
      <c r="AH314" s="80" t="s">
        <v>993</v>
      </c>
      <c r="AJ314" s="22"/>
      <c r="AN314" s="83"/>
      <c r="AO314" s="83"/>
      <c r="AP314" s="83"/>
      <c r="AQ314" s="83"/>
      <c r="AR314" s="83"/>
      <c r="AS314" s="83"/>
      <c r="AT314" s="83"/>
      <c r="AU314" s="83"/>
    </row>
    <row r="315" spans="1:47" s="16" customFormat="1" ht="12">
      <c r="A315" s="19" t="s">
        <v>994</v>
      </c>
      <c r="B315" s="20" t="s">
        <v>991</v>
      </c>
      <c r="C315" s="21" t="s">
        <v>129</v>
      </c>
      <c r="D315" s="21" t="s">
        <v>310</v>
      </c>
      <c r="E315" s="19" t="s">
        <v>311</v>
      </c>
      <c r="F315" s="19"/>
      <c r="G315" s="19" t="s">
        <v>414</v>
      </c>
      <c r="H315" s="19" t="s">
        <v>982</v>
      </c>
      <c r="I315" s="19"/>
      <c r="J315" s="19">
        <v>0</v>
      </c>
      <c r="K315" s="19">
        <v>25</v>
      </c>
      <c r="L315" s="19" t="s">
        <v>38</v>
      </c>
      <c r="M315" s="19" t="s">
        <v>11</v>
      </c>
      <c r="N315" s="19" t="s">
        <v>992</v>
      </c>
      <c r="O315" s="19" t="s">
        <v>459</v>
      </c>
      <c r="P315" s="19">
        <v>0</v>
      </c>
      <c r="Q315" s="30"/>
      <c r="R315" s="89">
        <v>0</v>
      </c>
      <c r="S315" s="89">
        <f>100 - R315 - U315 - T315</f>
        <v>100</v>
      </c>
      <c r="T315" s="89">
        <v>0</v>
      </c>
      <c r="U315" s="90">
        <v>0</v>
      </c>
      <c r="V315" s="89">
        <v>0</v>
      </c>
      <c r="W315" s="90">
        <f>IF($R315 &gt; 0, 100 - $V315, 0)</f>
        <v>0</v>
      </c>
      <c r="X315" s="91">
        <v>40.6</v>
      </c>
      <c r="Y315" s="79">
        <f>IF($S315 &gt; 0, 100 - $X315 - $Z315, 0)</f>
        <v>55.8</v>
      </c>
      <c r="Z315" s="92">
        <v>3.6</v>
      </c>
      <c r="AA315" s="79">
        <v>0</v>
      </c>
      <c r="AB315" s="79">
        <f>IF($T315 &gt; 0, 100 - $AA315 - $AC315, 0)</f>
        <v>0</v>
      </c>
      <c r="AC315" s="73">
        <v>0</v>
      </c>
      <c r="AD315" s="79">
        <v>0</v>
      </c>
      <c r="AE315" s="79">
        <f>IF($U315 &gt; 0, 100 - $AD315 - $AF315, 0)</f>
        <v>0</v>
      </c>
      <c r="AF315" s="73">
        <v>0</v>
      </c>
      <c r="AG315" s="16" t="s">
        <v>43</v>
      </c>
      <c r="AH315" s="80" t="s">
        <v>993</v>
      </c>
      <c r="AJ315" s="22"/>
      <c r="AN315" s="83"/>
      <c r="AO315" s="83"/>
      <c r="AP315" s="83"/>
      <c r="AQ315" s="83"/>
      <c r="AR315" s="83"/>
      <c r="AS315" s="83"/>
      <c r="AT315" s="83"/>
      <c r="AU315" s="83"/>
    </row>
    <row r="316" spans="1:47" s="16" customFormat="1" ht="12">
      <c r="A316" s="19" t="s">
        <v>995</v>
      </c>
      <c r="B316" s="20" t="s">
        <v>996</v>
      </c>
      <c r="C316" s="21" t="s">
        <v>129</v>
      </c>
      <c r="D316" s="21" t="s">
        <v>310</v>
      </c>
      <c r="E316" s="19" t="s">
        <v>311</v>
      </c>
      <c r="F316" s="19"/>
      <c r="G316" s="19" t="s">
        <v>414</v>
      </c>
      <c r="H316" s="19" t="s">
        <v>982</v>
      </c>
      <c r="I316" s="19"/>
      <c r="J316" s="19">
        <v>25</v>
      </c>
      <c r="K316" s="19">
        <v>45</v>
      </c>
      <c r="L316" s="19" t="s">
        <v>38</v>
      </c>
      <c r="M316" s="19" t="s">
        <v>11</v>
      </c>
      <c r="N316" s="19" t="s">
        <v>992</v>
      </c>
      <c r="O316" s="19" t="s">
        <v>459</v>
      </c>
      <c r="P316" s="19">
        <v>0</v>
      </c>
      <c r="Q316" s="30"/>
      <c r="R316" s="89">
        <v>0</v>
      </c>
      <c r="S316" s="89">
        <f>100 - R316 - U316 - T316</f>
        <v>100</v>
      </c>
      <c r="T316" s="89">
        <v>0</v>
      </c>
      <c r="U316" s="90">
        <v>0</v>
      </c>
      <c r="V316" s="89">
        <v>0</v>
      </c>
      <c r="W316" s="90">
        <f>IF($R316 &gt; 0, 100 - $V316, 0)</f>
        <v>0</v>
      </c>
      <c r="X316" s="91">
        <v>40.6</v>
      </c>
      <c r="Y316" s="79">
        <f>IF($S316 &gt; 0, 100 - $X316 - $Z316, 0)</f>
        <v>55.8</v>
      </c>
      <c r="Z316" s="92">
        <v>3.6</v>
      </c>
      <c r="AA316" s="89">
        <v>0</v>
      </c>
      <c r="AB316" s="79">
        <f>IF($T316 &gt; 0, 100 - $AA316 - $AC316, 0)</f>
        <v>0</v>
      </c>
      <c r="AC316" s="90">
        <v>0</v>
      </c>
      <c r="AD316" s="79">
        <v>0</v>
      </c>
      <c r="AE316" s="79">
        <f>IF($U316 &gt; 0, 100 - $AD316 - $AF316, 0)</f>
        <v>0</v>
      </c>
      <c r="AF316" s="90">
        <v>0</v>
      </c>
      <c r="AG316" s="19" t="s">
        <v>43</v>
      </c>
      <c r="AH316" s="80" t="s">
        <v>993</v>
      </c>
      <c r="AJ316" s="22"/>
      <c r="AN316" s="83"/>
      <c r="AO316" s="83"/>
      <c r="AP316" s="83"/>
      <c r="AQ316" s="83"/>
      <c r="AR316" s="83"/>
      <c r="AS316" s="83"/>
      <c r="AT316" s="83"/>
      <c r="AU316" s="83"/>
    </row>
    <row r="317" spans="1:47" s="16" customFormat="1" ht="12">
      <c r="A317" s="19" t="s">
        <v>997</v>
      </c>
      <c r="B317" s="20" t="s">
        <v>998</v>
      </c>
      <c r="C317" s="21" t="s">
        <v>129</v>
      </c>
      <c r="D317" s="21" t="s">
        <v>310</v>
      </c>
      <c r="E317" s="19" t="s">
        <v>311</v>
      </c>
      <c r="F317" s="19"/>
      <c r="G317" s="19" t="s">
        <v>414</v>
      </c>
      <c r="H317" s="19" t="s">
        <v>982</v>
      </c>
      <c r="I317" s="19"/>
      <c r="J317" s="19">
        <v>45</v>
      </c>
      <c r="K317" s="19">
        <v>75</v>
      </c>
      <c r="L317" s="19" t="s">
        <v>38</v>
      </c>
      <c r="M317" s="19" t="s">
        <v>11</v>
      </c>
      <c r="N317" s="19" t="s">
        <v>992</v>
      </c>
      <c r="O317" s="19" t="s">
        <v>459</v>
      </c>
      <c r="P317" s="19">
        <v>0</v>
      </c>
      <c r="Q317" s="30"/>
      <c r="R317" s="89">
        <v>0</v>
      </c>
      <c r="S317" s="89">
        <f>100 - R317 - U317 - T317</f>
        <v>100</v>
      </c>
      <c r="T317" s="89">
        <v>0</v>
      </c>
      <c r="U317" s="90">
        <v>0</v>
      </c>
      <c r="V317" s="89">
        <v>0</v>
      </c>
      <c r="W317" s="90">
        <f>IF($R317 &gt; 0, 100 - $V317, 0)</f>
        <v>0</v>
      </c>
      <c r="X317" s="91">
        <v>40.6</v>
      </c>
      <c r="Y317" s="79">
        <f>IF($S317 &gt; 0, 100 - $X317 - $Z317, 0)</f>
        <v>55.8</v>
      </c>
      <c r="Z317" s="92">
        <v>3.6</v>
      </c>
      <c r="AA317" s="79">
        <v>0</v>
      </c>
      <c r="AB317" s="79">
        <f>IF($T317 &gt; 0, 100 - $AA317 - $AC317, 0)</f>
        <v>0</v>
      </c>
      <c r="AC317" s="73">
        <v>0</v>
      </c>
      <c r="AD317" s="79">
        <v>0</v>
      </c>
      <c r="AE317" s="79">
        <f>IF($U317 &gt; 0, 100 - $AD317 - $AF317, 0)</f>
        <v>0</v>
      </c>
      <c r="AF317" s="73">
        <v>0</v>
      </c>
      <c r="AG317" s="19" t="s">
        <v>43</v>
      </c>
      <c r="AH317" s="80" t="s">
        <v>993</v>
      </c>
      <c r="AJ317" s="22"/>
      <c r="AN317" s="83"/>
      <c r="AO317" s="83"/>
      <c r="AP317" s="83"/>
      <c r="AQ317" s="83"/>
      <c r="AR317" s="83"/>
      <c r="AS317" s="83"/>
      <c r="AT317" s="83"/>
      <c r="AU317" s="83"/>
    </row>
    <row r="318" spans="1:47" s="16" customFormat="1" ht="12">
      <c r="A318" s="19" t="s">
        <v>999</v>
      </c>
      <c r="B318" s="20" t="s">
        <v>1000</v>
      </c>
      <c r="C318" s="21" t="s">
        <v>154</v>
      </c>
      <c r="D318" s="21" t="s">
        <v>310</v>
      </c>
      <c r="E318" s="19" t="s">
        <v>311</v>
      </c>
      <c r="F318" s="19"/>
      <c r="G318" s="19" t="s">
        <v>414</v>
      </c>
      <c r="H318" s="19" t="s">
        <v>982</v>
      </c>
      <c r="I318" s="19"/>
      <c r="J318" s="19">
        <v>45</v>
      </c>
      <c r="K318" s="19">
        <v>75</v>
      </c>
      <c r="L318" s="19"/>
      <c r="M318" s="19" t="s">
        <v>1001</v>
      </c>
      <c r="N318" s="19" t="s">
        <v>992</v>
      </c>
      <c r="O318" s="19"/>
      <c r="P318" s="19">
        <v>0</v>
      </c>
      <c r="Q318" s="30"/>
      <c r="R318" s="89">
        <v>0</v>
      </c>
      <c r="S318" s="89">
        <f>100 - R318 - U318 - T318</f>
        <v>100</v>
      </c>
      <c r="T318" s="89">
        <v>0</v>
      </c>
      <c r="U318" s="90">
        <v>0</v>
      </c>
      <c r="V318" s="89">
        <v>0</v>
      </c>
      <c r="W318" s="90">
        <f>IF($R318 &gt; 0, 100 - $V318, 0)</f>
        <v>0</v>
      </c>
      <c r="X318" s="91">
        <v>40.6</v>
      </c>
      <c r="Y318" s="79">
        <f>IF($S318 &gt; 0, 100 - $X318 - $Z318, 0)</f>
        <v>55.8</v>
      </c>
      <c r="Z318" s="92">
        <v>3.6</v>
      </c>
      <c r="AA318" s="89">
        <v>0</v>
      </c>
      <c r="AB318" s="79">
        <f>IF($T318 &gt; 0, 100 - $AA318 - $AC318, 0)</f>
        <v>0</v>
      </c>
      <c r="AC318" s="90">
        <v>0</v>
      </c>
      <c r="AD318" s="79">
        <v>0</v>
      </c>
      <c r="AE318" s="79">
        <f>IF($U318 &gt; 0, 100 - $AD318 - $AF318, 0)</f>
        <v>0</v>
      </c>
      <c r="AF318" s="90">
        <v>0</v>
      </c>
      <c r="AG318" s="19" t="s">
        <v>43</v>
      </c>
      <c r="AH318" s="80" t="s">
        <v>993</v>
      </c>
      <c r="AJ318" s="22"/>
      <c r="AN318" s="83"/>
      <c r="AO318" s="83"/>
      <c r="AP318" s="83"/>
      <c r="AQ318" s="83"/>
      <c r="AR318" s="83"/>
      <c r="AS318" s="83"/>
      <c r="AT318" s="83"/>
      <c r="AU318" s="83"/>
    </row>
    <row r="319" spans="1:47" s="16" customFormat="1" ht="12">
      <c r="A319" s="16" t="s">
        <v>1002</v>
      </c>
      <c r="B319" s="17" t="s">
        <v>1003</v>
      </c>
      <c r="C319" s="18" t="s">
        <v>737</v>
      </c>
      <c r="D319" s="18" t="s">
        <v>310</v>
      </c>
      <c r="E319" s="16" t="s">
        <v>311</v>
      </c>
      <c r="G319" s="16" t="s">
        <v>414</v>
      </c>
      <c r="H319" s="16" t="s">
        <v>1004</v>
      </c>
      <c r="J319" s="16">
        <v>0</v>
      </c>
      <c r="K319" s="16">
        <v>45</v>
      </c>
      <c r="L319" s="16" t="s">
        <v>38</v>
      </c>
      <c r="M319" s="16" t="s">
        <v>11</v>
      </c>
      <c r="N319" s="16" t="s">
        <v>1005</v>
      </c>
      <c r="O319" s="16" t="s">
        <v>739</v>
      </c>
      <c r="P319" s="16">
        <v>11</v>
      </c>
      <c r="Q319" s="29" t="s">
        <v>1006</v>
      </c>
      <c r="R319" s="89">
        <v>0</v>
      </c>
      <c r="S319" s="89">
        <f>100 - R319 - U319 - T319</f>
        <v>100</v>
      </c>
      <c r="T319" s="89">
        <v>0</v>
      </c>
      <c r="U319" s="90">
        <v>0</v>
      </c>
      <c r="V319" s="89">
        <v>0</v>
      </c>
      <c r="W319" s="90">
        <f>IF($R319 &gt; 0, 100 - $V319, 0)</f>
        <v>0</v>
      </c>
      <c r="X319" s="79">
        <f>INDEX(Chemical_analyses!$A:$L, MATCH($P319, Chemical_analyses!$A:$A), 9)/$AI$1/(INDEX(Chemical_analyses!$A:$L, MATCH($P319, Chemical_analyses!$A:$A), 9)/$AI$1+INDEX(Chemical_analyses!$A:$L, MATCH($P319, Chemical_analyses!$A:$A), 11)/$AJ$1+INDEX(Chemical_analyses!$A:$L, MATCH($P319, Chemical_analyses!$A:$A), 12)/$AK$1)*100</f>
        <v>28.189838597105382</v>
      </c>
      <c r="Y319" s="79">
        <f>IF($S319 &gt; 0, 100 - $X319 - $Z319, 0)</f>
        <v>68.490863396480037</v>
      </c>
      <c r="Z319" s="73">
        <f>INDEX(Chemical_analyses!$A:$L, MATCH($P319, Chemical_analyses!$A:$A), 12)/$AK$1/(INDEX(Chemical_analyses!$A:$L, MATCH($P319, Chemical_analyses!$A:$A), 9)/$AI$1+INDEX(Chemical_analyses!$A:$L, MATCH($P319, Chemical_analyses!$A:$A), 11)/$AJ$1+INDEX(Chemical_analyses!$A:$L, MATCH($P319, Chemical_analyses!$A:$A), 12)/$AK$1)*100</f>
        <v>3.3192980064145847</v>
      </c>
      <c r="AA319" s="79">
        <v>0</v>
      </c>
      <c r="AB319" s="79">
        <f>IF($T319 &gt; 0, 100 - $AA319 - $AC319, 0)</f>
        <v>0</v>
      </c>
      <c r="AC319" s="73">
        <v>0</v>
      </c>
      <c r="AD319" s="79">
        <v>0</v>
      </c>
      <c r="AE319" s="79">
        <f>IF($U319 &gt; 0, 100 - $AD319 - $AF319, 0)</f>
        <v>0</v>
      </c>
      <c r="AF319" s="73">
        <v>0</v>
      </c>
      <c r="AG319" s="19" t="s">
        <v>43</v>
      </c>
      <c r="AH319" s="22" t="str">
        <f>_xlfn.CONCAT("FeO: ", INDEX(Chemical_analyses!$A:$M, MATCH($P319, Chemical_analyses!$A:$A), 9), ", MgO: ", INDEX(Chemical_analyses!$A:$M, MATCH($P319, Chemical_analyses!$A:$A), 11), ", CaO: ", INDEX(Chemical_analyses!$A:$M, MATCH($P319, Chemical_analyses!$A:$A), 12), ", MnO: ", INDEX(Chemical_analyses!$A:$M, MATCH($P319, Chemical_analyses!$A:$A), 10), ", NaO2: ", INDEX(Chemical_analyses!$A:$M, MATCH($P319, Chemical_analyses!$A:$A), 13), ", Fe2O3: ", INDEX(Chemical_analyses!$A:$M, MATCH($P319, Chemical_analyses!$A:$A), 8), ", Al2O3: ", INDEX(Chemical_analyses!$A:$M, MATCH($P319, Chemical_analyses!$A:$A), 6))</f>
        <v>FeO: 17.3, MgO: 23.58, CaO: 1.59, MnO: 0.29, NaO2: 0.05, Fe2O3: 1.43, Al2O3: 5.46</v>
      </c>
      <c r="AI319" s="22"/>
      <c r="AJ319" s="22"/>
      <c r="AN319" s="83"/>
      <c r="AO319" s="83"/>
      <c r="AP319" s="83"/>
      <c r="AQ319" s="83"/>
      <c r="AR319" s="83"/>
      <c r="AS319" s="83"/>
      <c r="AT319" s="83"/>
      <c r="AU319" s="83"/>
    </row>
    <row r="320" spans="1:47" s="16" customFormat="1" ht="12">
      <c r="A320" s="16" t="s">
        <v>1007</v>
      </c>
      <c r="B320" s="17" t="s">
        <v>1008</v>
      </c>
      <c r="C320" s="18" t="s">
        <v>737</v>
      </c>
      <c r="D320" s="18" t="s">
        <v>310</v>
      </c>
      <c r="E320" s="16" t="s">
        <v>311</v>
      </c>
      <c r="G320" s="16" t="s">
        <v>703</v>
      </c>
      <c r="H320" s="16" t="s">
        <v>1004</v>
      </c>
      <c r="J320" s="16">
        <v>0</v>
      </c>
      <c r="K320" s="16">
        <v>45</v>
      </c>
      <c r="L320" s="16" t="s">
        <v>38</v>
      </c>
      <c r="M320" s="16" t="s">
        <v>11</v>
      </c>
      <c r="N320" s="16" t="s">
        <v>1009</v>
      </c>
      <c r="O320" s="16" t="s">
        <v>739</v>
      </c>
      <c r="P320" s="16">
        <v>13</v>
      </c>
      <c r="Q320" s="29" t="s">
        <v>1010</v>
      </c>
      <c r="R320" s="89">
        <v>0</v>
      </c>
      <c r="S320" s="89">
        <f>100 - R320 - U320 - T320</f>
        <v>100</v>
      </c>
      <c r="T320" s="89">
        <v>0</v>
      </c>
      <c r="U320" s="89">
        <v>0</v>
      </c>
      <c r="V320" s="89">
        <v>0</v>
      </c>
      <c r="W320" s="90">
        <f>IF($R320 &gt; 0, 100 - $V320, 0)</f>
        <v>0</v>
      </c>
      <c r="X320" s="79">
        <f>INDEX(Chemical_analyses!$A:$L, MATCH($P320, Chemical_analyses!$A:$A), 9)/$AI$1/(INDEX(Chemical_analyses!$A:$L, MATCH($P320, Chemical_analyses!$A:$A), 9)/$AI$1+INDEX(Chemical_analyses!$A:$L, MATCH($P320, Chemical_analyses!$A:$A), 11)/$AJ$1+INDEX(Chemical_analyses!$A:$L, MATCH($P320, Chemical_analyses!$A:$A), 12)/$AK$1)*100</f>
        <v>24.614840042257761</v>
      </c>
      <c r="Y320" s="79">
        <f>IF($S320 &gt; 0, 100 - $X320 - $Z320, 0)</f>
        <v>74.702573485617165</v>
      </c>
      <c r="Z320" s="73">
        <f>INDEX(Chemical_analyses!$A:$L, MATCH($P320, Chemical_analyses!$A:$A), 12)/$AK$1/(INDEX(Chemical_analyses!$A:$L, MATCH($P320, Chemical_analyses!$A:$A), 9)/$AI$1+INDEX(Chemical_analyses!$A:$L, MATCH($P320, Chemical_analyses!$A:$A), 11)/$AJ$1+INDEX(Chemical_analyses!$A:$L, MATCH($P320, Chemical_analyses!$A:$A), 12)/$AK$1)*100</f>
        <v>0.68258647212508639</v>
      </c>
      <c r="AA320" s="79">
        <v>0</v>
      </c>
      <c r="AB320" s="79">
        <f>IF($T320 &gt; 0, 100 - $AA320 - $AC320, 0)</f>
        <v>0</v>
      </c>
      <c r="AC320" s="73">
        <v>0</v>
      </c>
      <c r="AD320" s="79">
        <v>0</v>
      </c>
      <c r="AE320" s="79">
        <f>IF($U320 &gt; 0, 100 - $AD320 - $AF320, 0)</f>
        <v>0</v>
      </c>
      <c r="AF320" s="73">
        <v>0</v>
      </c>
      <c r="AG320" s="19" t="s">
        <v>43</v>
      </c>
      <c r="AH320" s="22" t="str">
        <f>_xlfn.CONCAT("FeO: ", INDEX(Chemical_analyses!$A:$M, MATCH($P320, Chemical_analyses!$A:$A), 9), ", MgO: ", INDEX(Chemical_analyses!$A:$M, MATCH($P320, Chemical_analyses!$A:$A), 11), ", CaO: ", INDEX(Chemical_analyses!$A:$M, MATCH($P320, Chemical_analyses!$A:$A), 12), ", MnO: ", INDEX(Chemical_analyses!$A:$M, MATCH($P320, Chemical_analyses!$A:$A), 10), ", NaO2: ", INDEX(Chemical_analyses!$A:$M, MATCH($P320, Chemical_analyses!$A:$A), 13), ", Fe2O3: ", INDEX(Chemical_analyses!$A:$M, MATCH($P320, Chemical_analyses!$A:$A), 8), ", Al2O3: ", INDEX(Chemical_analyses!$A:$M, MATCH($P320, Chemical_analyses!$A:$A), 6))</f>
        <v>FeO: 16.17, MgO: 27.53, CaO: 0.35, MnO: 0.44, NaO2: 0, Fe2O3: 1.02, Al2O3: 1.54</v>
      </c>
      <c r="AN320" s="83"/>
      <c r="AO320" s="83"/>
      <c r="AP320" s="83"/>
      <c r="AQ320" s="83"/>
      <c r="AR320" s="83"/>
      <c r="AS320" s="83"/>
      <c r="AT320" s="83"/>
      <c r="AU320" s="83"/>
    </row>
    <row r="321" spans="1:265" s="16" customFormat="1" ht="12">
      <c r="A321" s="16" t="s">
        <v>1011</v>
      </c>
      <c r="B321" s="17" t="s">
        <v>1012</v>
      </c>
      <c r="C321" s="18" t="s">
        <v>737</v>
      </c>
      <c r="D321" s="18" t="s">
        <v>310</v>
      </c>
      <c r="E321" s="16" t="s">
        <v>311</v>
      </c>
      <c r="G321" s="16" t="s">
        <v>414</v>
      </c>
      <c r="H321" s="16" t="s">
        <v>1013</v>
      </c>
      <c r="J321" s="16">
        <v>45</v>
      </c>
      <c r="K321" s="16">
        <v>90</v>
      </c>
      <c r="L321" s="16" t="s">
        <v>38</v>
      </c>
      <c r="M321" s="16" t="s">
        <v>11</v>
      </c>
      <c r="O321" s="16" t="s">
        <v>739</v>
      </c>
      <c r="P321" s="16">
        <v>405</v>
      </c>
      <c r="Q321" s="29" t="s">
        <v>1014</v>
      </c>
      <c r="R321" s="89">
        <v>0</v>
      </c>
      <c r="S321" s="89">
        <f>100 - R321 - U321 - T321</f>
        <v>100</v>
      </c>
      <c r="T321" s="89">
        <v>0</v>
      </c>
      <c r="U321" s="89">
        <v>0</v>
      </c>
      <c r="V321" s="89">
        <v>0</v>
      </c>
      <c r="W321" s="90">
        <f>IF($R321 &gt; 0, 100 - $V321, 0)</f>
        <v>0</v>
      </c>
      <c r="X321" s="79">
        <f>INDEX(Chemical_analyses!$A:$L, MATCH($P321, Chemical_analyses!$A:$A), 9)/$AI$1/(INDEX(Chemical_analyses!$A:$L, MATCH($P321, Chemical_analyses!$A:$A), 9)/$AI$1+INDEX(Chemical_analyses!$A:$L, MATCH($P321, Chemical_analyses!$A:$A), 11)/$AJ$1+INDEX(Chemical_analyses!$A:$L, MATCH($P321, Chemical_analyses!$A:$A), 12)/$AK$1)*100</f>
        <v>13.121348773035796</v>
      </c>
      <c r="Y321" s="79">
        <f>IF($S321 &gt; 0, 100 - $X321 - $Z321, 0)</f>
        <v>86.329885654659648</v>
      </c>
      <c r="Z321" s="73">
        <f>INDEX(Chemical_analyses!$A:$L, MATCH($P321, Chemical_analyses!$A:$A), 12)/$AK$1/(INDEX(Chemical_analyses!$A:$L, MATCH($P321, Chemical_analyses!$A:$A), 9)/$AI$1+INDEX(Chemical_analyses!$A:$L, MATCH($P321, Chemical_analyses!$A:$A), 11)/$AJ$1+INDEX(Chemical_analyses!$A:$L, MATCH($P321, Chemical_analyses!$A:$A), 12)/$AK$1)*100</f>
        <v>0.54876557230456513</v>
      </c>
      <c r="AA321" s="89">
        <v>0</v>
      </c>
      <c r="AB321" s="79">
        <f>IF($T321 &gt; 0, 100 - $AA321 - $AC321, 0)</f>
        <v>0</v>
      </c>
      <c r="AC321" s="90">
        <v>0</v>
      </c>
      <c r="AD321" s="79">
        <v>0</v>
      </c>
      <c r="AE321" s="79">
        <f>IF($U321 &gt; 0, 100 - $AD321 - $AF321, 0)</f>
        <v>0</v>
      </c>
      <c r="AF321" s="90">
        <v>0</v>
      </c>
      <c r="AG321" s="19" t="s">
        <v>43</v>
      </c>
      <c r="AH321" s="22" t="str">
        <f>_xlfn.CONCAT("FeO: ", INDEX(Chemical_analyses!$A:$M, MATCH($P321, Chemical_analyses!$A:$A), 9), ", MgO: ", INDEX(Chemical_analyses!$A:$M, MATCH($P321, Chemical_analyses!$A:$A), 11), ", CaO: ", INDEX(Chemical_analyses!$A:$M, MATCH($P321, Chemical_analyses!$A:$A), 12), ", MnO: ", INDEX(Chemical_analyses!$A:$M, MATCH($P321, Chemical_analyses!$A:$A), 10), ", NaO2: ", INDEX(Chemical_analyses!$A:$M, MATCH($P321, Chemical_analyses!$A:$A), 13), ", Fe2O3: ", INDEX(Chemical_analyses!$A:$M, MATCH($P321, Chemical_analyses!$A:$A), 8), ", Al2O3: ", INDEX(Chemical_analyses!$A:$M, MATCH($P321, Chemical_analyses!$A:$A), 6))</f>
        <v>FeO: 9.19, MgO: 33.92, CaO: 0.3, MnO: 0.04, NaO2: 0, Fe2O3: 0.44, Al2O3: 0.03</v>
      </c>
      <c r="AN321" s="83"/>
      <c r="AO321" s="83"/>
      <c r="AP321" s="83"/>
      <c r="AQ321" s="83"/>
      <c r="AR321" s="83"/>
      <c r="AS321" s="83"/>
      <c r="AT321" s="83"/>
      <c r="AU321" s="83"/>
    </row>
    <row r="322" spans="1:265" s="16" customFormat="1" ht="12">
      <c r="A322" s="16" t="s">
        <v>1015</v>
      </c>
      <c r="B322" s="17" t="s">
        <v>1016</v>
      </c>
      <c r="C322" s="18" t="s">
        <v>737</v>
      </c>
      <c r="D322" s="18" t="s">
        <v>310</v>
      </c>
      <c r="E322" s="16" t="s">
        <v>311</v>
      </c>
      <c r="G322" s="16" t="s">
        <v>414</v>
      </c>
      <c r="H322" s="16" t="s">
        <v>1013</v>
      </c>
      <c r="J322" s="16">
        <v>45</v>
      </c>
      <c r="K322" s="16">
        <v>90</v>
      </c>
      <c r="L322" s="16" t="s">
        <v>38</v>
      </c>
      <c r="M322" s="16" t="s">
        <v>11</v>
      </c>
      <c r="N322" s="16" t="s">
        <v>1017</v>
      </c>
      <c r="O322" s="16" t="s">
        <v>739</v>
      </c>
      <c r="P322" s="16">
        <v>408</v>
      </c>
      <c r="Q322" s="29" t="s">
        <v>1018</v>
      </c>
      <c r="R322" s="89">
        <v>0</v>
      </c>
      <c r="S322" s="89">
        <f>100 - R322 - U322 - T322</f>
        <v>100</v>
      </c>
      <c r="T322" s="89">
        <v>0</v>
      </c>
      <c r="U322" s="89">
        <v>0</v>
      </c>
      <c r="V322" s="89">
        <v>0</v>
      </c>
      <c r="W322" s="90">
        <f>IF($R322 &gt; 0, 100 - $V322, 0)</f>
        <v>0</v>
      </c>
      <c r="X322" s="79">
        <f>INDEX(Chemical_analyses!$A:$L, MATCH($P322, Chemical_analyses!$A:$A), 9)/$AI$1/(INDEX(Chemical_analyses!$A:$L, MATCH($P322, Chemical_analyses!$A:$A), 9)/$AI$1+INDEX(Chemical_analyses!$A:$L, MATCH($P322, Chemical_analyses!$A:$A), 11)/$AJ$1+INDEX(Chemical_analyses!$A:$L, MATCH($P322, Chemical_analyses!$A:$A), 12)/$AK$1)*100</f>
        <v>14.61733073473696</v>
      </c>
      <c r="Y322" s="79">
        <f>IF($S322 &gt; 0, 100 - $X322 - $Z322, 0)</f>
        <v>85.023984742793303</v>
      </c>
      <c r="Z322" s="73">
        <f>INDEX(Chemical_analyses!$A:$L, MATCH($P322, Chemical_analyses!$A:$A), 12)/$AK$1/(INDEX(Chemical_analyses!$A:$L, MATCH($P322, Chemical_analyses!$A:$A), 9)/$AI$1+INDEX(Chemical_analyses!$A:$L, MATCH($P322, Chemical_analyses!$A:$A), 11)/$AJ$1+INDEX(Chemical_analyses!$A:$L, MATCH($P322, Chemical_analyses!$A:$A), 12)/$AK$1)*100</f>
        <v>0.35868452246975008</v>
      </c>
      <c r="AA322" s="79">
        <v>0</v>
      </c>
      <c r="AB322" s="79">
        <f>IF($T322 &gt; 0, 100 - $AA322 - $AC322, 0)</f>
        <v>0</v>
      </c>
      <c r="AC322" s="73">
        <v>0</v>
      </c>
      <c r="AD322" s="79">
        <v>0</v>
      </c>
      <c r="AE322" s="79">
        <f>IF($U322 &gt; 0, 100 - $AD322 - $AF322, 0)</f>
        <v>0</v>
      </c>
      <c r="AF322" s="73">
        <v>0</v>
      </c>
      <c r="AG322" s="19" t="s">
        <v>43</v>
      </c>
      <c r="AH322" s="22" t="str">
        <f>_xlfn.CONCAT("FeO: ", INDEX(Chemical_analyses!$A:$M, MATCH($P322, Chemical_analyses!$A:$A), 9), ", MgO: ", INDEX(Chemical_analyses!$A:$M, MATCH($P322, Chemical_analyses!$A:$A), 11), ", CaO: ", INDEX(Chemical_analyses!$A:$M, MATCH($P322, Chemical_analyses!$A:$A), 12), ", MnO: ", INDEX(Chemical_analyses!$A:$M, MATCH($P322, Chemical_analyses!$A:$A), 10), ", NaO2: ", INDEX(Chemical_analyses!$A:$M, MATCH($P322, Chemical_analyses!$A:$A), 13), ", Fe2O3: ", INDEX(Chemical_analyses!$A:$M, MATCH($P322, Chemical_analyses!$A:$A), 8), ", Al2O3: ", INDEX(Chemical_analyses!$A:$M, MATCH($P322, Chemical_analyses!$A:$A), 6))</f>
        <v>FeO: 9.92, MgO: 32.37, CaO: 0.19, MnO: 0.26, NaO2: 0, Fe2O3: 0.72, Al2O3: 1.31</v>
      </c>
      <c r="AN322" s="83"/>
      <c r="AO322" s="83"/>
      <c r="AP322" s="83"/>
      <c r="AQ322" s="83"/>
      <c r="AR322" s="83"/>
      <c r="AS322" s="83"/>
      <c r="AT322" s="83"/>
      <c r="AU322" s="83"/>
    </row>
    <row r="323" spans="1:265" s="16" customFormat="1" ht="12">
      <c r="A323" s="16" t="s">
        <v>1019</v>
      </c>
      <c r="B323" s="17" t="s">
        <v>1020</v>
      </c>
      <c r="C323" s="18" t="s">
        <v>737</v>
      </c>
      <c r="D323" s="18" t="s">
        <v>310</v>
      </c>
      <c r="E323" s="16" t="s">
        <v>311</v>
      </c>
      <c r="G323" s="16" t="s">
        <v>414</v>
      </c>
      <c r="H323" s="16" t="s">
        <v>1021</v>
      </c>
      <c r="J323" s="16">
        <v>45</v>
      </c>
      <c r="K323" s="16">
        <v>90</v>
      </c>
      <c r="L323" s="16" t="s">
        <v>38</v>
      </c>
      <c r="M323" s="16" t="s">
        <v>11</v>
      </c>
      <c r="N323" s="16" t="s">
        <v>1022</v>
      </c>
      <c r="O323" s="16" t="s">
        <v>739</v>
      </c>
      <c r="P323" s="16">
        <v>421</v>
      </c>
      <c r="Q323" s="29" t="s">
        <v>1023</v>
      </c>
      <c r="R323" s="89">
        <v>0</v>
      </c>
      <c r="S323" s="89">
        <f>100 - R323 - U323 - T323</f>
        <v>100</v>
      </c>
      <c r="T323" s="89">
        <v>0</v>
      </c>
      <c r="U323" s="89">
        <v>0</v>
      </c>
      <c r="V323" s="89">
        <v>0</v>
      </c>
      <c r="W323" s="90">
        <f>IF($R323 &gt; 0, 100 - $V323, 0)</f>
        <v>0</v>
      </c>
      <c r="X323" s="79">
        <f>INDEX(Chemical_analyses!$A:$L, MATCH($P323, Chemical_analyses!$A:$A), 9)/$AI$1/(INDEX(Chemical_analyses!$A:$L, MATCH($P323, Chemical_analyses!$A:$A), 9)/$AI$1+INDEX(Chemical_analyses!$A:$L, MATCH($P323, Chemical_analyses!$A:$A), 11)/$AJ$1+INDEX(Chemical_analyses!$A:$L, MATCH($P323, Chemical_analyses!$A:$A), 12)/$AK$1)*100</f>
        <v>12.829586617520366</v>
      </c>
      <c r="Y323" s="79">
        <f>IF($S323 &gt; 0, 100 - $X323 - $Z323, 0)</f>
        <v>86.765477260159386</v>
      </c>
      <c r="Z323" s="73">
        <f>INDEX(Chemical_analyses!$A:$L, MATCH($P323, Chemical_analyses!$A:$A), 12)/$AK$1/(INDEX(Chemical_analyses!$A:$L, MATCH($P323, Chemical_analyses!$A:$A), 9)/$AI$1+INDEX(Chemical_analyses!$A:$L, MATCH($P323, Chemical_analyses!$A:$A), 11)/$AJ$1+INDEX(Chemical_analyses!$A:$L, MATCH($P323, Chemical_analyses!$A:$A), 12)/$AK$1)*100</f>
        <v>0.40493612232025228</v>
      </c>
      <c r="AA323" s="79">
        <v>0</v>
      </c>
      <c r="AB323" s="79">
        <f>IF($T323 &gt; 0, 100 - $AA323 - $AC323, 0)</f>
        <v>0</v>
      </c>
      <c r="AC323" s="73">
        <v>0</v>
      </c>
      <c r="AD323" s="79">
        <v>0</v>
      </c>
      <c r="AE323" s="79">
        <f>IF($U323 &gt; 0, 100 - $AD323 - $AF323, 0)</f>
        <v>0</v>
      </c>
      <c r="AF323" s="73">
        <v>0</v>
      </c>
      <c r="AG323" s="16" t="s">
        <v>43</v>
      </c>
      <c r="AH323" s="22" t="str">
        <f>_xlfn.CONCAT("FeO: ", INDEX(Chemical_analyses!$A:$M, MATCH($P323, Chemical_analyses!$A:$A), 9), ", MgO: ", INDEX(Chemical_analyses!$A:$M, MATCH($P323, Chemical_analyses!$A:$A), 11), ", CaO: ", INDEX(Chemical_analyses!$A:$M, MATCH($P323, Chemical_analyses!$A:$A), 12), ", MnO: ", INDEX(Chemical_analyses!$A:$M, MATCH($P323, Chemical_analyses!$A:$A), 10), ", NaO2: ", INDEX(Chemical_analyses!$A:$M, MATCH($P323, Chemical_analyses!$A:$A), 13), ", Fe2O3: ", INDEX(Chemical_analyses!$A:$M, MATCH($P323, Chemical_analyses!$A:$A), 8), ", Al2O3: ", INDEX(Chemical_analyses!$A:$M, MATCH($P323, Chemical_analyses!$A:$A), 6))</f>
        <v>FeO: 8.93, MgO: 33.88, CaO: 0.22, MnO: 0.04, NaO2: 0, Fe2O3: 0.84, Al2O3: 0.09</v>
      </c>
      <c r="AN323" s="83"/>
      <c r="AO323" s="83"/>
      <c r="AP323" s="83"/>
      <c r="AQ323" s="83"/>
      <c r="AR323" s="83"/>
      <c r="AS323" s="83"/>
      <c r="AT323" s="83"/>
      <c r="AU323" s="83"/>
    </row>
    <row r="324" spans="1:265" s="16" customFormat="1" ht="12">
      <c r="A324" s="16" t="s">
        <v>1024</v>
      </c>
      <c r="B324" s="17" t="s">
        <v>1025</v>
      </c>
      <c r="C324" s="18" t="s">
        <v>795</v>
      </c>
      <c r="D324" s="18" t="s">
        <v>310</v>
      </c>
      <c r="E324" s="16" t="s">
        <v>311</v>
      </c>
      <c r="G324" s="16" t="s">
        <v>703</v>
      </c>
      <c r="H324" s="16" t="s">
        <v>557</v>
      </c>
      <c r="I324" s="16" t="s">
        <v>38</v>
      </c>
      <c r="J324" s="16">
        <v>0</v>
      </c>
      <c r="K324" s="16">
        <v>250</v>
      </c>
      <c r="L324" s="16" t="s">
        <v>38</v>
      </c>
      <c r="M324" s="16" t="s">
        <v>11</v>
      </c>
      <c r="N324" s="16" t="s">
        <v>1026</v>
      </c>
      <c r="O324" s="16" t="s">
        <v>797</v>
      </c>
      <c r="P324" s="16">
        <v>0</v>
      </c>
      <c r="Q324" s="29" t="s">
        <v>1027</v>
      </c>
      <c r="R324" s="89">
        <v>0</v>
      </c>
      <c r="S324" s="89">
        <f>100 - R324 - U324 - T324</f>
        <v>100</v>
      </c>
      <c r="T324" s="89">
        <v>0</v>
      </c>
      <c r="U324" s="90">
        <v>0</v>
      </c>
      <c r="V324" s="89">
        <v>0</v>
      </c>
      <c r="W324" s="90">
        <f>IF($R324 &gt; 0, 100 - $V324, 0)</f>
        <v>0</v>
      </c>
      <c r="X324" s="79">
        <v>14</v>
      </c>
      <c r="Y324" s="79">
        <f>IF($S324 &gt; 0, 100 - $X324 - $Z324, 0)</f>
        <v>86</v>
      </c>
      <c r="Z324" s="73">
        <v>0</v>
      </c>
      <c r="AA324" s="89">
        <v>0</v>
      </c>
      <c r="AB324" s="79">
        <f>IF($T324 &gt; 0, 100 - $AA324 - $AC324, 0)</f>
        <v>0</v>
      </c>
      <c r="AC324" s="90">
        <v>0</v>
      </c>
      <c r="AD324" s="79">
        <v>0</v>
      </c>
      <c r="AE324" s="79">
        <f>IF($U324 &gt; 0, 100 - $AD324 - $AF324, 0)</f>
        <v>0</v>
      </c>
      <c r="AF324" s="90">
        <v>0</v>
      </c>
      <c r="AG324" s="16" t="s">
        <v>43</v>
      </c>
      <c r="AH324" s="16" t="s">
        <v>682</v>
      </c>
      <c r="AJ324" s="22"/>
      <c r="AN324" s="83"/>
      <c r="AO324" s="83"/>
      <c r="AP324" s="83"/>
      <c r="AQ324" s="83"/>
      <c r="AR324" s="83"/>
      <c r="AS324" s="83"/>
      <c r="AT324" s="83"/>
      <c r="AU324" s="83"/>
    </row>
    <row r="325" spans="1:265" s="16" customFormat="1" ht="12">
      <c r="A325" s="16" t="s">
        <v>1028</v>
      </c>
      <c r="B325" s="17" t="s">
        <v>1029</v>
      </c>
      <c r="C325" s="18" t="s">
        <v>267</v>
      </c>
      <c r="D325" s="18" t="s">
        <v>310</v>
      </c>
      <c r="E325" s="16" t="s">
        <v>311</v>
      </c>
      <c r="G325" s="16" t="s">
        <v>414</v>
      </c>
      <c r="H325" s="16" t="s">
        <v>1021</v>
      </c>
      <c r="J325" s="16">
        <v>0</v>
      </c>
      <c r="K325" s="16">
        <v>125</v>
      </c>
      <c r="L325" s="16" t="s">
        <v>38</v>
      </c>
      <c r="M325" s="16" t="s">
        <v>39</v>
      </c>
      <c r="N325" s="16" t="s">
        <v>1030</v>
      </c>
      <c r="O325" s="16" t="s">
        <v>1031</v>
      </c>
      <c r="P325" s="16">
        <v>0</v>
      </c>
      <c r="Q325" s="29" t="s">
        <v>409</v>
      </c>
      <c r="R325" s="89">
        <v>0</v>
      </c>
      <c r="S325" s="89">
        <f>100 - R325 - U325 - T325</f>
        <v>100</v>
      </c>
      <c r="T325" s="89">
        <v>0</v>
      </c>
      <c r="U325" s="89">
        <v>0</v>
      </c>
      <c r="V325" s="89">
        <v>0</v>
      </c>
      <c r="W325" s="90">
        <f>IF($R325 &gt; 0, 100 - $V325, 0)</f>
        <v>0</v>
      </c>
      <c r="X325" s="89">
        <v>7</v>
      </c>
      <c r="Y325" s="79">
        <f>IF($S325 &gt; 0, 100 - $X325 - $Z325, 0)</f>
        <v>92</v>
      </c>
      <c r="Z325" s="90">
        <v>1</v>
      </c>
      <c r="AA325" s="89">
        <v>0</v>
      </c>
      <c r="AB325" s="79">
        <f>IF($T325 &gt; 0, 100 - $AA325 - $AC325, 0)</f>
        <v>0</v>
      </c>
      <c r="AC325" s="90">
        <v>0</v>
      </c>
      <c r="AD325" s="79">
        <v>0</v>
      </c>
      <c r="AE325" s="79">
        <f>IF($U325 &gt; 0, 100 - $AD325 - $AF325, 0)</f>
        <v>0</v>
      </c>
      <c r="AF325" s="90">
        <v>0</v>
      </c>
      <c r="AG325" s="16" t="s">
        <v>43</v>
      </c>
      <c r="AH325" s="78" t="s">
        <v>908</v>
      </c>
      <c r="AI325" s="16" t="s">
        <v>909</v>
      </c>
      <c r="AJ325" s="22"/>
      <c r="AN325" s="83"/>
      <c r="AO325" s="83"/>
      <c r="AP325" s="83"/>
      <c r="AQ325" s="83"/>
      <c r="AR325" s="83"/>
      <c r="AS325" s="83"/>
      <c r="AT325" s="83"/>
      <c r="AU325" s="83"/>
    </row>
    <row r="326" spans="1:265" s="16" customFormat="1" ht="12">
      <c r="A326" s="16" t="s">
        <v>1032</v>
      </c>
      <c r="B326" s="17" t="s">
        <v>1033</v>
      </c>
      <c r="C326" s="18" t="s">
        <v>412</v>
      </c>
      <c r="D326" s="18" t="s">
        <v>413</v>
      </c>
      <c r="E326" s="16" t="s">
        <v>311</v>
      </c>
      <c r="G326" s="16" t="s">
        <v>414</v>
      </c>
      <c r="H326" s="16" t="s">
        <v>1034</v>
      </c>
      <c r="J326" s="16">
        <v>0</v>
      </c>
      <c r="K326" s="16">
        <v>25</v>
      </c>
      <c r="L326" s="16" t="s">
        <v>38</v>
      </c>
      <c r="M326" s="16" t="s">
        <v>416</v>
      </c>
      <c r="N326" s="16" t="s">
        <v>417</v>
      </c>
      <c r="O326" s="16" t="s">
        <v>418</v>
      </c>
      <c r="P326" s="16">
        <v>0</v>
      </c>
      <c r="Q326" s="29"/>
      <c r="R326" s="89">
        <v>0</v>
      </c>
      <c r="S326" s="89">
        <f>100 - R326 - U326 - T326</f>
        <v>100</v>
      </c>
      <c r="T326" s="89">
        <v>0</v>
      </c>
      <c r="U326" s="90">
        <v>0</v>
      </c>
      <c r="V326" s="89">
        <v>0</v>
      </c>
      <c r="W326" s="90">
        <f>IF($R326 &gt; 0, 100 - $V326, 0)</f>
        <v>0</v>
      </c>
      <c r="X326" s="79">
        <v>61.4</v>
      </c>
      <c r="Y326" s="79">
        <f>IF($S326 &gt; 0, 100 - $X326 - $Z326, 0)</f>
        <v>35.300000000000004</v>
      </c>
      <c r="Z326" s="73">
        <v>3.3</v>
      </c>
      <c r="AA326" s="79">
        <v>0</v>
      </c>
      <c r="AB326" s="79">
        <f>IF($T326 &gt; 0, 100 - $AA326 - $AC326, 0)</f>
        <v>0</v>
      </c>
      <c r="AC326" s="73">
        <v>0</v>
      </c>
      <c r="AD326" s="79">
        <v>0</v>
      </c>
      <c r="AE326" s="79">
        <f>IF($U326 &gt; 0, 100 - $AD326 - $AF326, 0)</f>
        <v>0</v>
      </c>
      <c r="AF326" s="73">
        <v>0</v>
      </c>
      <c r="AG326" s="16" t="s">
        <v>43</v>
      </c>
      <c r="AH326" s="16" t="s">
        <v>525</v>
      </c>
      <c r="AI326" s="22"/>
      <c r="AJ326" s="22"/>
      <c r="AN326" s="83"/>
      <c r="AO326" s="83"/>
      <c r="AP326" s="83"/>
      <c r="AQ326" s="83"/>
      <c r="AR326" s="83"/>
      <c r="AS326" s="83"/>
      <c r="AT326" s="83"/>
      <c r="AU326" s="83"/>
    </row>
    <row r="327" spans="1:265" s="16" customFormat="1" ht="12">
      <c r="A327" s="16" t="s">
        <v>1035</v>
      </c>
      <c r="B327" s="17" t="s">
        <v>982</v>
      </c>
      <c r="C327" s="18" t="s">
        <v>795</v>
      </c>
      <c r="D327" s="18" t="s">
        <v>310</v>
      </c>
      <c r="E327" s="16" t="s">
        <v>311</v>
      </c>
      <c r="G327" s="16" t="s">
        <v>414</v>
      </c>
      <c r="H327" s="16" t="s">
        <v>982</v>
      </c>
      <c r="J327" s="16">
        <v>0</v>
      </c>
      <c r="K327" s="16">
        <v>500</v>
      </c>
      <c r="L327" s="16" t="s">
        <v>38</v>
      </c>
      <c r="M327" s="16" t="s">
        <v>11</v>
      </c>
      <c r="N327" s="16" t="s">
        <v>1036</v>
      </c>
      <c r="O327" s="16" t="s">
        <v>797</v>
      </c>
      <c r="P327" s="16">
        <v>290</v>
      </c>
      <c r="Q327" s="29" t="s">
        <v>1037</v>
      </c>
      <c r="R327" s="89">
        <v>0</v>
      </c>
      <c r="S327" s="89">
        <f>100 - R327 - U327 - T327</f>
        <v>100</v>
      </c>
      <c r="T327" s="89">
        <v>0</v>
      </c>
      <c r="U327" s="90">
        <v>0</v>
      </c>
      <c r="V327" s="89">
        <v>0</v>
      </c>
      <c r="W327" s="90">
        <f>IF($R327 &gt; 0, 100 - $V327, 0)</f>
        <v>0</v>
      </c>
      <c r="X327" s="79">
        <f>INDEX(Chemical_analyses!$A:$L, MATCH($P327, Chemical_analyses!$A:$A), 9)/$AI$1/(INDEX(Chemical_analyses!$A:$L, MATCH($P327, Chemical_analyses!$A:$A), 9)/$AI$1+INDEX(Chemical_analyses!$A:$L, MATCH($P327, Chemical_analyses!$A:$A), 11)/$AJ$1+INDEX(Chemical_analyses!$A:$L, MATCH($P327, Chemical_analyses!$A:$A), 12)/$AK$1)*100</f>
        <v>50.665945941216663</v>
      </c>
      <c r="Y327" s="79">
        <f>IF($S327 &gt; 0, 100 - $X327 - $Z327, 0)</f>
        <v>47.836435361053582</v>
      </c>
      <c r="Z327" s="73">
        <f>INDEX(Chemical_analyses!$A:$L, MATCH($P327, Chemical_analyses!$A:$A), 12)/$AK$1/(INDEX(Chemical_analyses!$A:$L, MATCH($P327, Chemical_analyses!$A:$A), 9)/$AI$1+INDEX(Chemical_analyses!$A:$L, MATCH($P327, Chemical_analyses!$A:$A), 11)/$AJ$1+INDEX(Chemical_analyses!$A:$L, MATCH($P327, Chemical_analyses!$A:$A), 12)/$AK$1)*100</f>
        <v>1.4976186977297536</v>
      </c>
      <c r="AA327" s="79">
        <v>0</v>
      </c>
      <c r="AB327" s="79">
        <f>IF($T327 &gt; 0, 100 - $AA327 - $AC327, 0)</f>
        <v>0</v>
      </c>
      <c r="AC327" s="73">
        <v>0</v>
      </c>
      <c r="AD327" s="79">
        <v>0</v>
      </c>
      <c r="AE327" s="79">
        <f>IF($U327 &gt; 0, 100 - $AD327 - $AF327, 0)</f>
        <v>0</v>
      </c>
      <c r="AF327" s="73">
        <v>0</v>
      </c>
      <c r="AG327" s="16" t="s">
        <v>43</v>
      </c>
      <c r="AH327" s="22" t="str">
        <f>_xlfn.CONCAT("FeO: ", INDEX(Chemical_analyses!$A:$M, MATCH($P327, Chemical_analyses!$A:$A), 9), ", MgO: ", INDEX(Chemical_analyses!$A:$M, MATCH($P327, Chemical_analyses!$A:$A), 11), ", CaO: ", INDEX(Chemical_analyses!$A:$M, MATCH($P327, Chemical_analyses!$A:$A), 12), ", MnO: ", INDEX(Chemical_analyses!$A:$M, MATCH($P327, Chemical_analyses!$A:$A), 10), ", NaO2: ", INDEX(Chemical_analyses!$A:$M, MATCH($P327, Chemical_analyses!$A:$A), 13), ", Fe2O3: ", INDEX(Chemical_analyses!$A:$M, MATCH($P327, Chemical_analyses!$A:$A), 8), ", Al2O3: ", INDEX(Chemical_analyses!$A:$M, MATCH($P327, Chemical_analyses!$A:$A), 6))</f>
        <v>FeO: 30.34, MgO: 16.07, CaO: 0.7, MnO: 1.01, NaO2: 0, Fe2O3: 0, Al2O3: 1.59</v>
      </c>
      <c r="AN327" s="83"/>
      <c r="AO327" s="83"/>
      <c r="AP327" s="83"/>
      <c r="AQ327" s="83"/>
      <c r="AR327" s="83"/>
      <c r="AS327" s="83"/>
      <c r="AT327" s="83"/>
      <c r="AU327" s="83"/>
    </row>
    <row r="328" spans="1:265" s="159" customFormat="1" ht="12">
      <c r="A328" s="16" t="s">
        <v>1038</v>
      </c>
      <c r="B328" s="17" t="s">
        <v>1039</v>
      </c>
      <c r="C328" s="18" t="s">
        <v>795</v>
      </c>
      <c r="D328" s="18" t="s">
        <v>310</v>
      </c>
      <c r="E328" s="16" t="s">
        <v>311</v>
      </c>
      <c r="F328" s="16"/>
      <c r="G328" s="16" t="s">
        <v>414</v>
      </c>
      <c r="H328" s="16" t="s">
        <v>982</v>
      </c>
      <c r="I328" s="16"/>
      <c r="J328" s="16">
        <v>0</v>
      </c>
      <c r="K328" s="16">
        <v>500</v>
      </c>
      <c r="L328" s="16" t="s">
        <v>38</v>
      </c>
      <c r="M328" s="16" t="s">
        <v>11</v>
      </c>
      <c r="N328" s="16" t="s">
        <v>1036</v>
      </c>
      <c r="O328" s="16" t="s">
        <v>797</v>
      </c>
      <c r="P328" s="16">
        <v>290</v>
      </c>
      <c r="Q328" s="29" t="s">
        <v>1040</v>
      </c>
      <c r="R328" s="89">
        <v>0</v>
      </c>
      <c r="S328" s="89">
        <f>100 - R328 - U328 - T328</f>
        <v>100</v>
      </c>
      <c r="T328" s="89">
        <v>0</v>
      </c>
      <c r="U328" s="90">
        <v>0</v>
      </c>
      <c r="V328" s="89">
        <v>0</v>
      </c>
      <c r="W328" s="90">
        <f>IF($R328 &gt; 0, 100 - $V328, 0)</f>
        <v>0</v>
      </c>
      <c r="X328" s="79">
        <f>INDEX(Chemical_analyses!$A:$L, MATCH($P328, Chemical_analyses!$A:$A), 9)/$AI$1/(INDEX(Chemical_analyses!$A:$L, MATCH($P328, Chemical_analyses!$A:$A), 9)/$AI$1+INDEX(Chemical_analyses!$A:$L, MATCH($P328, Chemical_analyses!$A:$A), 11)/$AJ$1+INDEX(Chemical_analyses!$A:$L, MATCH($P328, Chemical_analyses!$A:$A), 12)/$AK$1)*100</f>
        <v>50.665945941216663</v>
      </c>
      <c r="Y328" s="79">
        <f>IF($S328 &gt; 0, 100 - $X328 - $Z328, 0)</f>
        <v>47.836435361053582</v>
      </c>
      <c r="Z328" s="73">
        <f>INDEX(Chemical_analyses!$A:$L, MATCH($P328, Chemical_analyses!$A:$A), 12)/$AK$1/(INDEX(Chemical_analyses!$A:$L, MATCH($P328, Chemical_analyses!$A:$A), 9)/$AI$1+INDEX(Chemical_analyses!$A:$L, MATCH($P328, Chemical_analyses!$A:$A), 11)/$AJ$1+INDEX(Chemical_analyses!$A:$L, MATCH($P328, Chemical_analyses!$A:$A), 12)/$AK$1)*100</f>
        <v>1.4976186977297536</v>
      </c>
      <c r="AA328" s="79">
        <v>0</v>
      </c>
      <c r="AB328" s="79">
        <f>IF($T328 &gt; 0, 100 - $AA328 - $AC328, 0)</f>
        <v>0</v>
      </c>
      <c r="AC328" s="73">
        <v>0</v>
      </c>
      <c r="AD328" s="79">
        <v>0</v>
      </c>
      <c r="AE328" s="79">
        <f>IF($U328 &gt; 0, 100 - $AD328 - $AF328, 0)</f>
        <v>0</v>
      </c>
      <c r="AF328" s="73">
        <v>0</v>
      </c>
      <c r="AG328" s="16" t="s">
        <v>43</v>
      </c>
      <c r="AH328" s="22" t="str">
        <f>_xlfn.CONCAT("FeO: ", INDEX(Chemical_analyses!$A:$M, MATCH($P328, Chemical_analyses!$A:$A), 9), ", MgO: ", INDEX(Chemical_analyses!$A:$M, MATCH($P328, Chemical_analyses!$A:$A), 11), ", CaO: ", INDEX(Chemical_analyses!$A:$M, MATCH($P328, Chemical_analyses!$A:$A), 12), ", MnO: ", INDEX(Chemical_analyses!$A:$M, MATCH($P328, Chemical_analyses!$A:$A), 10), ", NaO2: ", INDEX(Chemical_analyses!$A:$M, MATCH($P328, Chemical_analyses!$A:$A), 13), ", Fe2O3: ", INDEX(Chemical_analyses!$A:$M, MATCH($P328, Chemical_analyses!$A:$A), 8), ", Al2O3: ", INDEX(Chemical_analyses!$A:$M, MATCH($P328, Chemical_analyses!$A:$A), 6))</f>
        <v>FeO: 30.34, MgO: 16.07, CaO: 0.7, MnO: 1.01, NaO2: 0, Fe2O3: 0, Al2O3: 1.59</v>
      </c>
      <c r="AI328" s="16"/>
      <c r="AJ328" s="16"/>
      <c r="AK328" s="16"/>
      <c r="AL328" s="16"/>
      <c r="AM328" s="16"/>
      <c r="AN328" s="83"/>
      <c r="AO328" s="83"/>
      <c r="AP328" s="83"/>
      <c r="AQ328" s="83"/>
      <c r="AR328" s="83"/>
      <c r="AS328" s="83"/>
      <c r="AT328" s="83"/>
      <c r="AU328" s="83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  <c r="CC328" s="16"/>
      <c r="CD328" s="16"/>
      <c r="CE328" s="16"/>
      <c r="CF328" s="16"/>
      <c r="CG328" s="16"/>
      <c r="CH328" s="16"/>
      <c r="CI328" s="16"/>
      <c r="CJ328" s="16"/>
      <c r="CK328" s="16"/>
      <c r="CL328" s="16"/>
      <c r="CM328" s="16"/>
      <c r="CN328" s="16"/>
      <c r="CO328" s="16"/>
      <c r="CP328" s="16"/>
      <c r="CQ328" s="16"/>
      <c r="CR328" s="16"/>
      <c r="CS328" s="16"/>
      <c r="CT328" s="16"/>
      <c r="CU328" s="16"/>
      <c r="CV328" s="16"/>
      <c r="CW328" s="16"/>
      <c r="CX328" s="16"/>
      <c r="CY328" s="16"/>
      <c r="CZ328" s="16"/>
      <c r="DA328" s="16"/>
      <c r="DB328" s="16"/>
      <c r="DC328" s="16"/>
      <c r="DD328" s="16"/>
      <c r="DE328" s="16"/>
      <c r="DF328" s="16"/>
      <c r="DG328" s="16"/>
      <c r="DH328" s="16"/>
      <c r="DI328" s="16"/>
      <c r="DJ328" s="16"/>
      <c r="DK328" s="16"/>
      <c r="DL328" s="16"/>
      <c r="DM328" s="16"/>
      <c r="DN328" s="16"/>
      <c r="DO328" s="16"/>
      <c r="DP328" s="16"/>
      <c r="DQ328" s="16"/>
      <c r="DR328" s="16"/>
      <c r="DS328" s="16"/>
      <c r="DT328" s="16"/>
      <c r="DU328" s="16"/>
      <c r="DV328" s="16"/>
      <c r="DW328" s="16"/>
      <c r="DX328" s="16"/>
      <c r="DY328" s="16"/>
      <c r="DZ328" s="16"/>
      <c r="EA328" s="16"/>
      <c r="EB328" s="16"/>
      <c r="EC328" s="16"/>
      <c r="ED328" s="16"/>
      <c r="EE328" s="16"/>
      <c r="EF328" s="16"/>
      <c r="EG328" s="16"/>
      <c r="EH328" s="16"/>
      <c r="EI328" s="16"/>
      <c r="EJ328" s="16"/>
      <c r="EK328" s="16"/>
      <c r="EL328" s="16"/>
      <c r="EM328" s="16"/>
      <c r="EN328" s="16"/>
      <c r="EO328" s="16"/>
      <c r="EP328" s="16"/>
      <c r="EQ328" s="16"/>
      <c r="ER328" s="16"/>
      <c r="ES328" s="16"/>
      <c r="ET328" s="16"/>
      <c r="EU328" s="16"/>
      <c r="EV328" s="16"/>
      <c r="EW328" s="16"/>
      <c r="EX328" s="16"/>
      <c r="EY328" s="16"/>
      <c r="EZ328" s="16"/>
      <c r="FA328" s="16"/>
      <c r="FB328" s="16"/>
      <c r="FC328" s="16"/>
      <c r="FD328" s="16"/>
      <c r="FE328" s="16"/>
      <c r="FF328" s="16"/>
      <c r="FG328" s="16"/>
      <c r="FH328" s="16"/>
      <c r="FI328" s="16"/>
      <c r="FJ328" s="16"/>
      <c r="FK328" s="16"/>
      <c r="FL328" s="16"/>
      <c r="FM328" s="16"/>
      <c r="FN328" s="16"/>
      <c r="FO328" s="16"/>
      <c r="FP328" s="16"/>
      <c r="FQ328" s="16"/>
      <c r="FR328" s="16"/>
      <c r="FS328" s="16"/>
      <c r="FT328" s="16"/>
      <c r="FU328" s="16"/>
      <c r="FV328" s="16"/>
      <c r="FW328" s="16"/>
      <c r="FX328" s="16"/>
      <c r="FY328" s="16"/>
      <c r="FZ328" s="16"/>
      <c r="GA328" s="16"/>
      <c r="GB328" s="16"/>
      <c r="GC328" s="16"/>
      <c r="GD328" s="16"/>
      <c r="GE328" s="16"/>
      <c r="GF328" s="16"/>
      <c r="GG328" s="16"/>
      <c r="GH328" s="16"/>
      <c r="GI328" s="16"/>
      <c r="GJ328" s="16"/>
      <c r="GK328" s="16"/>
      <c r="GL328" s="16"/>
      <c r="GM328" s="16"/>
      <c r="GN328" s="16"/>
      <c r="GO328" s="16"/>
      <c r="GP328" s="16"/>
      <c r="GQ328" s="16"/>
      <c r="GR328" s="16"/>
      <c r="GS328" s="16"/>
      <c r="GT328" s="16"/>
      <c r="GU328" s="16"/>
      <c r="GV328" s="16"/>
      <c r="GW328" s="16"/>
      <c r="GX328" s="16"/>
      <c r="GY328" s="16"/>
      <c r="GZ328" s="16"/>
      <c r="HA328" s="16"/>
      <c r="HB328" s="16"/>
      <c r="HC328" s="16"/>
      <c r="HD328" s="16"/>
      <c r="HE328" s="16"/>
      <c r="HF328" s="16"/>
      <c r="HG328" s="16"/>
      <c r="HH328" s="16"/>
      <c r="HI328" s="16"/>
      <c r="HJ328" s="16"/>
      <c r="HK328" s="16"/>
      <c r="HL328" s="16"/>
      <c r="HM328" s="16"/>
      <c r="HN328" s="16"/>
      <c r="HO328" s="16"/>
      <c r="HP328" s="16"/>
      <c r="HQ328" s="16"/>
      <c r="HR328" s="16"/>
      <c r="HS328" s="16"/>
      <c r="HT328" s="16"/>
      <c r="HU328" s="16"/>
      <c r="HV328" s="16"/>
      <c r="HW328" s="16"/>
      <c r="HX328" s="16"/>
      <c r="HY328" s="16"/>
      <c r="HZ328" s="16"/>
      <c r="IA328" s="16"/>
      <c r="IB328" s="16"/>
      <c r="IC328" s="16"/>
      <c r="ID328" s="16"/>
      <c r="IE328" s="16"/>
      <c r="IF328" s="16"/>
      <c r="IG328" s="16"/>
      <c r="IH328" s="16"/>
      <c r="II328" s="16"/>
      <c r="IJ328" s="16"/>
      <c r="IK328" s="16"/>
      <c r="IL328" s="16"/>
      <c r="IM328" s="16"/>
      <c r="IN328" s="16"/>
      <c r="IO328" s="16"/>
      <c r="IP328" s="16"/>
      <c r="IQ328" s="16"/>
      <c r="IR328" s="16"/>
      <c r="IS328" s="16"/>
      <c r="IT328" s="16"/>
      <c r="IU328" s="16"/>
      <c r="IV328" s="16"/>
      <c r="IW328" s="16"/>
      <c r="IX328" s="16"/>
      <c r="IY328" s="16"/>
      <c r="IZ328" s="16"/>
      <c r="JA328" s="16"/>
      <c r="JB328" s="16"/>
      <c r="JC328" s="16"/>
      <c r="JD328" s="16"/>
      <c r="JE328" s="16"/>
    </row>
    <row r="329" spans="1:265" s="159" customFormat="1" ht="12">
      <c r="A329" s="16" t="s">
        <v>1041</v>
      </c>
      <c r="B329" s="17" t="s">
        <v>1042</v>
      </c>
      <c r="C329" s="18" t="s">
        <v>795</v>
      </c>
      <c r="D329" s="18" t="s">
        <v>310</v>
      </c>
      <c r="E329" s="16" t="s">
        <v>311</v>
      </c>
      <c r="F329" s="16"/>
      <c r="G329" s="16" t="s">
        <v>414</v>
      </c>
      <c r="H329" s="16" t="s">
        <v>982</v>
      </c>
      <c r="I329" s="16"/>
      <c r="J329" s="16">
        <v>0</v>
      </c>
      <c r="K329" s="16">
        <v>500</v>
      </c>
      <c r="L329" s="16" t="s">
        <v>38</v>
      </c>
      <c r="M329" s="16" t="s">
        <v>11</v>
      </c>
      <c r="N329" s="16" t="s">
        <v>1036</v>
      </c>
      <c r="O329" s="16" t="s">
        <v>797</v>
      </c>
      <c r="P329" s="16">
        <v>290</v>
      </c>
      <c r="Q329" s="29" t="s">
        <v>1043</v>
      </c>
      <c r="R329" s="89">
        <v>0</v>
      </c>
      <c r="S329" s="89">
        <f>100 - R329 - U329 - T329</f>
        <v>100</v>
      </c>
      <c r="T329" s="89">
        <v>0</v>
      </c>
      <c r="U329" s="90">
        <v>0</v>
      </c>
      <c r="V329" s="89">
        <v>0</v>
      </c>
      <c r="W329" s="90">
        <f>IF($R329 &gt; 0, 100 - $V329, 0)</f>
        <v>0</v>
      </c>
      <c r="X329" s="79">
        <f>INDEX(Chemical_analyses!$A:$L, MATCH($P329, Chemical_analyses!$A:$A), 9)/$AI$1/(INDEX(Chemical_analyses!$A:$L, MATCH($P329, Chemical_analyses!$A:$A), 9)/$AI$1+INDEX(Chemical_analyses!$A:$L, MATCH($P329, Chemical_analyses!$A:$A), 11)/$AJ$1+INDEX(Chemical_analyses!$A:$L, MATCH($P329, Chemical_analyses!$A:$A), 12)/$AK$1)*100</f>
        <v>50.665945941216663</v>
      </c>
      <c r="Y329" s="79">
        <f>IF($S329 &gt; 0, 100 - $X329 - $Z329, 0)</f>
        <v>47.836435361053582</v>
      </c>
      <c r="Z329" s="73">
        <f>INDEX(Chemical_analyses!$A:$L, MATCH($P329, Chemical_analyses!$A:$A), 12)/$AK$1/(INDEX(Chemical_analyses!$A:$L, MATCH($P329, Chemical_analyses!$A:$A), 9)/$AI$1+INDEX(Chemical_analyses!$A:$L, MATCH($P329, Chemical_analyses!$A:$A), 11)/$AJ$1+INDEX(Chemical_analyses!$A:$L, MATCH($P329, Chemical_analyses!$A:$A), 12)/$AK$1)*100</f>
        <v>1.4976186977297536</v>
      </c>
      <c r="AA329" s="89">
        <v>0</v>
      </c>
      <c r="AB329" s="79">
        <f>IF($T329 &gt; 0, 100 - $AA329 - $AC329, 0)</f>
        <v>0</v>
      </c>
      <c r="AC329" s="90">
        <v>0</v>
      </c>
      <c r="AD329" s="79">
        <v>0</v>
      </c>
      <c r="AE329" s="79">
        <f>IF($U329 &gt; 0, 100 - $AD329 - $AF329, 0)</f>
        <v>0</v>
      </c>
      <c r="AF329" s="90">
        <v>0</v>
      </c>
      <c r="AG329" s="16" t="s">
        <v>43</v>
      </c>
      <c r="AH329" s="22" t="str">
        <f>_xlfn.CONCAT("FeO: ", INDEX(Chemical_analyses!$A:$M, MATCH($P329, Chemical_analyses!$A:$A), 9), ", MgO: ", INDEX(Chemical_analyses!$A:$M, MATCH($P329, Chemical_analyses!$A:$A), 11), ", CaO: ", INDEX(Chemical_analyses!$A:$M, MATCH($P329, Chemical_analyses!$A:$A), 12), ", MnO: ", INDEX(Chemical_analyses!$A:$M, MATCH($P329, Chemical_analyses!$A:$A), 10), ", NaO2: ", INDEX(Chemical_analyses!$A:$M, MATCH($P329, Chemical_analyses!$A:$A), 13), ", Fe2O3: ", INDEX(Chemical_analyses!$A:$M, MATCH($P329, Chemical_analyses!$A:$A), 8), ", Al2O3: ", INDEX(Chemical_analyses!$A:$M, MATCH($P329, Chemical_analyses!$A:$A), 6))</f>
        <v>FeO: 30.34, MgO: 16.07, CaO: 0.7, MnO: 1.01, NaO2: 0, Fe2O3: 0, Al2O3: 1.59</v>
      </c>
      <c r="AI329" s="16"/>
      <c r="AJ329" s="16"/>
      <c r="AK329" s="16"/>
      <c r="AL329" s="16"/>
      <c r="AM329" s="16"/>
      <c r="AN329" s="83"/>
      <c r="AO329" s="83"/>
      <c r="AP329" s="83"/>
      <c r="AQ329" s="83"/>
      <c r="AR329" s="83"/>
      <c r="AS329" s="83"/>
      <c r="AT329" s="83"/>
      <c r="AU329" s="83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  <c r="CC329" s="16"/>
      <c r="CD329" s="16"/>
      <c r="CE329" s="16"/>
      <c r="CF329" s="16"/>
      <c r="CG329" s="16"/>
      <c r="CH329" s="16"/>
      <c r="CI329" s="16"/>
      <c r="CJ329" s="16"/>
      <c r="CK329" s="16"/>
      <c r="CL329" s="16"/>
      <c r="CM329" s="16"/>
      <c r="CN329" s="16"/>
      <c r="CO329" s="16"/>
      <c r="CP329" s="16"/>
      <c r="CQ329" s="16"/>
      <c r="CR329" s="16"/>
      <c r="CS329" s="16"/>
      <c r="CT329" s="16"/>
      <c r="CU329" s="16"/>
      <c r="CV329" s="16"/>
      <c r="CW329" s="16"/>
      <c r="CX329" s="16"/>
      <c r="CY329" s="16"/>
      <c r="CZ329" s="16"/>
      <c r="DA329" s="16"/>
      <c r="DB329" s="16"/>
      <c r="DC329" s="16"/>
      <c r="DD329" s="16"/>
      <c r="DE329" s="16"/>
      <c r="DF329" s="16"/>
      <c r="DG329" s="16"/>
      <c r="DH329" s="16"/>
      <c r="DI329" s="16"/>
      <c r="DJ329" s="16"/>
      <c r="DK329" s="16"/>
      <c r="DL329" s="16"/>
      <c r="DM329" s="16"/>
      <c r="DN329" s="16"/>
      <c r="DO329" s="16"/>
      <c r="DP329" s="16"/>
      <c r="DQ329" s="16"/>
      <c r="DR329" s="16"/>
      <c r="DS329" s="16"/>
      <c r="DT329" s="16"/>
      <c r="DU329" s="16"/>
      <c r="DV329" s="16"/>
      <c r="DW329" s="16"/>
      <c r="DX329" s="16"/>
      <c r="DY329" s="16"/>
      <c r="DZ329" s="16"/>
      <c r="EA329" s="16"/>
      <c r="EB329" s="16"/>
      <c r="EC329" s="16"/>
      <c r="ED329" s="16"/>
      <c r="EE329" s="16"/>
      <c r="EF329" s="16"/>
      <c r="EG329" s="16"/>
      <c r="EH329" s="16"/>
      <c r="EI329" s="16"/>
      <c r="EJ329" s="16"/>
      <c r="EK329" s="16"/>
      <c r="EL329" s="16"/>
      <c r="EM329" s="16"/>
      <c r="EN329" s="16"/>
      <c r="EO329" s="16"/>
      <c r="EP329" s="16"/>
      <c r="EQ329" s="16"/>
      <c r="ER329" s="16"/>
      <c r="ES329" s="16"/>
      <c r="ET329" s="16"/>
      <c r="EU329" s="16"/>
      <c r="EV329" s="16"/>
      <c r="EW329" s="16"/>
      <c r="EX329" s="16"/>
      <c r="EY329" s="16"/>
      <c r="EZ329" s="16"/>
      <c r="FA329" s="16"/>
      <c r="FB329" s="16"/>
      <c r="FC329" s="16"/>
      <c r="FD329" s="16"/>
      <c r="FE329" s="16"/>
      <c r="FF329" s="16"/>
      <c r="FG329" s="16"/>
      <c r="FH329" s="16"/>
      <c r="FI329" s="16"/>
      <c r="FJ329" s="16"/>
      <c r="FK329" s="16"/>
      <c r="FL329" s="16"/>
      <c r="FM329" s="16"/>
      <c r="FN329" s="16"/>
      <c r="FO329" s="16"/>
      <c r="FP329" s="16"/>
      <c r="FQ329" s="16"/>
      <c r="FR329" s="16"/>
      <c r="FS329" s="16"/>
      <c r="FT329" s="16"/>
      <c r="FU329" s="16"/>
      <c r="FV329" s="16"/>
      <c r="FW329" s="16"/>
      <c r="FX329" s="16"/>
      <c r="FY329" s="16"/>
      <c r="FZ329" s="16"/>
      <c r="GA329" s="16"/>
      <c r="GB329" s="16"/>
      <c r="GC329" s="16"/>
      <c r="GD329" s="16"/>
      <c r="GE329" s="16"/>
      <c r="GF329" s="16"/>
      <c r="GG329" s="16"/>
      <c r="GH329" s="16"/>
      <c r="GI329" s="16"/>
      <c r="GJ329" s="16"/>
      <c r="GK329" s="16"/>
      <c r="GL329" s="16"/>
      <c r="GM329" s="16"/>
      <c r="GN329" s="16"/>
      <c r="GO329" s="16"/>
      <c r="GP329" s="16"/>
      <c r="GQ329" s="16"/>
      <c r="GR329" s="16"/>
      <c r="GS329" s="16"/>
      <c r="GT329" s="16"/>
      <c r="GU329" s="16"/>
      <c r="GV329" s="16"/>
      <c r="GW329" s="16"/>
      <c r="GX329" s="16"/>
      <c r="GY329" s="16"/>
      <c r="GZ329" s="16"/>
      <c r="HA329" s="16"/>
      <c r="HB329" s="16"/>
      <c r="HC329" s="16"/>
      <c r="HD329" s="16"/>
      <c r="HE329" s="16"/>
      <c r="HF329" s="16"/>
      <c r="HG329" s="16"/>
      <c r="HH329" s="16"/>
      <c r="HI329" s="16"/>
      <c r="HJ329" s="16"/>
      <c r="HK329" s="16"/>
      <c r="HL329" s="16"/>
      <c r="HM329" s="16"/>
      <c r="HN329" s="16"/>
      <c r="HO329" s="16"/>
      <c r="HP329" s="16"/>
      <c r="HQ329" s="16"/>
      <c r="HR329" s="16"/>
      <c r="HS329" s="16"/>
      <c r="HT329" s="16"/>
      <c r="HU329" s="16"/>
      <c r="HV329" s="16"/>
      <c r="HW329" s="16"/>
      <c r="HX329" s="16"/>
      <c r="HY329" s="16"/>
      <c r="HZ329" s="16"/>
      <c r="IA329" s="16"/>
      <c r="IB329" s="16"/>
      <c r="IC329" s="16"/>
      <c r="ID329" s="16"/>
      <c r="IE329" s="16"/>
      <c r="IF329" s="16"/>
      <c r="IG329" s="16"/>
      <c r="IH329" s="16"/>
      <c r="II329" s="16"/>
      <c r="IJ329" s="16"/>
      <c r="IK329" s="16"/>
      <c r="IL329" s="16"/>
      <c r="IM329" s="16"/>
      <c r="IN329" s="16"/>
      <c r="IO329" s="16"/>
      <c r="IP329" s="16"/>
      <c r="IQ329" s="16"/>
      <c r="IR329" s="16"/>
      <c r="IS329" s="16"/>
      <c r="IT329" s="16"/>
      <c r="IU329" s="16"/>
      <c r="IV329" s="16"/>
      <c r="IW329" s="16"/>
      <c r="IX329" s="16"/>
      <c r="IY329" s="16"/>
      <c r="IZ329" s="16"/>
      <c r="JA329" s="16"/>
      <c r="JB329" s="16"/>
      <c r="JC329" s="16"/>
      <c r="JD329" s="16"/>
      <c r="JE329" s="16"/>
    </row>
    <row r="330" spans="1:265" s="16" customFormat="1" ht="12">
      <c r="A330" s="16" t="s">
        <v>1044</v>
      </c>
      <c r="B330" s="17" t="s">
        <v>1045</v>
      </c>
      <c r="C330" s="18" t="s">
        <v>795</v>
      </c>
      <c r="D330" s="18" t="s">
        <v>310</v>
      </c>
      <c r="E330" s="16" t="s">
        <v>311</v>
      </c>
      <c r="G330" s="16" t="s">
        <v>414</v>
      </c>
      <c r="H330" s="16" t="s">
        <v>982</v>
      </c>
      <c r="J330" s="16">
        <v>0</v>
      </c>
      <c r="K330" s="16">
        <v>500</v>
      </c>
      <c r="L330" s="16" t="s">
        <v>38</v>
      </c>
      <c r="M330" s="16" t="s">
        <v>11</v>
      </c>
      <c r="N330" s="16" t="s">
        <v>1046</v>
      </c>
      <c r="O330" s="16" t="s">
        <v>797</v>
      </c>
      <c r="P330" s="16">
        <v>290</v>
      </c>
      <c r="Q330" s="29" t="s">
        <v>1047</v>
      </c>
      <c r="R330" s="89">
        <v>0</v>
      </c>
      <c r="S330" s="89">
        <f>100 - R330 - U330 - T330</f>
        <v>100</v>
      </c>
      <c r="T330" s="89">
        <v>0</v>
      </c>
      <c r="U330" s="90">
        <v>0</v>
      </c>
      <c r="V330" s="89">
        <v>0</v>
      </c>
      <c r="W330" s="90">
        <f>IF($R330 &gt; 0, 100 - $V330, 0)</f>
        <v>0</v>
      </c>
      <c r="X330" s="79">
        <f>INDEX(Chemical_analyses!$A:$L, MATCH($P330, Chemical_analyses!$A:$A), 9)/$AI$1/(INDEX(Chemical_analyses!$A:$L, MATCH($P330, Chemical_analyses!$A:$A), 9)/$AI$1+INDEX(Chemical_analyses!$A:$L, MATCH($P330, Chemical_analyses!$A:$A), 11)/$AJ$1+INDEX(Chemical_analyses!$A:$L, MATCH($P330, Chemical_analyses!$A:$A), 12)/$AK$1)*100</f>
        <v>50.665945941216663</v>
      </c>
      <c r="Y330" s="79">
        <f>IF($S330 &gt; 0, 100 - $X330 - $Z330, 0)</f>
        <v>47.836435361053582</v>
      </c>
      <c r="Z330" s="73">
        <f>INDEX(Chemical_analyses!$A:$L, MATCH($P330, Chemical_analyses!$A:$A), 12)/$AK$1/(INDEX(Chemical_analyses!$A:$L, MATCH($P330, Chemical_analyses!$A:$A), 9)/$AI$1+INDEX(Chemical_analyses!$A:$L, MATCH($P330, Chemical_analyses!$A:$A), 11)/$AJ$1+INDEX(Chemical_analyses!$A:$L, MATCH($P330, Chemical_analyses!$A:$A), 12)/$AK$1)*100</f>
        <v>1.4976186977297536</v>
      </c>
      <c r="AA330" s="79">
        <v>0</v>
      </c>
      <c r="AB330" s="79">
        <f>IF($T330 &gt; 0, 100 - $AA330 - $AC330, 0)</f>
        <v>0</v>
      </c>
      <c r="AC330" s="73">
        <v>0</v>
      </c>
      <c r="AD330" s="79">
        <v>0</v>
      </c>
      <c r="AE330" s="79">
        <f>IF($U330 &gt; 0, 100 - $AD330 - $AF330, 0)</f>
        <v>0</v>
      </c>
      <c r="AF330" s="73">
        <v>0</v>
      </c>
      <c r="AG330" s="16" t="s">
        <v>43</v>
      </c>
      <c r="AH330" s="22" t="str">
        <f>_xlfn.CONCAT("FeO: ", INDEX(Chemical_analyses!$A:$M, MATCH($P330, Chemical_analyses!$A:$A), 9), ", MgO: ", INDEX(Chemical_analyses!$A:$M, MATCH($P330, Chemical_analyses!$A:$A), 11), ", CaO: ", INDEX(Chemical_analyses!$A:$M, MATCH($P330, Chemical_analyses!$A:$A), 12), ", MnO: ", INDEX(Chemical_analyses!$A:$M, MATCH($P330, Chemical_analyses!$A:$A), 10), ", NaO2: ", INDEX(Chemical_analyses!$A:$M, MATCH($P330, Chemical_analyses!$A:$A), 13), ", Fe2O3: ", INDEX(Chemical_analyses!$A:$M, MATCH($P330, Chemical_analyses!$A:$A), 8), ", Al2O3: ", INDEX(Chemical_analyses!$A:$M, MATCH($P330, Chemical_analyses!$A:$A), 6))</f>
        <v>FeO: 30.34, MgO: 16.07, CaO: 0.7, MnO: 1.01, NaO2: 0, Fe2O3: 0, Al2O3: 1.59</v>
      </c>
      <c r="AN330" s="83"/>
      <c r="AO330" s="83"/>
      <c r="AP330" s="83"/>
      <c r="AQ330" s="83"/>
      <c r="AR330" s="83"/>
      <c r="AS330" s="83"/>
      <c r="AT330" s="83"/>
      <c r="AU330" s="83"/>
    </row>
    <row r="331" spans="1:265" s="16" customFormat="1" ht="12">
      <c r="A331" s="16" t="s">
        <v>1048</v>
      </c>
      <c r="B331" s="17" t="s">
        <v>1049</v>
      </c>
      <c r="C331" s="18" t="s">
        <v>795</v>
      </c>
      <c r="D331" s="18" t="s">
        <v>310</v>
      </c>
      <c r="E331" s="16" t="s">
        <v>311</v>
      </c>
      <c r="G331" s="16" t="s">
        <v>414</v>
      </c>
      <c r="H331" s="16" t="s">
        <v>982</v>
      </c>
      <c r="J331" s="16">
        <v>0</v>
      </c>
      <c r="K331" s="16">
        <v>500</v>
      </c>
      <c r="L331" s="16" t="s">
        <v>38</v>
      </c>
      <c r="M331" s="16" t="s">
        <v>11</v>
      </c>
      <c r="N331" s="16" t="s">
        <v>1046</v>
      </c>
      <c r="O331" s="16" t="s">
        <v>797</v>
      </c>
      <c r="P331" s="16">
        <v>290</v>
      </c>
      <c r="Q331" s="29" t="s">
        <v>1050</v>
      </c>
      <c r="R331" s="89">
        <v>0</v>
      </c>
      <c r="S331" s="89">
        <f>100 - R331 - U331 - T331</f>
        <v>100</v>
      </c>
      <c r="T331" s="89">
        <v>0</v>
      </c>
      <c r="U331" s="90">
        <v>0</v>
      </c>
      <c r="V331" s="89">
        <v>0</v>
      </c>
      <c r="W331" s="90">
        <f>IF($R331 &gt; 0, 100 - $V331, 0)</f>
        <v>0</v>
      </c>
      <c r="X331" s="79">
        <f>INDEX(Chemical_analyses!$A:$L, MATCH($P331, Chemical_analyses!$A:$A), 9)/$AI$1/(INDEX(Chemical_analyses!$A:$L, MATCH($P331, Chemical_analyses!$A:$A), 9)/$AI$1+INDEX(Chemical_analyses!$A:$L, MATCH($P331, Chemical_analyses!$A:$A), 11)/$AJ$1+INDEX(Chemical_analyses!$A:$L, MATCH($P331, Chemical_analyses!$A:$A), 12)/$AK$1)*100</f>
        <v>50.665945941216663</v>
      </c>
      <c r="Y331" s="79">
        <f>IF($S331 &gt; 0, 100 - $X331 - $Z331, 0)</f>
        <v>47.836435361053582</v>
      </c>
      <c r="Z331" s="73">
        <f>INDEX(Chemical_analyses!$A:$L, MATCH($P331, Chemical_analyses!$A:$A), 12)/$AK$1/(INDEX(Chemical_analyses!$A:$L, MATCH($P331, Chemical_analyses!$A:$A), 9)/$AI$1+INDEX(Chemical_analyses!$A:$L, MATCH($P331, Chemical_analyses!$A:$A), 11)/$AJ$1+INDEX(Chemical_analyses!$A:$L, MATCH($P331, Chemical_analyses!$A:$A), 12)/$AK$1)*100</f>
        <v>1.4976186977297536</v>
      </c>
      <c r="AA331" s="89">
        <v>0</v>
      </c>
      <c r="AB331" s="79">
        <f>IF($T331 &gt; 0, 100 - $AA331 - $AC331, 0)</f>
        <v>0</v>
      </c>
      <c r="AC331" s="90">
        <v>0</v>
      </c>
      <c r="AD331" s="79">
        <v>0</v>
      </c>
      <c r="AE331" s="79">
        <f>IF($U331 &gt; 0, 100 - $AD331 - $AF331, 0)</f>
        <v>0</v>
      </c>
      <c r="AF331" s="90">
        <v>0</v>
      </c>
      <c r="AG331" s="16" t="s">
        <v>43</v>
      </c>
      <c r="AH331" s="22" t="str">
        <f>_xlfn.CONCAT("FeO: ", INDEX(Chemical_analyses!$A:$M, MATCH($P331, Chemical_analyses!$A:$A), 9), ", MgO: ", INDEX(Chemical_analyses!$A:$M, MATCH($P331, Chemical_analyses!$A:$A), 11), ", CaO: ", INDEX(Chemical_analyses!$A:$M, MATCH($P331, Chemical_analyses!$A:$A), 12), ", MnO: ", INDEX(Chemical_analyses!$A:$M, MATCH($P331, Chemical_analyses!$A:$A), 10), ", NaO2: ", INDEX(Chemical_analyses!$A:$M, MATCH($P331, Chemical_analyses!$A:$A), 13), ", Fe2O3: ", INDEX(Chemical_analyses!$A:$M, MATCH($P331, Chemical_analyses!$A:$A), 8), ", Al2O3: ", INDEX(Chemical_analyses!$A:$M, MATCH($P331, Chemical_analyses!$A:$A), 6))</f>
        <v>FeO: 30.34, MgO: 16.07, CaO: 0.7, MnO: 1.01, NaO2: 0, Fe2O3: 0, Al2O3: 1.59</v>
      </c>
      <c r="AN331" s="83"/>
      <c r="AO331" s="83"/>
      <c r="AP331" s="83"/>
      <c r="AQ331" s="83"/>
      <c r="AR331" s="83"/>
      <c r="AS331" s="83"/>
      <c r="AT331" s="83"/>
      <c r="AU331" s="83"/>
      <c r="AV331" s="159"/>
      <c r="AW331" s="159"/>
      <c r="AX331" s="159"/>
      <c r="AY331" s="159"/>
      <c r="AZ331" s="159"/>
      <c r="BA331" s="159"/>
      <c r="BB331" s="159"/>
      <c r="BC331" s="159"/>
      <c r="BD331" s="159"/>
      <c r="BE331" s="159"/>
      <c r="BF331" s="159"/>
      <c r="BG331" s="159"/>
      <c r="BH331" s="159"/>
      <c r="BI331" s="159"/>
      <c r="BJ331" s="159"/>
      <c r="BK331" s="159"/>
      <c r="BL331" s="159"/>
      <c r="BM331" s="159"/>
      <c r="BN331" s="159"/>
      <c r="BO331" s="159"/>
      <c r="BP331" s="159"/>
      <c r="BQ331" s="159"/>
      <c r="BR331" s="159"/>
      <c r="BS331" s="159"/>
      <c r="BT331" s="159"/>
      <c r="BU331" s="159"/>
      <c r="BV331" s="159"/>
      <c r="BW331" s="159"/>
      <c r="BX331" s="159"/>
      <c r="BY331" s="159"/>
      <c r="BZ331" s="159"/>
      <c r="CA331" s="159"/>
      <c r="CB331" s="159"/>
      <c r="CC331" s="159"/>
      <c r="CD331" s="159"/>
      <c r="CE331" s="159"/>
      <c r="CF331" s="159"/>
      <c r="CG331" s="159"/>
      <c r="CH331" s="159"/>
      <c r="CI331" s="159"/>
      <c r="CJ331" s="159"/>
      <c r="CK331" s="159"/>
      <c r="CL331" s="159"/>
      <c r="CM331" s="159"/>
      <c r="CN331" s="159"/>
      <c r="CO331" s="159"/>
      <c r="CP331" s="159"/>
      <c r="CQ331" s="159"/>
      <c r="CR331" s="159"/>
      <c r="CS331" s="159"/>
      <c r="CT331" s="159"/>
      <c r="CU331" s="159"/>
      <c r="CV331" s="159"/>
      <c r="CW331" s="159"/>
      <c r="CX331" s="159"/>
      <c r="CY331" s="159"/>
      <c r="CZ331" s="159"/>
      <c r="DA331" s="159"/>
      <c r="DB331" s="159"/>
      <c r="DC331" s="159"/>
      <c r="DD331" s="159"/>
      <c r="DE331" s="159"/>
      <c r="DF331" s="159"/>
      <c r="DG331" s="159"/>
      <c r="DH331" s="159"/>
      <c r="DI331" s="159"/>
      <c r="DJ331" s="159"/>
      <c r="DK331" s="159"/>
      <c r="DL331" s="159"/>
      <c r="DM331" s="159"/>
      <c r="DN331" s="159"/>
      <c r="DO331" s="159"/>
      <c r="DP331" s="159"/>
      <c r="DQ331" s="159"/>
      <c r="DR331" s="159"/>
      <c r="DS331" s="159"/>
      <c r="DT331" s="159"/>
      <c r="DU331" s="159"/>
      <c r="DV331" s="159"/>
      <c r="DW331" s="159"/>
      <c r="DX331" s="159"/>
      <c r="DY331" s="159"/>
      <c r="DZ331" s="159"/>
      <c r="EA331" s="159"/>
      <c r="EB331" s="159"/>
      <c r="EC331" s="159"/>
      <c r="ED331" s="159"/>
      <c r="EE331" s="159"/>
      <c r="EF331" s="159"/>
      <c r="EG331" s="159"/>
      <c r="EH331" s="159"/>
      <c r="EI331" s="159"/>
      <c r="EJ331" s="159"/>
      <c r="EK331" s="159"/>
      <c r="EL331" s="159"/>
      <c r="EM331" s="159"/>
      <c r="EN331" s="159"/>
      <c r="EO331" s="159"/>
      <c r="EP331" s="159"/>
      <c r="EQ331" s="159"/>
      <c r="ER331" s="159"/>
      <c r="ES331" s="159"/>
      <c r="ET331" s="159"/>
      <c r="EU331" s="159"/>
      <c r="EV331" s="159"/>
      <c r="EW331" s="159"/>
      <c r="EX331" s="159"/>
      <c r="EY331" s="159"/>
      <c r="EZ331" s="159"/>
      <c r="FA331" s="159"/>
      <c r="FB331" s="159"/>
      <c r="FC331" s="159"/>
      <c r="FD331" s="159"/>
      <c r="FE331" s="159"/>
      <c r="FF331" s="159"/>
      <c r="FG331" s="159"/>
      <c r="FH331" s="159"/>
      <c r="FI331" s="159"/>
      <c r="FJ331" s="159"/>
      <c r="FK331" s="159"/>
      <c r="FL331" s="159"/>
      <c r="FM331" s="159"/>
      <c r="FN331" s="159"/>
      <c r="FO331" s="159"/>
      <c r="FP331" s="159"/>
      <c r="FQ331" s="159"/>
      <c r="FR331" s="159"/>
      <c r="FS331" s="159"/>
      <c r="FT331" s="159"/>
      <c r="FU331" s="159"/>
      <c r="FV331" s="159"/>
      <c r="FW331" s="159"/>
      <c r="FX331" s="159"/>
      <c r="FY331" s="159"/>
      <c r="FZ331" s="159"/>
      <c r="GA331" s="159"/>
      <c r="GB331" s="159"/>
      <c r="GC331" s="159"/>
      <c r="GD331" s="159"/>
      <c r="GE331" s="159"/>
      <c r="GF331" s="159"/>
      <c r="GG331" s="159"/>
      <c r="GH331" s="159"/>
      <c r="GI331" s="159"/>
      <c r="GJ331" s="159"/>
      <c r="GK331" s="159"/>
      <c r="GL331" s="159"/>
      <c r="GM331" s="159"/>
      <c r="GN331" s="159"/>
      <c r="GO331" s="159"/>
      <c r="GP331" s="159"/>
      <c r="GQ331" s="159"/>
      <c r="GR331" s="159"/>
      <c r="GS331" s="159"/>
      <c r="GT331" s="159"/>
      <c r="GU331" s="159"/>
      <c r="GV331" s="159"/>
      <c r="GW331" s="159"/>
      <c r="GX331" s="159"/>
      <c r="GY331" s="159"/>
      <c r="GZ331" s="159"/>
      <c r="HA331" s="159"/>
      <c r="HB331" s="159"/>
      <c r="HC331" s="159"/>
      <c r="HD331" s="159"/>
      <c r="HE331" s="159"/>
      <c r="HF331" s="159"/>
      <c r="HG331" s="159"/>
      <c r="HH331" s="159"/>
      <c r="HI331" s="159"/>
      <c r="HJ331" s="159"/>
      <c r="HK331" s="159"/>
      <c r="HL331" s="159"/>
      <c r="HM331" s="159"/>
      <c r="HN331" s="159"/>
      <c r="HO331" s="159"/>
      <c r="HP331" s="159"/>
      <c r="HQ331" s="159"/>
      <c r="HR331" s="159"/>
      <c r="HS331" s="159"/>
      <c r="HT331" s="159"/>
      <c r="HU331" s="159"/>
      <c r="HV331" s="159"/>
      <c r="HW331" s="159"/>
      <c r="HX331" s="159"/>
      <c r="HY331" s="159"/>
      <c r="HZ331" s="159"/>
      <c r="IA331" s="159"/>
      <c r="IB331" s="159"/>
      <c r="IC331" s="159"/>
      <c r="ID331" s="159"/>
      <c r="IE331" s="159"/>
      <c r="IF331" s="159"/>
      <c r="IG331" s="159"/>
      <c r="IH331" s="159"/>
      <c r="II331" s="159"/>
      <c r="IJ331" s="159"/>
      <c r="IK331" s="159"/>
      <c r="IL331" s="159"/>
      <c r="IM331" s="159"/>
      <c r="IN331" s="159"/>
      <c r="IO331" s="159"/>
      <c r="IP331" s="159"/>
      <c r="IQ331" s="159"/>
      <c r="IR331" s="159"/>
      <c r="IS331" s="159"/>
      <c r="IT331" s="159"/>
      <c r="IU331" s="159"/>
      <c r="IV331" s="159"/>
      <c r="IW331" s="159"/>
      <c r="IX331" s="159"/>
      <c r="IY331" s="159"/>
      <c r="IZ331" s="159"/>
      <c r="JA331" s="159"/>
      <c r="JB331" s="159"/>
      <c r="JC331" s="159"/>
      <c r="JD331" s="159"/>
      <c r="JE331" s="159"/>
    </row>
    <row r="332" spans="1:265" s="16" customFormat="1" ht="12">
      <c r="A332" s="16" t="s">
        <v>1051</v>
      </c>
      <c r="B332" s="17" t="s">
        <v>1052</v>
      </c>
      <c r="C332" s="18" t="s">
        <v>795</v>
      </c>
      <c r="D332" s="18" t="s">
        <v>310</v>
      </c>
      <c r="E332" s="16" t="s">
        <v>311</v>
      </c>
      <c r="G332" s="16" t="s">
        <v>414</v>
      </c>
      <c r="H332" s="16" t="s">
        <v>982</v>
      </c>
      <c r="J332" s="16">
        <v>0</v>
      </c>
      <c r="K332" s="16">
        <v>500</v>
      </c>
      <c r="L332" s="16" t="s">
        <v>38</v>
      </c>
      <c r="M332" s="16" t="s">
        <v>11</v>
      </c>
      <c r="N332" s="16" t="s">
        <v>1053</v>
      </c>
      <c r="O332" s="16" t="s">
        <v>797</v>
      </c>
      <c r="P332" s="16">
        <v>291</v>
      </c>
      <c r="Q332" s="29" t="s">
        <v>1054</v>
      </c>
      <c r="R332" s="89">
        <v>0</v>
      </c>
      <c r="S332" s="89">
        <f>100 - R332 - U332 - T332</f>
        <v>100</v>
      </c>
      <c r="T332" s="89">
        <v>0</v>
      </c>
      <c r="U332" s="90">
        <v>0</v>
      </c>
      <c r="V332" s="89">
        <v>0</v>
      </c>
      <c r="W332" s="90">
        <f>IF($R332 &gt; 0, 100 - $V332, 0)</f>
        <v>0</v>
      </c>
      <c r="X332" s="79">
        <f>INDEX(Chemical_analyses!$A:$L, MATCH($P332, Chemical_analyses!$A:$A), 9)/$AI$1/(INDEX(Chemical_analyses!$A:$L, MATCH($P332, Chemical_analyses!$A:$A), 9)/$AI$1+INDEX(Chemical_analyses!$A:$L, MATCH($P332, Chemical_analyses!$A:$A), 11)/$AJ$1+INDEX(Chemical_analyses!$A:$L, MATCH($P332, Chemical_analyses!$A:$A), 12)/$AK$1)*100</f>
        <v>43.365690943334897</v>
      </c>
      <c r="Y332" s="79">
        <f>IF($S332 &gt; 0, 100 - $X332 - $Z332, 0)</f>
        <v>54.111137606517147</v>
      </c>
      <c r="Z332" s="73">
        <f>INDEX(Chemical_analyses!$A:$L, MATCH($P332, Chemical_analyses!$A:$A), 12)/$AK$1/(INDEX(Chemical_analyses!$A:$L, MATCH($P332, Chemical_analyses!$A:$A), 9)/$AI$1+INDEX(Chemical_analyses!$A:$L, MATCH($P332, Chemical_analyses!$A:$A), 11)/$AJ$1+INDEX(Chemical_analyses!$A:$L, MATCH($P332, Chemical_analyses!$A:$A), 12)/$AK$1)*100</f>
        <v>2.5231714501479581</v>
      </c>
      <c r="AA332" s="79">
        <v>0</v>
      </c>
      <c r="AB332" s="79">
        <f>IF($T332 &gt; 0, 100 - $AA332 - $AC332, 0)</f>
        <v>0</v>
      </c>
      <c r="AC332" s="73">
        <v>0</v>
      </c>
      <c r="AD332" s="79">
        <v>0</v>
      </c>
      <c r="AE332" s="79">
        <f>IF($U332 &gt; 0, 100 - $AD332 - $AF332, 0)</f>
        <v>0</v>
      </c>
      <c r="AF332" s="73">
        <v>0</v>
      </c>
      <c r="AG332" s="16" t="s">
        <v>43</v>
      </c>
      <c r="AH332" s="22" t="str">
        <f>_xlfn.CONCAT("FeO: ", INDEX(Chemical_analyses!$A:$M, MATCH($P332, Chemical_analyses!$A:$A), 9), ", MgO: ", INDEX(Chemical_analyses!$A:$M, MATCH($P332, Chemical_analyses!$A:$A), 11), ", CaO: ", INDEX(Chemical_analyses!$A:$M, MATCH($P332, Chemical_analyses!$A:$A), 12), ", MnO: ", INDEX(Chemical_analyses!$A:$M, MATCH($P332, Chemical_analyses!$A:$A), 10), ", NaO2: ", INDEX(Chemical_analyses!$A:$M, MATCH($P332, Chemical_analyses!$A:$A), 13), ", Fe2O3: ", INDEX(Chemical_analyses!$A:$M, MATCH($P332, Chemical_analyses!$A:$A), 8), ", Al2O3: ", INDEX(Chemical_analyses!$A:$M, MATCH($P332, Chemical_analyses!$A:$A), 6))</f>
        <v>FeO: 22.9, MgO: 16.03, CaO: 1.04, MnO: 7.32, NaO2: 0, Fe2O3: 1.04, Al2O3: 1.82</v>
      </c>
      <c r="AN332" s="83"/>
      <c r="AO332" s="83"/>
      <c r="AP332" s="83"/>
      <c r="AQ332" s="83"/>
      <c r="AR332" s="83"/>
      <c r="AS332" s="83"/>
      <c r="AT332" s="83"/>
      <c r="AU332" s="83"/>
      <c r="AV332" s="159"/>
      <c r="AW332" s="159"/>
      <c r="AX332" s="159"/>
      <c r="AY332" s="159"/>
      <c r="AZ332" s="159"/>
      <c r="BA332" s="159"/>
      <c r="BB332" s="159"/>
      <c r="BC332" s="159"/>
      <c r="BD332" s="159"/>
      <c r="BE332" s="159"/>
      <c r="BF332" s="159"/>
      <c r="BG332" s="159"/>
      <c r="BH332" s="159"/>
      <c r="BI332" s="159"/>
      <c r="BJ332" s="159"/>
      <c r="BK332" s="159"/>
      <c r="BL332" s="159"/>
      <c r="BM332" s="159"/>
      <c r="BN332" s="159"/>
      <c r="BO332" s="159"/>
      <c r="BP332" s="159"/>
      <c r="BQ332" s="159"/>
      <c r="BR332" s="159"/>
      <c r="BS332" s="159"/>
      <c r="BT332" s="159"/>
      <c r="BU332" s="159"/>
      <c r="BV332" s="159"/>
      <c r="BW332" s="159"/>
      <c r="BX332" s="159"/>
      <c r="BY332" s="159"/>
      <c r="BZ332" s="159"/>
      <c r="CA332" s="159"/>
      <c r="CB332" s="159"/>
      <c r="CC332" s="159"/>
      <c r="CD332" s="159"/>
      <c r="CE332" s="159"/>
      <c r="CF332" s="159"/>
      <c r="CG332" s="159"/>
      <c r="CH332" s="159"/>
      <c r="CI332" s="159"/>
      <c r="CJ332" s="159"/>
      <c r="CK332" s="159"/>
      <c r="CL332" s="159"/>
      <c r="CM332" s="159"/>
      <c r="CN332" s="159"/>
      <c r="CO332" s="159"/>
      <c r="CP332" s="159"/>
      <c r="CQ332" s="159"/>
      <c r="CR332" s="159"/>
      <c r="CS332" s="159"/>
      <c r="CT332" s="159"/>
      <c r="CU332" s="159"/>
      <c r="CV332" s="159"/>
      <c r="CW332" s="159"/>
      <c r="CX332" s="159"/>
      <c r="CY332" s="159"/>
      <c r="CZ332" s="159"/>
      <c r="DA332" s="159"/>
      <c r="DB332" s="159"/>
      <c r="DC332" s="159"/>
      <c r="DD332" s="159"/>
      <c r="DE332" s="159"/>
      <c r="DF332" s="159"/>
      <c r="DG332" s="159"/>
      <c r="DH332" s="159"/>
      <c r="DI332" s="159"/>
      <c r="DJ332" s="159"/>
      <c r="DK332" s="159"/>
      <c r="DL332" s="159"/>
      <c r="DM332" s="159"/>
      <c r="DN332" s="159"/>
      <c r="DO332" s="159"/>
      <c r="DP332" s="159"/>
      <c r="DQ332" s="159"/>
      <c r="DR332" s="159"/>
      <c r="DS332" s="159"/>
      <c r="DT332" s="159"/>
      <c r="DU332" s="159"/>
      <c r="DV332" s="159"/>
      <c r="DW332" s="159"/>
      <c r="DX332" s="159"/>
      <c r="DY332" s="159"/>
      <c r="DZ332" s="159"/>
      <c r="EA332" s="159"/>
      <c r="EB332" s="159"/>
      <c r="EC332" s="159"/>
      <c r="ED332" s="159"/>
      <c r="EE332" s="159"/>
      <c r="EF332" s="159"/>
      <c r="EG332" s="159"/>
      <c r="EH332" s="159"/>
      <c r="EI332" s="159"/>
      <c r="EJ332" s="159"/>
      <c r="EK332" s="159"/>
      <c r="EL332" s="159"/>
      <c r="EM332" s="159"/>
      <c r="EN332" s="159"/>
      <c r="EO332" s="159"/>
      <c r="EP332" s="159"/>
      <c r="EQ332" s="159"/>
      <c r="ER332" s="159"/>
      <c r="ES332" s="159"/>
      <c r="ET332" s="159"/>
      <c r="EU332" s="159"/>
      <c r="EV332" s="159"/>
      <c r="EW332" s="159"/>
      <c r="EX332" s="159"/>
      <c r="EY332" s="159"/>
      <c r="EZ332" s="159"/>
      <c r="FA332" s="159"/>
      <c r="FB332" s="159"/>
      <c r="FC332" s="159"/>
      <c r="FD332" s="159"/>
      <c r="FE332" s="159"/>
      <c r="FF332" s="159"/>
      <c r="FG332" s="159"/>
      <c r="FH332" s="159"/>
      <c r="FI332" s="159"/>
      <c r="FJ332" s="159"/>
      <c r="FK332" s="159"/>
      <c r="FL332" s="159"/>
      <c r="FM332" s="159"/>
      <c r="FN332" s="159"/>
      <c r="FO332" s="159"/>
      <c r="FP332" s="159"/>
      <c r="FQ332" s="159"/>
      <c r="FR332" s="159"/>
      <c r="FS332" s="159"/>
      <c r="FT332" s="159"/>
      <c r="FU332" s="159"/>
      <c r="FV332" s="159"/>
      <c r="FW332" s="159"/>
      <c r="FX332" s="159"/>
      <c r="FY332" s="159"/>
      <c r="FZ332" s="159"/>
      <c r="GA332" s="159"/>
      <c r="GB332" s="159"/>
      <c r="GC332" s="159"/>
      <c r="GD332" s="159"/>
      <c r="GE332" s="159"/>
      <c r="GF332" s="159"/>
      <c r="GG332" s="159"/>
      <c r="GH332" s="159"/>
      <c r="GI332" s="159"/>
      <c r="GJ332" s="159"/>
      <c r="GK332" s="159"/>
      <c r="GL332" s="159"/>
      <c r="GM332" s="159"/>
      <c r="GN332" s="159"/>
      <c r="GO332" s="159"/>
      <c r="GP332" s="159"/>
      <c r="GQ332" s="159"/>
      <c r="GR332" s="159"/>
      <c r="GS332" s="159"/>
      <c r="GT332" s="159"/>
      <c r="GU332" s="159"/>
      <c r="GV332" s="159"/>
      <c r="GW332" s="159"/>
      <c r="GX332" s="159"/>
      <c r="GY332" s="159"/>
      <c r="GZ332" s="159"/>
      <c r="HA332" s="159"/>
      <c r="HB332" s="159"/>
      <c r="HC332" s="159"/>
      <c r="HD332" s="159"/>
      <c r="HE332" s="159"/>
      <c r="HF332" s="159"/>
      <c r="HG332" s="159"/>
      <c r="HH332" s="159"/>
      <c r="HI332" s="159"/>
      <c r="HJ332" s="159"/>
      <c r="HK332" s="159"/>
      <c r="HL332" s="159"/>
      <c r="HM332" s="159"/>
      <c r="HN332" s="159"/>
      <c r="HO332" s="159"/>
      <c r="HP332" s="159"/>
      <c r="HQ332" s="159"/>
      <c r="HR332" s="159"/>
      <c r="HS332" s="159"/>
      <c r="HT332" s="159"/>
      <c r="HU332" s="159"/>
      <c r="HV332" s="159"/>
      <c r="HW332" s="159"/>
      <c r="HX332" s="159"/>
      <c r="HY332" s="159"/>
      <c r="HZ332" s="159"/>
      <c r="IA332" s="159"/>
      <c r="IB332" s="159"/>
      <c r="IC332" s="159"/>
      <c r="ID332" s="159"/>
      <c r="IE332" s="159"/>
      <c r="IF332" s="159"/>
      <c r="IG332" s="159"/>
      <c r="IH332" s="159"/>
      <c r="II332" s="159"/>
      <c r="IJ332" s="159"/>
      <c r="IK332" s="159"/>
      <c r="IL332" s="159"/>
      <c r="IM332" s="159"/>
      <c r="IN332" s="159"/>
      <c r="IO332" s="159"/>
      <c r="IP332" s="159"/>
      <c r="IQ332" s="159"/>
      <c r="IR332" s="159"/>
      <c r="IS332" s="159"/>
      <c r="IT332" s="159"/>
      <c r="IU332" s="159"/>
      <c r="IV332" s="159"/>
      <c r="IW332" s="159"/>
      <c r="IX332" s="159"/>
      <c r="IY332" s="159"/>
      <c r="IZ332" s="159"/>
      <c r="JA332" s="159"/>
      <c r="JB332" s="159"/>
      <c r="JC332" s="159"/>
      <c r="JD332" s="159"/>
      <c r="JE332" s="159"/>
    </row>
    <row r="333" spans="1:265" s="16" customFormat="1" ht="12">
      <c r="A333" s="16" t="s">
        <v>1055</v>
      </c>
      <c r="B333" s="17" t="s">
        <v>1056</v>
      </c>
      <c r="C333" s="18" t="s">
        <v>795</v>
      </c>
      <c r="D333" s="18" t="s">
        <v>310</v>
      </c>
      <c r="E333" s="16" t="s">
        <v>311</v>
      </c>
      <c r="G333" s="16" t="s">
        <v>414</v>
      </c>
      <c r="H333" s="16" t="s">
        <v>982</v>
      </c>
      <c r="I333" s="16" t="s">
        <v>38</v>
      </c>
      <c r="J333" s="16">
        <v>0</v>
      </c>
      <c r="K333" s="16">
        <v>500</v>
      </c>
      <c r="L333" s="16" t="s">
        <v>38</v>
      </c>
      <c r="M333" s="16" t="s">
        <v>11</v>
      </c>
      <c r="N333" s="16" t="s">
        <v>1053</v>
      </c>
      <c r="O333" s="16" t="s">
        <v>797</v>
      </c>
      <c r="P333" s="16">
        <v>291</v>
      </c>
      <c r="Q333" s="29" t="s">
        <v>1057</v>
      </c>
      <c r="R333" s="89">
        <v>0</v>
      </c>
      <c r="S333" s="89">
        <f>100 - R333 - U333 - T333</f>
        <v>100</v>
      </c>
      <c r="T333" s="89">
        <v>0</v>
      </c>
      <c r="U333" s="90">
        <v>0</v>
      </c>
      <c r="V333" s="89">
        <v>0</v>
      </c>
      <c r="W333" s="90">
        <f>IF($R333 &gt; 0, 100 - $V333, 0)</f>
        <v>0</v>
      </c>
      <c r="X333" s="79">
        <f>INDEX(Chemical_analyses!$A:$L, MATCH($P333, Chemical_analyses!$A:$A), 9)/$AI$1/(INDEX(Chemical_analyses!$A:$L, MATCH($P333, Chemical_analyses!$A:$A), 9)/$AI$1+INDEX(Chemical_analyses!$A:$L, MATCH($P333, Chemical_analyses!$A:$A), 11)/$AJ$1+INDEX(Chemical_analyses!$A:$L, MATCH($P333, Chemical_analyses!$A:$A), 12)/$AK$1)*100</f>
        <v>43.365690943334897</v>
      </c>
      <c r="Y333" s="79">
        <f>IF($S333 &gt; 0, 100 - $X333 - $Z333, 0)</f>
        <v>54.111137606517147</v>
      </c>
      <c r="Z333" s="73">
        <f>INDEX(Chemical_analyses!$A:$L, MATCH($P333, Chemical_analyses!$A:$A), 12)/$AK$1/(INDEX(Chemical_analyses!$A:$L, MATCH($P333, Chemical_analyses!$A:$A), 9)/$AI$1+INDEX(Chemical_analyses!$A:$L, MATCH($P333, Chemical_analyses!$A:$A), 11)/$AJ$1+INDEX(Chemical_analyses!$A:$L, MATCH($P333, Chemical_analyses!$A:$A), 12)/$AK$1)*100</f>
        <v>2.5231714501479581</v>
      </c>
      <c r="AA333" s="89">
        <v>0</v>
      </c>
      <c r="AB333" s="79">
        <f>IF($T333 &gt; 0, 100 - $AA333 - $AC333, 0)</f>
        <v>0</v>
      </c>
      <c r="AC333" s="90">
        <v>0</v>
      </c>
      <c r="AD333" s="79">
        <v>0</v>
      </c>
      <c r="AE333" s="79">
        <f>IF($U333 &gt; 0, 100 - $AD333 - $AF333, 0)</f>
        <v>0</v>
      </c>
      <c r="AF333" s="90">
        <v>0</v>
      </c>
      <c r="AG333" s="16" t="s">
        <v>43</v>
      </c>
      <c r="AH333" s="22" t="str">
        <f>_xlfn.CONCAT("FeO: ", INDEX(Chemical_analyses!$A:$M, MATCH($P333, Chemical_analyses!$A:$A), 9), ", MgO: ", INDEX(Chemical_analyses!$A:$M, MATCH($P333, Chemical_analyses!$A:$A), 11), ", CaO: ", INDEX(Chemical_analyses!$A:$M, MATCH($P333, Chemical_analyses!$A:$A), 12), ", MnO: ", INDEX(Chemical_analyses!$A:$M, MATCH($P333, Chemical_analyses!$A:$A), 10), ", NaO2: ", INDEX(Chemical_analyses!$A:$M, MATCH($P333, Chemical_analyses!$A:$A), 13), ", Fe2O3: ", INDEX(Chemical_analyses!$A:$M, MATCH($P333, Chemical_analyses!$A:$A), 8), ", Al2O3: ", INDEX(Chemical_analyses!$A:$M, MATCH($P333, Chemical_analyses!$A:$A), 6))</f>
        <v>FeO: 22.9, MgO: 16.03, CaO: 1.04, MnO: 7.32, NaO2: 0, Fe2O3: 1.04, Al2O3: 1.82</v>
      </c>
      <c r="AN333" s="83"/>
      <c r="AO333" s="83"/>
      <c r="AP333" s="83"/>
      <c r="AQ333" s="83"/>
      <c r="AR333" s="83"/>
      <c r="AS333" s="83"/>
      <c r="AT333" s="83"/>
      <c r="AU333" s="83"/>
    </row>
    <row r="334" spans="1:265" s="16" customFormat="1" ht="12">
      <c r="A334" s="16" t="s">
        <v>1058</v>
      </c>
      <c r="B334" s="17" t="s">
        <v>1059</v>
      </c>
      <c r="C334" s="18" t="s">
        <v>795</v>
      </c>
      <c r="D334" s="18" t="s">
        <v>310</v>
      </c>
      <c r="E334" s="16" t="s">
        <v>311</v>
      </c>
      <c r="G334" s="16" t="s">
        <v>414</v>
      </c>
      <c r="H334" s="16" t="s">
        <v>982</v>
      </c>
      <c r="I334" s="16" t="s">
        <v>38</v>
      </c>
      <c r="J334" s="16">
        <v>0</v>
      </c>
      <c r="K334" s="16">
        <v>500</v>
      </c>
      <c r="L334" s="16" t="s">
        <v>38</v>
      </c>
      <c r="M334" s="16" t="s">
        <v>11</v>
      </c>
      <c r="N334" s="16" t="s">
        <v>1053</v>
      </c>
      <c r="O334" s="16" t="s">
        <v>797</v>
      </c>
      <c r="P334" s="16">
        <v>292</v>
      </c>
      <c r="Q334" s="29" t="s">
        <v>1060</v>
      </c>
      <c r="R334" s="89">
        <v>0</v>
      </c>
      <c r="S334" s="89">
        <f>100 - R334 - U334 - T334</f>
        <v>100</v>
      </c>
      <c r="T334" s="89">
        <v>0</v>
      </c>
      <c r="U334" s="90">
        <v>0</v>
      </c>
      <c r="V334" s="89">
        <v>0</v>
      </c>
      <c r="W334" s="90">
        <f>IF($R334 &gt; 0, 100 - $V334, 0)</f>
        <v>0</v>
      </c>
      <c r="X334" s="79">
        <f>INDEX(Chemical_analyses!$A:$L, MATCH($P334, Chemical_analyses!$A:$A), 9)/$AI$1/(INDEX(Chemical_analyses!$A:$L, MATCH($P334, Chemical_analyses!$A:$A), 9)/$AI$1+INDEX(Chemical_analyses!$A:$L, MATCH($P334, Chemical_analyses!$A:$A), 11)/$AJ$1+INDEX(Chemical_analyses!$A:$L, MATCH($P334, Chemical_analyses!$A:$A), 12)/$AK$1)*100</f>
        <v>35.736630846272163</v>
      </c>
      <c r="Y334" s="79">
        <f>IF($S334 &gt; 0, 100 - $X334 - $Z334, 0)</f>
        <v>62.515242696143041</v>
      </c>
      <c r="Z334" s="73">
        <f>INDEX(Chemical_analyses!$A:$L, MATCH($P334, Chemical_analyses!$A:$A), 12)/$AK$1/(INDEX(Chemical_analyses!$A:$L, MATCH($P334, Chemical_analyses!$A:$A), 9)/$AI$1+INDEX(Chemical_analyses!$A:$L, MATCH($P334, Chemical_analyses!$A:$A), 11)/$AJ$1+INDEX(Chemical_analyses!$A:$L, MATCH($P334, Chemical_analyses!$A:$A), 12)/$AK$1)*100</f>
        <v>1.7481264575847966</v>
      </c>
      <c r="AA334" s="79">
        <v>0</v>
      </c>
      <c r="AB334" s="79">
        <f>IF($T334 &gt; 0, 100 - $AA334 - $AC334, 0)</f>
        <v>0</v>
      </c>
      <c r="AC334" s="73">
        <v>0</v>
      </c>
      <c r="AD334" s="79">
        <v>0</v>
      </c>
      <c r="AE334" s="79">
        <f>IF($U334 &gt; 0, 100 - $AD334 - $AF334, 0)</f>
        <v>0</v>
      </c>
      <c r="AF334" s="73">
        <v>0</v>
      </c>
      <c r="AG334" s="16" t="s">
        <v>43</v>
      </c>
      <c r="AH334" s="22" t="str">
        <f>_xlfn.CONCAT("FeO: ", INDEX(Chemical_analyses!$A:$M, MATCH($P334, Chemical_analyses!$A:$A), 9), ", MgO: ", INDEX(Chemical_analyses!$A:$M, MATCH($P334, Chemical_analyses!$A:$A), 11), ", CaO: ", INDEX(Chemical_analyses!$A:$M, MATCH($P334, Chemical_analyses!$A:$A), 12), ", MnO: ", INDEX(Chemical_analyses!$A:$M, MATCH($P334, Chemical_analyses!$A:$A), 10), ", NaO2: ", INDEX(Chemical_analyses!$A:$M, MATCH($P334, Chemical_analyses!$A:$A), 13), ", Fe2O3: ", INDEX(Chemical_analyses!$A:$M, MATCH($P334, Chemical_analyses!$A:$A), 8), ", Al2O3: ", INDEX(Chemical_analyses!$A:$M, MATCH($P334, Chemical_analyses!$A:$A), 6))</f>
        <v>FeO: 22, MgO: 21.59, CaO: 0.84, MnO: 0.83, NaO2: 0, Fe2O3: 1.55, Al2O3: 1.3</v>
      </c>
      <c r="AN334" s="83"/>
      <c r="AO334" s="83"/>
      <c r="AP334" s="83"/>
      <c r="AQ334" s="83"/>
      <c r="AR334" s="83"/>
      <c r="AS334" s="83"/>
      <c r="AT334" s="83"/>
      <c r="AU334" s="83"/>
    </row>
    <row r="335" spans="1:265" s="16" customFormat="1" ht="12">
      <c r="A335" s="16" t="s">
        <v>1061</v>
      </c>
      <c r="B335" s="17" t="s">
        <v>982</v>
      </c>
      <c r="C335" s="18" t="s">
        <v>795</v>
      </c>
      <c r="D335" s="18" t="s">
        <v>413</v>
      </c>
      <c r="E335" s="16" t="s">
        <v>311</v>
      </c>
      <c r="G335" s="16" t="s">
        <v>1062</v>
      </c>
      <c r="H335" s="16" t="s">
        <v>1063</v>
      </c>
      <c r="J335" s="16">
        <v>0</v>
      </c>
      <c r="K335" s="16">
        <v>500</v>
      </c>
      <c r="L335" s="16" t="s">
        <v>38</v>
      </c>
      <c r="M335" s="16" t="s">
        <v>11</v>
      </c>
      <c r="N335" s="16" t="s">
        <v>523</v>
      </c>
      <c r="O335" s="16" t="s">
        <v>797</v>
      </c>
      <c r="P335" s="16">
        <v>0</v>
      </c>
      <c r="Q335" s="29" t="s">
        <v>1064</v>
      </c>
      <c r="R335" s="89">
        <v>0</v>
      </c>
      <c r="S335" s="89">
        <f>100 - R335 - U335 - T335</f>
        <v>100</v>
      </c>
      <c r="T335" s="89">
        <v>0</v>
      </c>
      <c r="U335" s="90">
        <v>0</v>
      </c>
      <c r="V335" s="89">
        <v>0</v>
      </c>
      <c r="W335" s="90">
        <f>IF($R335 &gt; 0, 100 - $V335, 0)</f>
        <v>0</v>
      </c>
      <c r="X335" s="79">
        <v>85</v>
      </c>
      <c r="Y335" s="79">
        <f>IF($S335 &gt; 0, 100 - $X335 - $Z335, 0)</f>
        <v>15</v>
      </c>
      <c r="Z335" s="73">
        <v>0</v>
      </c>
      <c r="AA335" s="89">
        <v>0</v>
      </c>
      <c r="AB335" s="79">
        <f>IF($T335 &gt; 0, 100 - $AA335 - $AC335, 0)</f>
        <v>0</v>
      </c>
      <c r="AC335" s="90">
        <v>0</v>
      </c>
      <c r="AD335" s="79">
        <v>0</v>
      </c>
      <c r="AE335" s="79">
        <f>IF($U335 &gt; 0, 100 - $AD335 - $AF335, 0)</f>
        <v>0</v>
      </c>
      <c r="AF335" s="90">
        <v>0</v>
      </c>
      <c r="AG335" s="16" t="s">
        <v>43</v>
      </c>
      <c r="AH335" s="16" t="s">
        <v>525</v>
      </c>
      <c r="AJ335" s="22"/>
      <c r="AN335" s="83"/>
      <c r="AO335" s="83"/>
      <c r="AP335" s="83"/>
      <c r="AQ335" s="83"/>
      <c r="AR335" s="83"/>
      <c r="AS335" s="83"/>
      <c r="AT335" s="83"/>
      <c r="AU335" s="83"/>
    </row>
    <row r="336" spans="1:265" s="16" customFormat="1" ht="12">
      <c r="A336" s="16" t="s">
        <v>1065</v>
      </c>
      <c r="B336" s="17" t="s">
        <v>1008</v>
      </c>
      <c r="C336" s="18" t="s">
        <v>737</v>
      </c>
      <c r="D336" s="18" t="s">
        <v>310</v>
      </c>
      <c r="E336" s="16" t="s">
        <v>311</v>
      </c>
      <c r="G336" s="16" t="s">
        <v>414</v>
      </c>
      <c r="H336" s="16" t="s">
        <v>557</v>
      </c>
      <c r="J336" s="16">
        <v>45</v>
      </c>
      <c r="K336" s="16">
        <v>90</v>
      </c>
      <c r="L336" s="16" t="s">
        <v>38</v>
      </c>
      <c r="M336" s="16" t="s">
        <v>11</v>
      </c>
      <c r="N336" s="16" t="s">
        <v>1066</v>
      </c>
      <c r="O336" s="16" t="s">
        <v>739</v>
      </c>
      <c r="P336" s="16">
        <v>13</v>
      </c>
      <c r="Q336" s="29" t="s">
        <v>1067</v>
      </c>
      <c r="R336" s="89">
        <v>0</v>
      </c>
      <c r="S336" s="89">
        <f>100 - R336 - U336 - T336</f>
        <v>100</v>
      </c>
      <c r="T336" s="89">
        <v>0</v>
      </c>
      <c r="U336" s="90">
        <v>0</v>
      </c>
      <c r="V336" s="89">
        <v>0</v>
      </c>
      <c r="W336" s="90">
        <f>IF($R336 &gt; 0, 100 - $V336, 0)</f>
        <v>0</v>
      </c>
      <c r="X336" s="79">
        <f>INDEX(Chemical_analyses!$A:$L, MATCH($P336, Chemical_analyses!$A:$A), 9)/$AI$1/(INDEX(Chemical_analyses!$A:$L, MATCH($P336, Chemical_analyses!$A:$A), 9)/$AI$1+INDEX(Chemical_analyses!$A:$L, MATCH($P336, Chemical_analyses!$A:$A), 11)/$AJ$1+INDEX(Chemical_analyses!$A:$L, MATCH($P336, Chemical_analyses!$A:$A), 12)/$AK$1)*100</f>
        <v>24.614840042257761</v>
      </c>
      <c r="Y336" s="79">
        <f>IF($S336 &gt; 0, 100 - $X336 - $Z336, 0)</f>
        <v>74.702573485617165</v>
      </c>
      <c r="Z336" s="73">
        <f>INDEX(Chemical_analyses!$A:$L, MATCH($P336, Chemical_analyses!$A:$A), 12)/$AK$1/(INDEX(Chemical_analyses!$A:$L, MATCH($P336, Chemical_analyses!$A:$A), 9)/$AI$1+INDEX(Chemical_analyses!$A:$L, MATCH($P336, Chemical_analyses!$A:$A), 11)/$AJ$1+INDEX(Chemical_analyses!$A:$L, MATCH($P336, Chemical_analyses!$A:$A), 12)/$AK$1)*100</f>
        <v>0.68258647212508639</v>
      </c>
      <c r="AA336" s="89">
        <v>0</v>
      </c>
      <c r="AB336" s="79">
        <f>IF($T336 &gt; 0, 100 - $AA336 - $AC336, 0)</f>
        <v>0</v>
      </c>
      <c r="AC336" s="90">
        <v>0</v>
      </c>
      <c r="AD336" s="79">
        <v>0</v>
      </c>
      <c r="AE336" s="79">
        <f>IF($U336 &gt; 0, 100 - $AD336 - $AF336, 0)</f>
        <v>0</v>
      </c>
      <c r="AF336" s="90">
        <v>0</v>
      </c>
      <c r="AG336" s="16" t="s">
        <v>43</v>
      </c>
      <c r="AH336" s="22" t="str">
        <f>_xlfn.CONCAT("FeO: ", INDEX(Chemical_analyses!$A:$M, MATCH($P336, Chemical_analyses!$A:$A), 9), ", MgO: ", INDEX(Chemical_analyses!$A:$M, MATCH($P336, Chemical_analyses!$A:$A), 11), ", CaO: ", INDEX(Chemical_analyses!$A:$M, MATCH($P336, Chemical_analyses!$A:$A), 12), ", MnO: ", INDEX(Chemical_analyses!$A:$M, MATCH($P336, Chemical_analyses!$A:$A), 10), ", NaO2: ", INDEX(Chemical_analyses!$A:$M, MATCH($P336, Chemical_analyses!$A:$A), 13), ", Fe2O3: ", INDEX(Chemical_analyses!$A:$M, MATCH($P336, Chemical_analyses!$A:$A), 8), ", Al2O3: ", INDEX(Chemical_analyses!$A:$M, MATCH($P336, Chemical_analyses!$A:$A), 6))</f>
        <v>FeO: 16.17, MgO: 27.53, CaO: 0.35, MnO: 0.44, NaO2: 0, Fe2O3: 1.02, Al2O3: 1.54</v>
      </c>
      <c r="AN336" s="83"/>
      <c r="AO336" s="83"/>
      <c r="AP336" s="83"/>
      <c r="AQ336" s="83"/>
      <c r="AR336" s="83"/>
      <c r="AS336" s="83"/>
      <c r="AT336" s="83"/>
      <c r="AU336" s="83"/>
    </row>
    <row r="337" spans="1:47" s="16" customFormat="1" ht="12">
      <c r="A337" s="16" t="s">
        <v>1068</v>
      </c>
      <c r="B337" s="17" t="s">
        <v>1069</v>
      </c>
      <c r="C337" s="18" t="s">
        <v>737</v>
      </c>
      <c r="D337" s="18" t="s">
        <v>310</v>
      </c>
      <c r="E337" s="16" t="s">
        <v>311</v>
      </c>
      <c r="G337" s="16" t="s">
        <v>414</v>
      </c>
      <c r="H337" s="16" t="s">
        <v>801</v>
      </c>
      <c r="J337" s="16">
        <v>45</v>
      </c>
      <c r="K337" s="16">
        <v>90</v>
      </c>
      <c r="L337" s="16" t="s">
        <v>38</v>
      </c>
      <c r="M337" s="16" t="s">
        <v>11</v>
      </c>
      <c r="N337" s="16" t="s">
        <v>1070</v>
      </c>
      <c r="O337" s="16" t="s">
        <v>739</v>
      </c>
      <c r="P337" s="16">
        <v>30</v>
      </c>
      <c r="Q337" s="29" t="s">
        <v>1071</v>
      </c>
      <c r="R337" s="89">
        <v>0</v>
      </c>
      <c r="S337" s="89">
        <f>100 - R337 - U337 - T337</f>
        <v>100</v>
      </c>
      <c r="T337" s="89">
        <v>0</v>
      </c>
      <c r="U337" s="90">
        <v>0</v>
      </c>
      <c r="V337" s="89">
        <v>0</v>
      </c>
      <c r="W337" s="90">
        <f>IF($R337 &gt; 0, 100 - $V337, 0)</f>
        <v>0</v>
      </c>
      <c r="X337" s="79">
        <f>INDEX(Chemical_analyses!$A:$L, MATCH($P337, Chemical_analyses!$A:$A), 9)/$AI$1/(INDEX(Chemical_analyses!$A:$L, MATCH($P337, Chemical_analyses!$A:$A), 9)/$AI$1+INDEX(Chemical_analyses!$A:$L, MATCH($P337, Chemical_analyses!$A:$A), 11)/$AJ$1+INDEX(Chemical_analyses!$A:$L, MATCH($P337, Chemical_analyses!$A:$A), 12)/$AK$1)*100</f>
        <v>41.486504334428943</v>
      </c>
      <c r="Y337" s="79">
        <f>IF($S337 &gt; 0, 100 - $X337 - $Z337, 0)</f>
        <v>54.94014648687488</v>
      </c>
      <c r="Z337" s="73">
        <f>INDEX(Chemical_analyses!$A:$L, MATCH($P337, Chemical_analyses!$A:$A), 12)/$AK$1/(INDEX(Chemical_analyses!$A:$L, MATCH($P337, Chemical_analyses!$A:$A), 9)/$AI$1+INDEX(Chemical_analyses!$A:$L, MATCH($P337, Chemical_analyses!$A:$A), 11)/$AJ$1+INDEX(Chemical_analyses!$A:$L, MATCH($P337, Chemical_analyses!$A:$A), 12)/$AK$1)*100</f>
        <v>3.5733491786961786</v>
      </c>
      <c r="AA337" s="89">
        <v>0</v>
      </c>
      <c r="AB337" s="79">
        <f>IF($T337 &gt; 0, 100 - $AA337 - $AC337, 0)</f>
        <v>0</v>
      </c>
      <c r="AC337" s="90">
        <v>0</v>
      </c>
      <c r="AD337" s="79">
        <v>0</v>
      </c>
      <c r="AE337" s="79">
        <f>IF($U337 &gt; 0, 100 - $AD337 - $AF337, 0)</f>
        <v>0</v>
      </c>
      <c r="AF337" s="90">
        <v>0</v>
      </c>
      <c r="AG337" s="16" t="s">
        <v>43</v>
      </c>
      <c r="AH337" s="22" t="str">
        <f>_xlfn.CONCAT("FeO: ", INDEX(Chemical_analyses!$A:$M, MATCH($P337, Chemical_analyses!$A:$A), 9), ", MgO: ", INDEX(Chemical_analyses!$A:$M, MATCH($P337, Chemical_analyses!$A:$A), 11), ", CaO: ", INDEX(Chemical_analyses!$A:$M, MATCH($P337, Chemical_analyses!$A:$A), 12), ", MnO: ", INDEX(Chemical_analyses!$A:$M, MATCH($P337, Chemical_analyses!$A:$A), 10), ", NaO2: ", INDEX(Chemical_analyses!$A:$M, MATCH($P337, Chemical_analyses!$A:$A), 13), ", Fe2O3: ", INDEX(Chemical_analyses!$A:$M, MATCH($P337, Chemical_analyses!$A:$A), 8), ", Al2O3: ", INDEX(Chemical_analyses!$A:$M, MATCH($P337, Chemical_analyses!$A:$A), 6))</f>
        <v>FeO: 23.65, MgO: 17.57, CaO: 1.59, MnO: 0.53, NaO2: 0, Fe2O3: 5.11, Al2O3: 1.24</v>
      </c>
      <c r="AN337" s="83"/>
      <c r="AO337" s="83"/>
      <c r="AP337" s="83"/>
      <c r="AQ337" s="83"/>
      <c r="AR337" s="83"/>
      <c r="AS337" s="83"/>
      <c r="AT337" s="83"/>
      <c r="AU337" s="83"/>
    </row>
    <row r="338" spans="1:47" s="24" customFormat="1" ht="12">
      <c r="A338" s="24" t="s">
        <v>1072</v>
      </c>
      <c r="B338" s="25" t="s">
        <v>1073</v>
      </c>
      <c r="C338" s="26" t="s">
        <v>79</v>
      </c>
      <c r="D338" s="26" t="s">
        <v>310</v>
      </c>
      <c r="E338" s="24" t="s">
        <v>311</v>
      </c>
      <c r="G338" s="24" t="s">
        <v>1074</v>
      </c>
      <c r="H338" s="24" t="s">
        <v>1075</v>
      </c>
      <c r="J338" s="24">
        <v>0</v>
      </c>
      <c r="K338" s="24">
        <v>45</v>
      </c>
      <c r="L338" s="24" t="s">
        <v>38</v>
      </c>
      <c r="M338" s="24" t="s">
        <v>39</v>
      </c>
      <c r="N338" s="24" t="s">
        <v>1076</v>
      </c>
      <c r="O338" s="24" t="s">
        <v>314</v>
      </c>
      <c r="P338" s="24">
        <v>634</v>
      </c>
      <c r="Q338" s="31" t="s">
        <v>315</v>
      </c>
      <c r="R338" s="74">
        <v>100</v>
      </c>
      <c r="S338" s="74">
        <f>100 - R338 - U338 - T338</f>
        <v>0</v>
      </c>
      <c r="T338" s="74">
        <v>0</v>
      </c>
      <c r="U338" s="93">
        <v>0</v>
      </c>
      <c r="V338" s="75">
        <f>INDEX(Chemical_analyses!$A:$L, MATCH($P338, Chemical_analyses!$A:$A), 9)/$AI$1/(INDEX(Chemical_analyses!$A:$L, MATCH($P338, Chemical_analyses!$A:$A), 9)/$AI$1+INDEX(Chemical_analyses!$A:$L, MATCH($P338, Chemical_analyses!$A:$A), 11)/$AJ$1)*100</f>
        <v>9.7804519475474958</v>
      </c>
      <c r="W338" s="93">
        <f>IF($R338 &gt; 0, 100 - $V338, 0)</f>
        <v>90.21954805245251</v>
      </c>
      <c r="X338" s="75">
        <v>0</v>
      </c>
      <c r="Y338" s="75">
        <f>IF($S338 &gt; 0, 100 - $X338 - $Z338, 0)</f>
        <v>0</v>
      </c>
      <c r="Z338" s="94">
        <v>0</v>
      </c>
      <c r="AA338" s="75">
        <v>0</v>
      </c>
      <c r="AB338" s="75">
        <f>IF($T338 &gt; 0, 100 - $AA338 - $AC338, 0)</f>
        <v>0</v>
      </c>
      <c r="AC338" s="94">
        <v>0</v>
      </c>
      <c r="AD338" s="75">
        <v>0</v>
      </c>
      <c r="AE338" s="75">
        <f>IF($U338 &gt; 0, 100 - $AD338 - $AF338, 0)</f>
        <v>0</v>
      </c>
      <c r="AF338" s="94">
        <v>0</v>
      </c>
      <c r="AG338" s="24" t="s">
        <v>43</v>
      </c>
      <c r="AH338" s="27" t="str">
        <f>_xlfn.CONCAT("FeO: ", INDEX(Chemical_analyses!$A:$M, MATCH($P338, Chemical_analyses!$A:$A), 9), ", MgO: ", INDEX(Chemical_analyses!$A:$M, MATCH($P338, Chemical_analyses!$A:$A), 11), ", CaO: ", INDEX(Chemical_analyses!$A:$M, MATCH($P338, Chemical_analyses!$A:$A), 12), ", MnO: ", INDEX(Chemical_analyses!$A:$M, MATCH($P338, Chemical_analyses!$A:$A), 10), ", NaO2: ", INDEX(Chemical_analyses!$A:$M, MATCH($P338, Chemical_analyses!$A:$A), 13), ", Fe2O3: ", INDEX(Chemical_analyses!$A:$M, MATCH($P338, Chemical_analyses!$A:$A), 8), ", Al2O3: ", INDEX(Chemical_analyses!$A:$M, MATCH($P338, Chemical_analyses!$A:$A), 6))</f>
        <v>FeO: 9.55, MgO: 49.42, CaO: 0.05, MnO: 0.14, NaO2: 0, Fe2O3: 0, Al2O3: 0</v>
      </c>
      <c r="AI338" s="27"/>
      <c r="AJ338" s="27"/>
      <c r="AN338" s="82"/>
      <c r="AO338" s="82"/>
      <c r="AP338" s="82"/>
      <c r="AQ338" s="82"/>
      <c r="AR338" s="82"/>
      <c r="AS338" s="82"/>
      <c r="AT338" s="82"/>
      <c r="AU338" s="82"/>
    </row>
    <row r="339" spans="1:47" s="24" customFormat="1" ht="12">
      <c r="A339" s="24" t="s">
        <v>1077</v>
      </c>
      <c r="B339" s="25" t="s">
        <v>1078</v>
      </c>
      <c r="C339" s="26" t="s">
        <v>129</v>
      </c>
      <c r="D339" s="26" t="s">
        <v>310</v>
      </c>
      <c r="E339" s="24" t="s">
        <v>311</v>
      </c>
      <c r="G339" s="24" t="s">
        <v>1074</v>
      </c>
      <c r="H339" s="24" t="s">
        <v>1079</v>
      </c>
      <c r="J339" s="24">
        <v>0</v>
      </c>
      <c r="K339" s="24">
        <v>75</v>
      </c>
      <c r="L339" s="24" t="s">
        <v>38</v>
      </c>
      <c r="M339" s="24" t="s">
        <v>11</v>
      </c>
      <c r="N339" s="24" t="s">
        <v>1080</v>
      </c>
      <c r="O339" s="24" t="s">
        <v>427</v>
      </c>
      <c r="P339" s="24">
        <v>0</v>
      </c>
      <c r="Q339" s="31" t="s">
        <v>1081</v>
      </c>
      <c r="R339" s="74">
        <v>100</v>
      </c>
      <c r="S339" s="74">
        <f>100 - R339 - U339 - T339</f>
        <v>0</v>
      </c>
      <c r="T339" s="74">
        <v>0</v>
      </c>
      <c r="U339" s="93">
        <v>0</v>
      </c>
      <c r="V339" s="74">
        <v>9.6</v>
      </c>
      <c r="W339" s="93">
        <f>IF($R339 &gt; 0, 100 - $V339, 0)</f>
        <v>90.4</v>
      </c>
      <c r="X339" s="75">
        <v>0</v>
      </c>
      <c r="Y339" s="75">
        <f>IF($S339 &gt; 0, 100 - $X339 - $Z339, 0)</f>
        <v>0</v>
      </c>
      <c r="Z339" s="94">
        <v>0</v>
      </c>
      <c r="AA339" s="75">
        <v>0</v>
      </c>
      <c r="AB339" s="75">
        <f>IF($T339 &gt; 0, 100 - $AA339 - $AC339, 0)</f>
        <v>0</v>
      </c>
      <c r="AC339" s="94">
        <v>0</v>
      </c>
      <c r="AD339" s="75">
        <v>0</v>
      </c>
      <c r="AE339" s="75">
        <f>IF($U339 &gt; 0, 100 - $AD339 - $AF339, 0)</f>
        <v>0</v>
      </c>
      <c r="AF339" s="94">
        <v>0</v>
      </c>
      <c r="AG339" s="24" t="s">
        <v>43</v>
      </c>
      <c r="AH339" s="24" t="s">
        <v>1082</v>
      </c>
      <c r="AI339" s="27"/>
      <c r="AJ339" s="27"/>
      <c r="AN339" s="82"/>
      <c r="AO339" s="82"/>
      <c r="AP339" s="82"/>
      <c r="AQ339" s="82"/>
      <c r="AR339" s="82"/>
      <c r="AS339" s="82"/>
      <c r="AT339" s="82"/>
      <c r="AU339" s="82"/>
    </row>
    <row r="340" spans="1:47" s="24" customFormat="1" ht="12">
      <c r="A340" s="24" t="s">
        <v>1083</v>
      </c>
      <c r="B340" s="25" t="s">
        <v>1084</v>
      </c>
      <c r="C340" s="26" t="s">
        <v>499</v>
      </c>
      <c r="D340" s="26" t="s">
        <v>413</v>
      </c>
      <c r="E340" s="24" t="s">
        <v>311</v>
      </c>
      <c r="G340" s="24" t="s">
        <v>1074</v>
      </c>
      <c r="H340" s="24" t="s">
        <v>1075</v>
      </c>
      <c r="J340" s="24">
        <v>0</v>
      </c>
      <c r="K340" s="24">
        <v>45</v>
      </c>
      <c r="L340" s="24" t="s">
        <v>38</v>
      </c>
      <c r="M340" s="24" t="s">
        <v>39</v>
      </c>
      <c r="N340" s="24" t="s">
        <v>523</v>
      </c>
      <c r="P340" s="24">
        <v>0</v>
      </c>
      <c r="Q340" s="31" t="s">
        <v>1085</v>
      </c>
      <c r="R340" s="74">
        <v>100</v>
      </c>
      <c r="S340" s="74">
        <f>100 - R340 - U340 - T340</f>
        <v>0</v>
      </c>
      <c r="T340" s="74">
        <v>0</v>
      </c>
      <c r="U340" s="93">
        <v>0</v>
      </c>
      <c r="V340" s="74">
        <v>10</v>
      </c>
      <c r="W340" s="93">
        <f>IF($R340 &gt; 0, 100 - $V340, 0)</f>
        <v>90</v>
      </c>
      <c r="X340" s="75">
        <v>0</v>
      </c>
      <c r="Y340" s="75">
        <f>IF($S340 &gt; 0, 100 - $X340 - $Z340, 0)</f>
        <v>0</v>
      </c>
      <c r="Z340" s="94">
        <v>0</v>
      </c>
      <c r="AA340" s="75">
        <v>0</v>
      </c>
      <c r="AB340" s="75">
        <f>IF($T340 &gt; 0, 100 - $AA340 - $AC340, 0)</f>
        <v>0</v>
      </c>
      <c r="AC340" s="94">
        <v>0</v>
      </c>
      <c r="AD340" s="75">
        <v>0</v>
      </c>
      <c r="AE340" s="75">
        <f>IF($U340 &gt; 0, 100 - $AD340 - $AF340, 0)</f>
        <v>0</v>
      </c>
      <c r="AF340" s="94">
        <v>0</v>
      </c>
      <c r="AG340" s="24" t="s">
        <v>43</v>
      </c>
      <c r="AH340" s="24" t="s">
        <v>525</v>
      </c>
      <c r="AI340" s="27"/>
      <c r="AJ340" s="27"/>
      <c r="AN340" s="82"/>
      <c r="AO340" s="82"/>
      <c r="AP340" s="82"/>
      <c r="AQ340" s="82"/>
      <c r="AR340" s="82"/>
      <c r="AS340" s="82"/>
      <c r="AT340" s="82"/>
      <c r="AU340" s="82"/>
    </row>
    <row r="341" spans="1:47" s="24" customFormat="1" ht="12">
      <c r="A341" s="24" t="s">
        <v>1086</v>
      </c>
      <c r="B341" s="25" t="s">
        <v>1087</v>
      </c>
      <c r="C341" s="26" t="s">
        <v>499</v>
      </c>
      <c r="D341" s="26" t="s">
        <v>413</v>
      </c>
      <c r="E341" s="24" t="s">
        <v>311</v>
      </c>
      <c r="G341" s="24" t="s">
        <v>1074</v>
      </c>
      <c r="H341" s="24" t="s">
        <v>1075</v>
      </c>
      <c r="J341" s="24">
        <v>0</v>
      </c>
      <c r="K341" s="24">
        <v>45</v>
      </c>
      <c r="L341" s="24" t="s">
        <v>38</v>
      </c>
      <c r="M341" s="24" t="s">
        <v>39</v>
      </c>
      <c r="N341" s="24" t="s">
        <v>523</v>
      </c>
      <c r="P341" s="24">
        <v>0</v>
      </c>
      <c r="Q341" s="31" t="s">
        <v>1085</v>
      </c>
      <c r="R341" s="74">
        <v>100</v>
      </c>
      <c r="S341" s="74">
        <f>100 - R341 - U341 - T341</f>
        <v>0</v>
      </c>
      <c r="T341" s="74">
        <v>0</v>
      </c>
      <c r="U341" s="93">
        <v>0</v>
      </c>
      <c r="V341" s="74">
        <v>20</v>
      </c>
      <c r="W341" s="93">
        <f>IF($R341 &gt; 0, 100 - $V341, 0)</f>
        <v>80</v>
      </c>
      <c r="X341" s="75">
        <v>0</v>
      </c>
      <c r="Y341" s="75">
        <f>IF($S341 &gt; 0, 100 - $X341 - $Z341, 0)</f>
        <v>0</v>
      </c>
      <c r="Z341" s="94">
        <v>0</v>
      </c>
      <c r="AA341" s="75">
        <v>0</v>
      </c>
      <c r="AB341" s="75">
        <f>IF($T341 &gt; 0, 100 - $AA341 - $AC341, 0)</f>
        <v>0</v>
      </c>
      <c r="AC341" s="94">
        <v>0</v>
      </c>
      <c r="AD341" s="75">
        <v>0</v>
      </c>
      <c r="AE341" s="75">
        <f>IF($U341 &gt; 0, 100 - $AD341 - $AF341, 0)</f>
        <v>0</v>
      </c>
      <c r="AF341" s="94">
        <v>0</v>
      </c>
      <c r="AG341" s="24" t="s">
        <v>43</v>
      </c>
      <c r="AH341" s="24" t="s">
        <v>525</v>
      </c>
      <c r="AI341" s="27"/>
      <c r="AJ341" s="27"/>
      <c r="AN341" s="82"/>
      <c r="AO341" s="82"/>
      <c r="AP341" s="82"/>
      <c r="AQ341" s="82"/>
      <c r="AR341" s="82"/>
      <c r="AS341" s="82"/>
      <c r="AT341" s="82"/>
      <c r="AU341" s="82"/>
    </row>
    <row r="342" spans="1:47" s="24" customFormat="1" ht="12">
      <c r="A342" s="24" t="s">
        <v>1088</v>
      </c>
      <c r="B342" s="25" t="s">
        <v>1089</v>
      </c>
      <c r="C342" s="26" t="s">
        <v>499</v>
      </c>
      <c r="D342" s="26" t="s">
        <v>413</v>
      </c>
      <c r="E342" s="24" t="s">
        <v>311</v>
      </c>
      <c r="G342" s="24" t="s">
        <v>1074</v>
      </c>
      <c r="H342" s="24" t="s">
        <v>1075</v>
      </c>
      <c r="J342" s="24">
        <v>0</v>
      </c>
      <c r="K342" s="24">
        <v>45</v>
      </c>
      <c r="L342" s="24" t="s">
        <v>38</v>
      </c>
      <c r="M342" s="24" t="s">
        <v>39</v>
      </c>
      <c r="N342" s="24" t="s">
        <v>523</v>
      </c>
      <c r="P342" s="24">
        <v>0</v>
      </c>
      <c r="Q342" s="31" t="s">
        <v>1085</v>
      </c>
      <c r="R342" s="74">
        <v>100</v>
      </c>
      <c r="S342" s="74">
        <f>100 - R342 - U342 - T342</f>
        <v>0</v>
      </c>
      <c r="T342" s="74">
        <v>0</v>
      </c>
      <c r="U342" s="93">
        <v>0</v>
      </c>
      <c r="V342" s="74">
        <v>30</v>
      </c>
      <c r="W342" s="93">
        <f>IF($R342 &gt; 0, 100 - $V342, 0)</f>
        <v>70</v>
      </c>
      <c r="X342" s="75">
        <v>0</v>
      </c>
      <c r="Y342" s="75">
        <f>IF($S342 &gt; 0, 100 - $X342 - $Z342, 0)</f>
        <v>0</v>
      </c>
      <c r="Z342" s="94">
        <v>0</v>
      </c>
      <c r="AA342" s="75">
        <v>0</v>
      </c>
      <c r="AB342" s="75">
        <f>IF($T342 &gt; 0, 100 - $AA342 - $AC342, 0)</f>
        <v>0</v>
      </c>
      <c r="AC342" s="94">
        <v>0</v>
      </c>
      <c r="AD342" s="75">
        <v>0</v>
      </c>
      <c r="AE342" s="75">
        <f>IF($U342 &gt; 0, 100 - $AD342 - $AF342, 0)</f>
        <v>0</v>
      </c>
      <c r="AF342" s="94">
        <v>0</v>
      </c>
      <c r="AG342" s="24" t="s">
        <v>43</v>
      </c>
      <c r="AH342" s="24" t="s">
        <v>525</v>
      </c>
      <c r="AI342" s="27"/>
      <c r="AJ342" s="27"/>
      <c r="AN342" s="82"/>
      <c r="AO342" s="82"/>
      <c r="AP342" s="82"/>
      <c r="AQ342" s="82"/>
      <c r="AR342" s="82"/>
      <c r="AS342" s="82"/>
      <c r="AT342" s="82"/>
      <c r="AU342" s="82"/>
    </row>
    <row r="343" spans="1:47" s="24" customFormat="1" ht="12">
      <c r="A343" s="24" t="s">
        <v>1090</v>
      </c>
      <c r="B343" s="25" t="s">
        <v>1091</v>
      </c>
      <c r="C343" s="26" t="s">
        <v>499</v>
      </c>
      <c r="D343" s="26" t="s">
        <v>413</v>
      </c>
      <c r="E343" s="24" t="s">
        <v>311</v>
      </c>
      <c r="G343" s="24" t="s">
        <v>1074</v>
      </c>
      <c r="H343" s="24" t="s">
        <v>1075</v>
      </c>
      <c r="J343" s="24">
        <v>0</v>
      </c>
      <c r="K343" s="24">
        <v>45</v>
      </c>
      <c r="L343" s="24" t="s">
        <v>38</v>
      </c>
      <c r="M343" s="24" t="s">
        <v>39</v>
      </c>
      <c r="N343" s="24" t="s">
        <v>523</v>
      </c>
      <c r="P343" s="24">
        <v>0</v>
      </c>
      <c r="Q343" s="31" t="s">
        <v>1085</v>
      </c>
      <c r="R343" s="74">
        <v>100</v>
      </c>
      <c r="S343" s="74">
        <f>100 - R343 - U343 - T343</f>
        <v>0</v>
      </c>
      <c r="T343" s="74">
        <v>0</v>
      </c>
      <c r="U343" s="93">
        <v>0</v>
      </c>
      <c r="V343" s="74">
        <v>40</v>
      </c>
      <c r="W343" s="93">
        <f>IF($R343 &gt; 0, 100 - $V343, 0)</f>
        <v>60</v>
      </c>
      <c r="X343" s="75">
        <v>0</v>
      </c>
      <c r="Y343" s="75">
        <f>IF($S343 &gt; 0, 100 - $X343 - $Z343, 0)</f>
        <v>0</v>
      </c>
      <c r="Z343" s="94">
        <v>0</v>
      </c>
      <c r="AA343" s="75">
        <v>0</v>
      </c>
      <c r="AB343" s="75">
        <f>IF($T343 &gt; 0, 100 - $AA343 - $AC343, 0)</f>
        <v>0</v>
      </c>
      <c r="AC343" s="94">
        <v>0</v>
      </c>
      <c r="AD343" s="75">
        <v>0</v>
      </c>
      <c r="AE343" s="75">
        <f>IF($U343 &gt; 0, 100 - $AD343 - $AF343, 0)</f>
        <v>0</v>
      </c>
      <c r="AF343" s="94">
        <v>0</v>
      </c>
      <c r="AG343" s="24" t="s">
        <v>43</v>
      </c>
      <c r="AH343" s="24" t="s">
        <v>525</v>
      </c>
      <c r="AI343" s="27"/>
      <c r="AJ343" s="27"/>
      <c r="AN343" s="82"/>
      <c r="AO343" s="82"/>
      <c r="AP343" s="82"/>
      <c r="AQ343" s="82"/>
      <c r="AR343" s="82"/>
      <c r="AS343" s="82"/>
      <c r="AT343" s="82"/>
      <c r="AU343" s="82"/>
    </row>
    <row r="344" spans="1:47" s="24" customFormat="1" ht="12">
      <c r="A344" s="24" t="s">
        <v>1092</v>
      </c>
      <c r="B344" s="25" t="s">
        <v>1093</v>
      </c>
      <c r="C344" s="26" t="s">
        <v>499</v>
      </c>
      <c r="D344" s="26" t="s">
        <v>413</v>
      </c>
      <c r="E344" s="24" t="s">
        <v>311</v>
      </c>
      <c r="G344" s="24" t="s">
        <v>1074</v>
      </c>
      <c r="H344" s="24" t="s">
        <v>1075</v>
      </c>
      <c r="J344" s="24">
        <v>0</v>
      </c>
      <c r="K344" s="24">
        <v>45</v>
      </c>
      <c r="L344" s="24" t="s">
        <v>38</v>
      </c>
      <c r="M344" s="24" t="s">
        <v>39</v>
      </c>
      <c r="N344" s="24" t="s">
        <v>523</v>
      </c>
      <c r="P344" s="24">
        <v>0</v>
      </c>
      <c r="Q344" s="31" t="s">
        <v>1085</v>
      </c>
      <c r="R344" s="74">
        <v>100</v>
      </c>
      <c r="S344" s="74">
        <f>100 - R344 - U344 - T344</f>
        <v>0</v>
      </c>
      <c r="T344" s="74">
        <v>0</v>
      </c>
      <c r="U344" s="93">
        <v>0</v>
      </c>
      <c r="V344" s="74">
        <v>50</v>
      </c>
      <c r="W344" s="93">
        <f>IF($R344 &gt; 0, 100 - $V344, 0)</f>
        <v>50</v>
      </c>
      <c r="X344" s="75">
        <v>0</v>
      </c>
      <c r="Y344" s="75">
        <f>IF($S344 &gt; 0, 100 - $X344 - $Z344, 0)</f>
        <v>0</v>
      </c>
      <c r="Z344" s="94">
        <v>0</v>
      </c>
      <c r="AA344" s="75">
        <v>0</v>
      </c>
      <c r="AB344" s="75">
        <f>IF($T344 &gt; 0, 100 - $AA344 - $AC344, 0)</f>
        <v>0</v>
      </c>
      <c r="AC344" s="94">
        <v>0</v>
      </c>
      <c r="AD344" s="75">
        <v>0</v>
      </c>
      <c r="AE344" s="75">
        <f>IF($U344 &gt; 0, 100 - $AD344 - $AF344, 0)</f>
        <v>0</v>
      </c>
      <c r="AF344" s="94">
        <v>0</v>
      </c>
      <c r="AG344" s="24" t="s">
        <v>43</v>
      </c>
      <c r="AH344" s="24" t="s">
        <v>525</v>
      </c>
      <c r="AI344" s="27"/>
      <c r="AJ344" s="27"/>
      <c r="AN344" s="82"/>
      <c r="AO344" s="82"/>
      <c r="AP344" s="82"/>
      <c r="AQ344" s="82"/>
      <c r="AR344" s="82"/>
      <c r="AS344" s="82"/>
      <c r="AT344" s="82"/>
      <c r="AU344" s="82"/>
    </row>
    <row r="345" spans="1:47" s="24" customFormat="1" ht="12">
      <c r="A345" s="24" t="s">
        <v>1094</v>
      </c>
      <c r="B345" s="25" t="s">
        <v>1095</v>
      </c>
      <c r="C345" s="26" t="s">
        <v>499</v>
      </c>
      <c r="D345" s="26" t="s">
        <v>413</v>
      </c>
      <c r="E345" s="24" t="s">
        <v>311</v>
      </c>
      <c r="G345" s="24" t="s">
        <v>1074</v>
      </c>
      <c r="H345" s="24" t="s">
        <v>1075</v>
      </c>
      <c r="J345" s="24">
        <v>0</v>
      </c>
      <c r="K345" s="24">
        <v>45</v>
      </c>
      <c r="L345" s="24" t="s">
        <v>38</v>
      </c>
      <c r="M345" s="24" t="s">
        <v>39</v>
      </c>
      <c r="N345" s="24" t="s">
        <v>523</v>
      </c>
      <c r="P345" s="24">
        <v>0</v>
      </c>
      <c r="Q345" s="31" t="s">
        <v>1085</v>
      </c>
      <c r="R345" s="74">
        <v>100</v>
      </c>
      <c r="S345" s="74">
        <f>100 - R345 - U345 - T345</f>
        <v>0</v>
      </c>
      <c r="T345" s="74">
        <v>0</v>
      </c>
      <c r="U345" s="93">
        <v>0</v>
      </c>
      <c r="V345" s="74">
        <v>60</v>
      </c>
      <c r="W345" s="93">
        <f>IF($R345 &gt; 0, 100 - $V345, 0)</f>
        <v>40</v>
      </c>
      <c r="X345" s="75">
        <v>0</v>
      </c>
      <c r="Y345" s="75">
        <f>IF($S345 &gt; 0, 100 - $X345 - $Z345, 0)</f>
        <v>0</v>
      </c>
      <c r="Z345" s="94">
        <v>0</v>
      </c>
      <c r="AA345" s="75">
        <v>0</v>
      </c>
      <c r="AB345" s="75">
        <f>IF($T345 &gt; 0, 100 - $AA345 - $AC345, 0)</f>
        <v>0</v>
      </c>
      <c r="AC345" s="94">
        <v>0</v>
      </c>
      <c r="AD345" s="75">
        <v>0</v>
      </c>
      <c r="AE345" s="75">
        <f>IF($U345 &gt; 0, 100 - $AD345 - $AF345, 0)</f>
        <v>0</v>
      </c>
      <c r="AF345" s="94">
        <v>0</v>
      </c>
      <c r="AG345" s="24" t="s">
        <v>43</v>
      </c>
      <c r="AH345" s="24" t="s">
        <v>525</v>
      </c>
      <c r="AI345" s="27"/>
      <c r="AJ345" s="27"/>
      <c r="AN345" s="82"/>
      <c r="AO345" s="82"/>
      <c r="AP345" s="82"/>
      <c r="AQ345" s="82"/>
      <c r="AR345" s="82"/>
      <c r="AS345" s="82"/>
      <c r="AT345" s="82"/>
      <c r="AU345" s="82"/>
    </row>
    <row r="346" spans="1:47" s="24" customFormat="1" ht="12">
      <c r="A346" s="24" t="s">
        <v>1096</v>
      </c>
      <c r="B346" s="25" t="s">
        <v>1097</v>
      </c>
      <c r="C346" s="26" t="s">
        <v>499</v>
      </c>
      <c r="D346" s="26" t="s">
        <v>413</v>
      </c>
      <c r="E346" s="24" t="s">
        <v>311</v>
      </c>
      <c r="G346" s="24" t="s">
        <v>1074</v>
      </c>
      <c r="H346" s="24" t="s">
        <v>1075</v>
      </c>
      <c r="J346" s="24">
        <v>0</v>
      </c>
      <c r="K346" s="24">
        <v>45</v>
      </c>
      <c r="L346" s="24" t="s">
        <v>38</v>
      </c>
      <c r="M346" s="24" t="s">
        <v>39</v>
      </c>
      <c r="N346" s="24" t="s">
        <v>523</v>
      </c>
      <c r="P346" s="24">
        <v>0</v>
      </c>
      <c r="Q346" s="31" t="s">
        <v>1085</v>
      </c>
      <c r="R346" s="74">
        <v>100</v>
      </c>
      <c r="S346" s="74">
        <f>100 - R346 - U346 - T346</f>
        <v>0</v>
      </c>
      <c r="T346" s="74">
        <v>0</v>
      </c>
      <c r="U346" s="93">
        <v>0</v>
      </c>
      <c r="V346" s="74">
        <v>70</v>
      </c>
      <c r="W346" s="93">
        <f>IF($R346 &gt; 0, 100 - $V346, 0)</f>
        <v>30</v>
      </c>
      <c r="X346" s="75">
        <v>0</v>
      </c>
      <c r="Y346" s="75">
        <f>IF($S346 &gt; 0, 100 - $X346 - $Z346, 0)</f>
        <v>0</v>
      </c>
      <c r="Z346" s="94">
        <v>0</v>
      </c>
      <c r="AA346" s="75">
        <v>0</v>
      </c>
      <c r="AB346" s="75">
        <f>IF($T346 &gt; 0, 100 - $AA346 - $AC346, 0)</f>
        <v>0</v>
      </c>
      <c r="AC346" s="94">
        <v>0</v>
      </c>
      <c r="AD346" s="75">
        <v>0</v>
      </c>
      <c r="AE346" s="75">
        <f>IF($U346 &gt; 0, 100 - $AD346 - $AF346, 0)</f>
        <v>0</v>
      </c>
      <c r="AF346" s="94">
        <v>0</v>
      </c>
      <c r="AG346" s="24" t="s">
        <v>43</v>
      </c>
      <c r="AH346" s="24" t="s">
        <v>525</v>
      </c>
      <c r="AI346" s="27"/>
      <c r="AJ346" s="27"/>
      <c r="AN346" s="82"/>
      <c r="AO346" s="82"/>
      <c r="AP346" s="82"/>
      <c r="AQ346" s="82"/>
      <c r="AR346" s="82"/>
      <c r="AS346" s="82"/>
      <c r="AT346" s="82"/>
      <c r="AU346" s="82"/>
    </row>
    <row r="347" spans="1:47" s="24" customFormat="1" ht="12">
      <c r="A347" s="24" t="s">
        <v>1098</v>
      </c>
      <c r="B347" s="25" t="s">
        <v>1099</v>
      </c>
      <c r="C347" s="26" t="s">
        <v>499</v>
      </c>
      <c r="D347" s="26" t="s">
        <v>413</v>
      </c>
      <c r="E347" s="24" t="s">
        <v>311</v>
      </c>
      <c r="G347" s="24" t="s">
        <v>1074</v>
      </c>
      <c r="H347" s="24" t="s">
        <v>1075</v>
      </c>
      <c r="J347" s="24">
        <v>0</v>
      </c>
      <c r="K347" s="24">
        <v>45</v>
      </c>
      <c r="L347" s="24" t="s">
        <v>38</v>
      </c>
      <c r="M347" s="24" t="s">
        <v>39</v>
      </c>
      <c r="N347" s="24" t="s">
        <v>523</v>
      </c>
      <c r="P347" s="24">
        <v>0</v>
      </c>
      <c r="Q347" s="31" t="s">
        <v>1085</v>
      </c>
      <c r="R347" s="74">
        <v>100</v>
      </c>
      <c r="S347" s="74">
        <f>100 - R347 - U347 - T347</f>
        <v>0</v>
      </c>
      <c r="T347" s="74">
        <v>0</v>
      </c>
      <c r="U347" s="93">
        <v>0</v>
      </c>
      <c r="V347" s="74">
        <v>80</v>
      </c>
      <c r="W347" s="93">
        <f>IF($R347 &gt; 0, 100 - $V347, 0)</f>
        <v>20</v>
      </c>
      <c r="X347" s="75">
        <v>0</v>
      </c>
      <c r="Y347" s="75">
        <f>IF($S347 &gt; 0, 100 - $X347 - $Z347, 0)</f>
        <v>0</v>
      </c>
      <c r="Z347" s="94">
        <v>0</v>
      </c>
      <c r="AA347" s="75">
        <v>0</v>
      </c>
      <c r="AB347" s="75">
        <f>IF($T347 &gt; 0, 100 - $AA347 - $AC347, 0)</f>
        <v>0</v>
      </c>
      <c r="AC347" s="94">
        <v>0</v>
      </c>
      <c r="AD347" s="75">
        <v>0</v>
      </c>
      <c r="AE347" s="75">
        <f>IF($U347 &gt; 0, 100 - $AD347 - $AF347, 0)</f>
        <v>0</v>
      </c>
      <c r="AF347" s="94">
        <v>0</v>
      </c>
      <c r="AG347" s="24" t="s">
        <v>43</v>
      </c>
      <c r="AH347" s="24" t="s">
        <v>525</v>
      </c>
      <c r="AI347" s="27"/>
      <c r="AJ347" s="27"/>
      <c r="AN347" s="82"/>
      <c r="AO347" s="82"/>
      <c r="AP347" s="82"/>
      <c r="AQ347" s="82"/>
      <c r="AR347" s="82"/>
      <c r="AS347" s="82"/>
      <c r="AT347" s="82"/>
      <c r="AU347" s="82"/>
    </row>
    <row r="348" spans="1:47" s="24" customFormat="1" ht="12">
      <c r="A348" s="24" t="s">
        <v>1100</v>
      </c>
      <c r="B348" s="25" t="s">
        <v>1101</v>
      </c>
      <c r="C348" s="26" t="s">
        <v>499</v>
      </c>
      <c r="D348" s="26" t="s">
        <v>413</v>
      </c>
      <c r="E348" s="24" t="s">
        <v>311</v>
      </c>
      <c r="G348" s="24" t="s">
        <v>1074</v>
      </c>
      <c r="H348" s="24" t="s">
        <v>1075</v>
      </c>
      <c r="J348" s="24">
        <v>0</v>
      </c>
      <c r="K348" s="24">
        <v>45</v>
      </c>
      <c r="L348" s="24" t="s">
        <v>38</v>
      </c>
      <c r="M348" s="24" t="s">
        <v>39</v>
      </c>
      <c r="N348" s="24" t="s">
        <v>523</v>
      </c>
      <c r="P348" s="24">
        <v>0</v>
      </c>
      <c r="Q348" s="31" t="s">
        <v>1085</v>
      </c>
      <c r="R348" s="74">
        <v>100</v>
      </c>
      <c r="S348" s="74">
        <f>100 - R348 - U348 - T348</f>
        <v>0</v>
      </c>
      <c r="T348" s="74">
        <v>0</v>
      </c>
      <c r="U348" s="93">
        <v>0</v>
      </c>
      <c r="V348" s="74">
        <v>90</v>
      </c>
      <c r="W348" s="93">
        <f>IF($R348 &gt; 0, 100 - $V348, 0)</f>
        <v>10</v>
      </c>
      <c r="X348" s="75">
        <v>0</v>
      </c>
      <c r="Y348" s="75">
        <f>IF($S348 &gt; 0, 100 - $X348 - $Z348, 0)</f>
        <v>0</v>
      </c>
      <c r="Z348" s="94">
        <v>0</v>
      </c>
      <c r="AA348" s="75">
        <v>0</v>
      </c>
      <c r="AB348" s="75">
        <f>IF($T348 &gt; 0, 100 - $AA348 - $AC348, 0)</f>
        <v>0</v>
      </c>
      <c r="AC348" s="94">
        <v>0</v>
      </c>
      <c r="AD348" s="75">
        <v>0</v>
      </c>
      <c r="AE348" s="75">
        <f>IF($U348 &gt; 0, 100 - $AD348 - $AF348, 0)</f>
        <v>0</v>
      </c>
      <c r="AF348" s="94">
        <v>0</v>
      </c>
      <c r="AG348" s="24" t="s">
        <v>43</v>
      </c>
      <c r="AH348" s="24" t="s">
        <v>525</v>
      </c>
      <c r="AI348" s="27"/>
      <c r="AJ348" s="27"/>
      <c r="AN348" s="82"/>
      <c r="AO348" s="82"/>
      <c r="AP348" s="82"/>
      <c r="AQ348" s="82"/>
      <c r="AR348" s="82"/>
      <c r="AS348" s="82"/>
      <c r="AT348" s="82"/>
      <c r="AU348" s="82"/>
    </row>
    <row r="349" spans="1:47" s="24" customFormat="1" ht="12">
      <c r="A349" s="24" t="s">
        <v>1102</v>
      </c>
      <c r="B349" s="25" t="s">
        <v>1103</v>
      </c>
      <c r="C349" s="26" t="s">
        <v>499</v>
      </c>
      <c r="D349" s="26" t="s">
        <v>310</v>
      </c>
      <c r="E349" s="24" t="s">
        <v>311</v>
      </c>
      <c r="G349" s="24" t="s">
        <v>1074</v>
      </c>
      <c r="H349" s="24" t="s">
        <v>1075</v>
      </c>
      <c r="J349" s="24">
        <v>0</v>
      </c>
      <c r="K349" s="24">
        <v>0</v>
      </c>
      <c r="L349" s="24" t="s">
        <v>38</v>
      </c>
      <c r="M349" s="24" t="s">
        <v>11</v>
      </c>
      <c r="N349" s="24" t="s">
        <v>1080</v>
      </c>
      <c r="P349" s="24">
        <v>0</v>
      </c>
      <c r="Q349" s="31" t="s">
        <v>1104</v>
      </c>
      <c r="R349" s="74">
        <v>100</v>
      </c>
      <c r="S349" s="74">
        <f>100 - R349 - U349 - T349</f>
        <v>0</v>
      </c>
      <c r="T349" s="74">
        <v>0</v>
      </c>
      <c r="U349" s="93">
        <v>0</v>
      </c>
      <c r="V349" s="74">
        <v>9.6</v>
      </c>
      <c r="W349" s="93">
        <f>IF($R349 &gt; 0, 100 - $V349, 0)</f>
        <v>90.4</v>
      </c>
      <c r="X349" s="75">
        <v>0</v>
      </c>
      <c r="Y349" s="75">
        <f>IF($S349 &gt; 0, 100 - $X349 - $Z349, 0)</f>
        <v>0</v>
      </c>
      <c r="Z349" s="94">
        <v>0</v>
      </c>
      <c r="AA349" s="75">
        <v>0</v>
      </c>
      <c r="AB349" s="75">
        <f>IF($T349 &gt; 0, 100 - $AA349 - $AC349, 0)</f>
        <v>0</v>
      </c>
      <c r="AC349" s="94">
        <v>0</v>
      </c>
      <c r="AD349" s="75">
        <v>0</v>
      </c>
      <c r="AE349" s="75">
        <f>IF($U349 &gt; 0, 100 - $AD349 - $AF349, 0)</f>
        <v>0</v>
      </c>
      <c r="AF349" s="94">
        <v>0</v>
      </c>
      <c r="AG349" s="24" t="s">
        <v>43</v>
      </c>
      <c r="AH349" s="24" t="s">
        <v>1082</v>
      </c>
      <c r="AI349" s="27"/>
      <c r="AJ349" s="27"/>
      <c r="AN349" s="82"/>
      <c r="AO349" s="82"/>
      <c r="AP349" s="82"/>
      <c r="AQ349" s="82"/>
      <c r="AR349" s="82"/>
      <c r="AS349" s="82"/>
      <c r="AT349" s="82"/>
      <c r="AU349" s="82"/>
    </row>
    <row r="350" spans="1:47" s="24" customFormat="1" ht="12">
      <c r="A350" s="24" t="s">
        <v>1105</v>
      </c>
      <c r="B350" s="25" t="s">
        <v>1106</v>
      </c>
      <c r="C350" s="26" t="s">
        <v>499</v>
      </c>
      <c r="D350" s="26" t="s">
        <v>413</v>
      </c>
      <c r="E350" s="24" t="s">
        <v>311</v>
      </c>
      <c r="G350" s="24" t="s">
        <v>1074</v>
      </c>
      <c r="H350" s="24" t="s">
        <v>1075</v>
      </c>
      <c r="J350" s="24">
        <v>0</v>
      </c>
      <c r="K350" s="24">
        <v>45</v>
      </c>
      <c r="L350" s="24" t="s">
        <v>38</v>
      </c>
      <c r="M350" s="24" t="s">
        <v>39</v>
      </c>
      <c r="N350" s="24" t="s">
        <v>523</v>
      </c>
      <c r="P350" s="24">
        <v>0</v>
      </c>
      <c r="Q350" s="31" t="s">
        <v>1107</v>
      </c>
      <c r="R350" s="74">
        <v>100</v>
      </c>
      <c r="S350" s="74">
        <f>100 - R350 - U350 - T350</f>
        <v>0</v>
      </c>
      <c r="T350" s="74">
        <v>0</v>
      </c>
      <c r="U350" s="93">
        <v>0</v>
      </c>
      <c r="V350" s="74">
        <v>20</v>
      </c>
      <c r="W350" s="93">
        <f>IF($R350 &gt; 0, 100 - $V350, 0)</f>
        <v>80</v>
      </c>
      <c r="X350" s="75">
        <v>0</v>
      </c>
      <c r="Y350" s="75">
        <f>IF($S350 &gt; 0, 100 - $X350 - $Z350, 0)</f>
        <v>0</v>
      </c>
      <c r="Z350" s="94">
        <v>0</v>
      </c>
      <c r="AA350" s="75">
        <v>0</v>
      </c>
      <c r="AB350" s="75">
        <f>IF($T350 &gt; 0, 100 - $AA350 - $AC350, 0)</f>
        <v>0</v>
      </c>
      <c r="AC350" s="94">
        <v>0</v>
      </c>
      <c r="AD350" s="75">
        <v>0</v>
      </c>
      <c r="AE350" s="75">
        <f>IF($U350 &gt; 0, 100 - $AD350 - $AF350, 0)</f>
        <v>0</v>
      </c>
      <c r="AF350" s="94">
        <v>0</v>
      </c>
      <c r="AG350" s="24" t="s">
        <v>43</v>
      </c>
      <c r="AH350" s="24" t="s">
        <v>525</v>
      </c>
      <c r="AI350" s="27"/>
      <c r="AJ350" s="27"/>
      <c r="AN350" s="82"/>
      <c r="AO350" s="82"/>
      <c r="AP350" s="82"/>
      <c r="AQ350" s="82"/>
      <c r="AR350" s="82"/>
      <c r="AS350" s="82"/>
      <c r="AT350" s="82"/>
      <c r="AU350" s="82"/>
    </row>
    <row r="351" spans="1:47" s="24" customFormat="1" ht="12">
      <c r="A351" s="24" t="s">
        <v>1108</v>
      </c>
      <c r="B351" s="81" t="s">
        <v>1109</v>
      </c>
      <c r="C351" s="26" t="s">
        <v>499</v>
      </c>
      <c r="D351" s="26" t="s">
        <v>413</v>
      </c>
      <c r="E351" s="24" t="s">
        <v>311</v>
      </c>
      <c r="G351" s="24" t="s">
        <v>1074</v>
      </c>
      <c r="H351" s="24" t="s">
        <v>1075</v>
      </c>
      <c r="J351" s="24">
        <v>0</v>
      </c>
      <c r="K351" s="24">
        <v>45</v>
      </c>
      <c r="L351" s="24" t="s">
        <v>38</v>
      </c>
      <c r="M351" s="24" t="s">
        <v>39</v>
      </c>
      <c r="N351" s="24" t="s">
        <v>523</v>
      </c>
      <c r="P351" s="24">
        <v>0</v>
      </c>
      <c r="Q351" s="31" t="s">
        <v>1107</v>
      </c>
      <c r="R351" s="74">
        <v>100</v>
      </c>
      <c r="S351" s="74">
        <f>100 - R351 - U351 - T351</f>
        <v>0</v>
      </c>
      <c r="T351" s="74">
        <v>0</v>
      </c>
      <c r="U351" s="93">
        <v>0</v>
      </c>
      <c r="V351" s="74">
        <v>25</v>
      </c>
      <c r="W351" s="93">
        <f>IF($R351 &gt; 0, 100 - $V351, 0)</f>
        <v>75</v>
      </c>
      <c r="X351" s="75">
        <v>0</v>
      </c>
      <c r="Y351" s="75">
        <f>IF($S351 &gt; 0, 100 - $X351 - $Z351, 0)</f>
        <v>0</v>
      </c>
      <c r="Z351" s="94">
        <v>0</v>
      </c>
      <c r="AA351" s="75">
        <v>0</v>
      </c>
      <c r="AB351" s="75">
        <f>IF($T351 &gt; 0, 100 - $AA351 - $AC351, 0)</f>
        <v>0</v>
      </c>
      <c r="AC351" s="94">
        <v>0</v>
      </c>
      <c r="AD351" s="75">
        <v>0</v>
      </c>
      <c r="AE351" s="75">
        <f>IF($U351 &gt; 0, 100 - $AD351 - $AF351, 0)</f>
        <v>0</v>
      </c>
      <c r="AF351" s="94">
        <v>0</v>
      </c>
      <c r="AG351" s="24" t="s">
        <v>43</v>
      </c>
      <c r="AH351" s="24" t="s">
        <v>525</v>
      </c>
      <c r="AI351" s="27"/>
      <c r="AJ351" s="27"/>
      <c r="AN351" s="82"/>
      <c r="AO351" s="82"/>
      <c r="AP351" s="82"/>
      <c r="AQ351" s="82"/>
      <c r="AR351" s="82"/>
      <c r="AS351" s="82"/>
      <c r="AT351" s="82"/>
      <c r="AU351" s="82"/>
    </row>
    <row r="352" spans="1:47" s="24" customFormat="1" ht="12">
      <c r="A352" s="24" t="s">
        <v>1110</v>
      </c>
      <c r="B352" s="25" t="s">
        <v>1111</v>
      </c>
      <c r="C352" s="26" t="s">
        <v>499</v>
      </c>
      <c r="D352" s="26" t="s">
        <v>413</v>
      </c>
      <c r="E352" s="24" t="s">
        <v>311</v>
      </c>
      <c r="G352" s="24" t="s">
        <v>1074</v>
      </c>
      <c r="H352" s="24" t="s">
        <v>1075</v>
      </c>
      <c r="J352" s="24">
        <v>0</v>
      </c>
      <c r="K352" s="24">
        <v>45</v>
      </c>
      <c r="L352" s="24" t="s">
        <v>38</v>
      </c>
      <c r="M352" s="24" t="s">
        <v>1112</v>
      </c>
      <c r="N352" s="24" t="s">
        <v>523</v>
      </c>
      <c r="P352" s="24">
        <v>0</v>
      </c>
      <c r="Q352" s="31" t="s">
        <v>1113</v>
      </c>
      <c r="R352" s="74">
        <v>100</v>
      </c>
      <c r="S352" s="74">
        <f>100 - R352 - U352 - T352</f>
        <v>0</v>
      </c>
      <c r="T352" s="74">
        <v>0</v>
      </c>
      <c r="U352" s="93">
        <v>0</v>
      </c>
      <c r="V352" s="74">
        <v>25</v>
      </c>
      <c r="W352" s="93">
        <f>IF($R352 &gt; 0, 100 - $V352, 0)</f>
        <v>75</v>
      </c>
      <c r="X352" s="75">
        <v>0</v>
      </c>
      <c r="Y352" s="75">
        <f>IF($S352 &gt; 0, 100 - $X352 - $Z352, 0)</f>
        <v>0</v>
      </c>
      <c r="Z352" s="94">
        <v>0</v>
      </c>
      <c r="AA352" s="75">
        <v>0</v>
      </c>
      <c r="AB352" s="75">
        <f>IF($T352 &gt; 0, 100 - $AA352 - $AC352, 0)</f>
        <v>0</v>
      </c>
      <c r="AC352" s="94">
        <v>0</v>
      </c>
      <c r="AD352" s="75">
        <v>0</v>
      </c>
      <c r="AE352" s="75">
        <f>IF($U352 &gt; 0, 100 - $AD352 - $AF352, 0)</f>
        <v>0</v>
      </c>
      <c r="AF352" s="94">
        <v>0</v>
      </c>
      <c r="AG352" s="24" t="s">
        <v>43</v>
      </c>
      <c r="AH352" s="24" t="s">
        <v>525</v>
      </c>
      <c r="AI352" s="27"/>
      <c r="AJ352" s="27"/>
      <c r="AN352" s="82"/>
      <c r="AO352" s="82"/>
      <c r="AP352" s="82"/>
      <c r="AQ352" s="82"/>
      <c r="AR352" s="82"/>
      <c r="AS352" s="82"/>
      <c r="AT352" s="82"/>
      <c r="AU352" s="82"/>
    </row>
    <row r="353" spans="1:47" s="24" customFormat="1" ht="12">
      <c r="A353" s="24" t="s">
        <v>1114</v>
      </c>
      <c r="B353" s="25" t="s">
        <v>1115</v>
      </c>
      <c r="C353" s="26" t="s">
        <v>499</v>
      </c>
      <c r="D353" s="26" t="s">
        <v>413</v>
      </c>
      <c r="E353" s="24" t="s">
        <v>311</v>
      </c>
      <c r="G353" s="24" t="s">
        <v>1074</v>
      </c>
      <c r="H353" s="24" t="s">
        <v>1075</v>
      </c>
      <c r="J353" s="24">
        <v>0</v>
      </c>
      <c r="K353" s="24">
        <v>45</v>
      </c>
      <c r="L353" s="24" t="s">
        <v>38</v>
      </c>
      <c r="M353" s="24" t="s">
        <v>39</v>
      </c>
      <c r="N353" s="24" t="s">
        <v>523</v>
      </c>
      <c r="P353" s="24">
        <v>0</v>
      </c>
      <c r="Q353" s="31" t="s">
        <v>1107</v>
      </c>
      <c r="R353" s="74">
        <v>100</v>
      </c>
      <c r="S353" s="74">
        <f>100 - R353 - U353 - T353</f>
        <v>0</v>
      </c>
      <c r="T353" s="74">
        <v>0</v>
      </c>
      <c r="U353" s="93">
        <v>0</v>
      </c>
      <c r="V353" s="74">
        <v>30</v>
      </c>
      <c r="W353" s="93">
        <f>IF($R353 &gt; 0, 100 - $V353, 0)</f>
        <v>70</v>
      </c>
      <c r="X353" s="75">
        <v>0</v>
      </c>
      <c r="Y353" s="75">
        <f>IF($S353 &gt; 0, 100 - $X353 - $Z353, 0)</f>
        <v>0</v>
      </c>
      <c r="Z353" s="94">
        <v>0</v>
      </c>
      <c r="AA353" s="75">
        <v>0</v>
      </c>
      <c r="AB353" s="75">
        <f>IF($T353 &gt; 0, 100 - $AA353 - $AC353, 0)</f>
        <v>0</v>
      </c>
      <c r="AC353" s="94">
        <v>0</v>
      </c>
      <c r="AD353" s="75">
        <v>0</v>
      </c>
      <c r="AE353" s="75">
        <f>IF($U353 &gt; 0, 100 - $AD353 - $AF353, 0)</f>
        <v>0</v>
      </c>
      <c r="AF353" s="94">
        <v>0</v>
      </c>
      <c r="AG353" s="24" t="s">
        <v>43</v>
      </c>
      <c r="AH353" s="24" t="s">
        <v>525</v>
      </c>
      <c r="AI353" s="27"/>
      <c r="AJ353" s="27"/>
      <c r="AN353" s="82"/>
      <c r="AO353" s="82"/>
      <c r="AP353" s="82"/>
      <c r="AQ353" s="82"/>
      <c r="AR353" s="82"/>
      <c r="AS353" s="82"/>
      <c r="AT353" s="82"/>
      <c r="AU353" s="82"/>
    </row>
    <row r="354" spans="1:47" s="24" customFormat="1" ht="12">
      <c r="A354" s="24" t="s">
        <v>1116</v>
      </c>
      <c r="B354" s="25" t="s">
        <v>1117</v>
      </c>
      <c r="C354" s="26" t="s">
        <v>499</v>
      </c>
      <c r="D354" s="26" t="s">
        <v>413</v>
      </c>
      <c r="E354" s="24" t="s">
        <v>311</v>
      </c>
      <c r="G354" s="24" t="s">
        <v>1074</v>
      </c>
      <c r="H354" s="24" t="s">
        <v>1075</v>
      </c>
      <c r="J354" s="24">
        <v>0</v>
      </c>
      <c r="K354" s="24">
        <v>45</v>
      </c>
      <c r="L354" s="24" t="s">
        <v>38</v>
      </c>
      <c r="M354" s="24" t="s">
        <v>1112</v>
      </c>
      <c r="N354" s="24" t="s">
        <v>523</v>
      </c>
      <c r="P354" s="24">
        <v>0</v>
      </c>
      <c r="Q354" s="31" t="s">
        <v>1113</v>
      </c>
      <c r="R354" s="74">
        <v>100</v>
      </c>
      <c r="S354" s="74">
        <f>100 - R354 - U354 - T354</f>
        <v>0</v>
      </c>
      <c r="T354" s="74">
        <v>0</v>
      </c>
      <c r="U354" s="93">
        <v>0</v>
      </c>
      <c r="V354" s="74">
        <v>30</v>
      </c>
      <c r="W354" s="93">
        <f>IF($R354 &gt; 0, 100 - $V354, 0)</f>
        <v>70</v>
      </c>
      <c r="X354" s="75">
        <v>0</v>
      </c>
      <c r="Y354" s="75">
        <f>IF($S354 &gt; 0, 100 - $X354 - $Z354, 0)</f>
        <v>0</v>
      </c>
      <c r="Z354" s="94">
        <v>0</v>
      </c>
      <c r="AA354" s="75">
        <v>0</v>
      </c>
      <c r="AB354" s="75">
        <f>IF($T354 &gt; 0, 100 - $AA354 - $AC354, 0)</f>
        <v>0</v>
      </c>
      <c r="AC354" s="94">
        <v>0</v>
      </c>
      <c r="AD354" s="75">
        <v>0</v>
      </c>
      <c r="AE354" s="75">
        <f>IF($U354 &gt; 0, 100 - $AD354 - $AF354, 0)</f>
        <v>0</v>
      </c>
      <c r="AF354" s="94">
        <v>0</v>
      </c>
      <c r="AG354" s="24" t="s">
        <v>43</v>
      </c>
      <c r="AH354" s="24" t="s">
        <v>525</v>
      </c>
      <c r="AI354" s="27"/>
      <c r="AJ354" s="27"/>
      <c r="AN354" s="82"/>
      <c r="AO354" s="82"/>
      <c r="AP354" s="82"/>
      <c r="AQ354" s="82"/>
      <c r="AR354" s="82"/>
      <c r="AS354" s="82"/>
      <c r="AT354" s="82"/>
      <c r="AU354" s="82"/>
    </row>
    <row r="355" spans="1:47" s="24" customFormat="1" ht="12">
      <c r="A355" s="24" t="s">
        <v>1118</v>
      </c>
      <c r="B355" s="25" t="s">
        <v>1119</v>
      </c>
      <c r="C355" s="26" t="s">
        <v>499</v>
      </c>
      <c r="D355" s="26" t="s">
        <v>413</v>
      </c>
      <c r="E355" s="24" t="s">
        <v>311</v>
      </c>
      <c r="G355" s="24" t="s">
        <v>1074</v>
      </c>
      <c r="H355" s="24" t="s">
        <v>1075</v>
      </c>
      <c r="J355" s="24">
        <v>0</v>
      </c>
      <c r="K355" s="24">
        <v>45</v>
      </c>
      <c r="L355" s="24" t="s">
        <v>38</v>
      </c>
      <c r="M355" s="24" t="s">
        <v>39</v>
      </c>
      <c r="N355" s="24" t="s">
        <v>523</v>
      </c>
      <c r="P355" s="24">
        <v>0</v>
      </c>
      <c r="Q355" s="31" t="s">
        <v>1107</v>
      </c>
      <c r="R355" s="74">
        <v>100</v>
      </c>
      <c r="S355" s="74">
        <f>100 - R355 - U355 - T355</f>
        <v>0</v>
      </c>
      <c r="T355" s="74">
        <v>0</v>
      </c>
      <c r="U355" s="93">
        <v>0</v>
      </c>
      <c r="V355" s="74">
        <v>35</v>
      </c>
      <c r="W355" s="93">
        <f>IF($R355 &gt; 0, 100 - $V355, 0)</f>
        <v>65</v>
      </c>
      <c r="X355" s="75">
        <v>0</v>
      </c>
      <c r="Y355" s="75">
        <f>IF($S355 &gt; 0, 100 - $X355 - $Z355, 0)</f>
        <v>0</v>
      </c>
      <c r="Z355" s="94">
        <v>0</v>
      </c>
      <c r="AA355" s="75">
        <v>0</v>
      </c>
      <c r="AB355" s="75">
        <f>IF($T355 &gt; 0, 100 - $AA355 - $AC355, 0)</f>
        <v>0</v>
      </c>
      <c r="AC355" s="94">
        <v>0</v>
      </c>
      <c r="AD355" s="75">
        <v>0</v>
      </c>
      <c r="AE355" s="75">
        <f>IF($U355 &gt; 0, 100 - $AD355 - $AF355, 0)</f>
        <v>0</v>
      </c>
      <c r="AF355" s="94">
        <v>0</v>
      </c>
      <c r="AG355" s="24" t="s">
        <v>43</v>
      </c>
      <c r="AH355" s="24" t="s">
        <v>525</v>
      </c>
      <c r="AI355" s="27"/>
      <c r="AJ355" s="27"/>
      <c r="AN355" s="82"/>
      <c r="AO355" s="82"/>
      <c r="AP355" s="82"/>
      <c r="AQ355" s="82"/>
      <c r="AR355" s="82"/>
      <c r="AS355" s="82"/>
      <c r="AT355" s="82"/>
      <c r="AU355" s="82"/>
    </row>
    <row r="356" spans="1:47" s="24" customFormat="1" ht="12">
      <c r="A356" s="24" t="s">
        <v>1120</v>
      </c>
      <c r="B356" s="25" t="s">
        <v>1121</v>
      </c>
      <c r="C356" s="26" t="s">
        <v>499</v>
      </c>
      <c r="D356" s="26" t="s">
        <v>413</v>
      </c>
      <c r="E356" s="24" t="s">
        <v>311</v>
      </c>
      <c r="G356" s="24" t="s">
        <v>1074</v>
      </c>
      <c r="H356" s="24" t="s">
        <v>1075</v>
      </c>
      <c r="J356" s="24">
        <v>0</v>
      </c>
      <c r="K356" s="24">
        <v>45</v>
      </c>
      <c r="L356" s="24" t="s">
        <v>38</v>
      </c>
      <c r="M356" s="24" t="s">
        <v>1112</v>
      </c>
      <c r="N356" s="24" t="s">
        <v>523</v>
      </c>
      <c r="P356" s="24">
        <v>0</v>
      </c>
      <c r="Q356" s="31" t="s">
        <v>1113</v>
      </c>
      <c r="R356" s="74">
        <v>100</v>
      </c>
      <c r="S356" s="74">
        <f>100 - R356 - U356 - T356</f>
        <v>0</v>
      </c>
      <c r="T356" s="74">
        <v>0</v>
      </c>
      <c r="U356" s="93">
        <v>0</v>
      </c>
      <c r="V356" s="74">
        <v>35</v>
      </c>
      <c r="W356" s="93">
        <f>IF($R356 &gt; 0, 100 - $V356, 0)</f>
        <v>65</v>
      </c>
      <c r="X356" s="75">
        <v>0</v>
      </c>
      <c r="Y356" s="75">
        <f>IF($S356 &gt; 0, 100 - $X356 - $Z356, 0)</f>
        <v>0</v>
      </c>
      <c r="Z356" s="94">
        <v>0</v>
      </c>
      <c r="AA356" s="75">
        <v>0</v>
      </c>
      <c r="AB356" s="75">
        <f>IF($T356 &gt; 0, 100 - $AA356 - $AC356, 0)</f>
        <v>0</v>
      </c>
      <c r="AC356" s="94">
        <v>0</v>
      </c>
      <c r="AD356" s="75">
        <v>0</v>
      </c>
      <c r="AE356" s="75">
        <f>IF($U356 &gt; 0, 100 - $AD356 - $AF356, 0)</f>
        <v>0</v>
      </c>
      <c r="AF356" s="94">
        <v>0</v>
      </c>
      <c r="AG356" s="24" t="s">
        <v>43</v>
      </c>
      <c r="AH356" s="24" t="s">
        <v>525</v>
      </c>
      <c r="AI356" s="27"/>
      <c r="AJ356" s="27"/>
      <c r="AN356" s="82"/>
      <c r="AO356" s="82"/>
      <c r="AP356" s="82"/>
      <c r="AQ356" s="82"/>
      <c r="AR356" s="82"/>
      <c r="AS356" s="82"/>
      <c r="AT356" s="82"/>
      <c r="AU356" s="82"/>
    </row>
    <row r="357" spans="1:47" s="24" customFormat="1" ht="12">
      <c r="A357" s="24" t="s">
        <v>1122</v>
      </c>
      <c r="B357" s="25" t="s">
        <v>1123</v>
      </c>
      <c r="C357" s="26" t="s">
        <v>499</v>
      </c>
      <c r="D357" s="26" t="s">
        <v>413</v>
      </c>
      <c r="E357" s="24" t="s">
        <v>311</v>
      </c>
      <c r="G357" s="24" t="s">
        <v>1074</v>
      </c>
      <c r="H357" s="24" t="s">
        <v>1075</v>
      </c>
      <c r="J357" s="24">
        <v>0</v>
      </c>
      <c r="K357" s="24">
        <v>45</v>
      </c>
      <c r="L357" s="24" t="s">
        <v>38</v>
      </c>
      <c r="M357" s="24" t="s">
        <v>39</v>
      </c>
      <c r="N357" s="24" t="s">
        <v>523</v>
      </c>
      <c r="P357" s="24">
        <v>0</v>
      </c>
      <c r="Q357" s="31" t="s">
        <v>1107</v>
      </c>
      <c r="R357" s="74">
        <v>100</v>
      </c>
      <c r="S357" s="74">
        <f>100 - R357 - U357 - T357</f>
        <v>0</v>
      </c>
      <c r="T357" s="74">
        <v>0</v>
      </c>
      <c r="U357" s="93">
        <v>0</v>
      </c>
      <c r="V357" s="74">
        <v>40</v>
      </c>
      <c r="W357" s="93">
        <f>IF($R357 &gt; 0, 100 - $V357, 0)</f>
        <v>60</v>
      </c>
      <c r="X357" s="75">
        <v>0</v>
      </c>
      <c r="Y357" s="75">
        <f>IF($S357 &gt; 0, 100 - $X357 - $Z357, 0)</f>
        <v>0</v>
      </c>
      <c r="Z357" s="94">
        <v>0</v>
      </c>
      <c r="AA357" s="75">
        <v>0</v>
      </c>
      <c r="AB357" s="75">
        <f>IF($T357 &gt; 0, 100 - $AA357 - $AC357, 0)</f>
        <v>0</v>
      </c>
      <c r="AC357" s="94">
        <v>0</v>
      </c>
      <c r="AD357" s="75">
        <v>0</v>
      </c>
      <c r="AE357" s="75">
        <f>IF($U357 &gt; 0, 100 - $AD357 - $AF357, 0)</f>
        <v>0</v>
      </c>
      <c r="AF357" s="94">
        <v>0</v>
      </c>
      <c r="AG357" s="24" t="s">
        <v>43</v>
      </c>
      <c r="AH357" s="24" t="s">
        <v>525</v>
      </c>
      <c r="AI357" s="27"/>
      <c r="AJ357" s="27"/>
      <c r="AN357" s="82"/>
      <c r="AO357" s="82"/>
      <c r="AP357" s="82"/>
      <c r="AQ357" s="82"/>
      <c r="AR357" s="82"/>
      <c r="AS357" s="82"/>
      <c r="AT357" s="82"/>
      <c r="AU357" s="82"/>
    </row>
    <row r="358" spans="1:47" s="24" customFormat="1" ht="12">
      <c r="A358" s="24" t="s">
        <v>1124</v>
      </c>
      <c r="B358" s="25" t="s">
        <v>1125</v>
      </c>
      <c r="C358" s="26" t="s">
        <v>499</v>
      </c>
      <c r="D358" s="26" t="s">
        <v>413</v>
      </c>
      <c r="E358" s="24" t="s">
        <v>311</v>
      </c>
      <c r="G358" s="24" t="s">
        <v>1074</v>
      </c>
      <c r="H358" s="24" t="s">
        <v>1075</v>
      </c>
      <c r="J358" s="24">
        <v>0</v>
      </c>
      <c r="K358" s="24">
        <v>45</v>
      </c>
      <c r="L358" s="24" t="s">
        <v>38</v>
      </c>
      <c r="M358" s="24" t="s">
        <v>39</v>
      </c>
      <c r="N358" s="24" t="s">
        <v>523</v>
      </c>
      <c r="P358" s="24">
        <v>0</v>
      </c>
      <c r="Q358" s="31" t="s">
        <v>1107</v>
      </c>
      <c r="R358" s="74">
        <v>100</v>
      </c>
      <c r="S358" s="74">
        <f>100 - R358 - U358 - T358</f>
        <v>0</v>
      </c>
      <c r="T358" s="74">
        <v>0</v>
      </c>
      <c r="U358" s="93">
        <v>0</v>
      </c>
      <c r="V358" s="74">
        <v>45</v>
      </c>
      <c r="W358" s="93">
        <f>IF($R358 &gt; 0, 100 - $V358, 0)</f>
        <v>55</v>
      </c>
      <c r="X358" s="75">
        <v>0</v>
      </c>
      <c r="Y358" s="75">
        <f>IF($S358 &gt; 0, 100 - $X358 - $Z358, 0)</f>
        <v>0</v>
      </c>
      <c r="Z358" s="94">
        <v>0</v>
      </c>
      <c r="AA358" s="75">
        <v>0</v>
      </c>
      <c r="AB358" s="75">
        <f>IF($T358 &gt; 0, 100 - $AA358 - $AC358, 0)</f>
        <v>0</v>
      </c>
      <c r="AC358" s="94">
        <v>0</v>
      </c>
      <c r="AD358" s="75">
        <v>0</v>
      </c>
      <c r="AE358" s="75">
        <f>IF($U358 &gt; 0, 100 - $AD358 - $AF358, 0)</f>
        <v>0</v>
      </c>
      <c r="AF358" s="94">
        <v>0</v>
      </c>
      <c r="AG358" s="24" t="s">
        <v>43</v>
      </c>
      <c r="AH358" s="24" t="s">
        <v>525</v>
      </c>
      <c r="AI358" s="27"/>
      <c r="AJ358" s="27"/>
      <c r="AN358" s="82"/>
      <c r="AO358" s="82"/>
      <c r="AP358" s="82"/>
      <c r="AQ358" s="82"/>
      <c r="AR358" s="82"/>
      <c r="AS358" s="82"/>
      <c r="AT358" s="82"/>
      <c r="AU358" s="82"/>
    </row>
    <row r="359" spans="1:47" s="24" customFormat="1" ht="12">
      <c r="A359" s="24" t="s">
        <v>1126</v>
      </c>
      <c r="B359" s="25" t="s">
        <v>1127</v>
      </c>
      <c r="C359" s="26" t="s">
        <v>499</v>
      </c>
      <c r="D359" s="26" t="s">
        <v>413</v>
      </c>
      <c r="E359" s="24" t="s">
        <v>311</v>
      </c>
      <c r="G359" s="24" t="s">
        <v>1074</v>
      </c>
      <c r="H359" s="24" t="s">
        <v>1075</v>
      </c>
      <c r="J359" s="24">
        <v>0</v>
      </c>
      <c r="K359" s="24">
        <v>45</v>
      </c>
      <c r="L359" s="24" t="s">
        <v>38</v>
      </c>
      <c r="M359" s="24" t="s">
        <v>1112</v>
      </c>
      <c r="N359" s="24" t="s">
        <v>523</v>
      </c>
      <c r="P359" s="24">
        <v>0</v>
      </c>
      <c r="Q359" s="31" t="s">
        <v>1113</v>
      </c>
      <c r="R359" s="74">
        <v>100</v>
      </c>
      <c r="S359" s="74">
        <f>100 - R359 - U359 - T359</f>
        <v>0</v>
      </c>
      <c r="T359" s="74">
        <v>0</v>
      </c>
      <c r="U359" s="93">
        <v>0</v>
      </c>
      <c r="V359" s="74">
        <v>45</v>
      </c>
      <c r="W359" s="93">
        <f>IF($R359 &gt; 0, 100 - $V359, 0)</f>
        <v>55</v>
      </c>
      <c r="X359" s="75">
        <v>0</v>
      </c>
      <c r="Y359" s="75">
        <f>IF($S359 &gt; 0, 100 - $X359 - $Z359, 0)</f>
        <v>0</v>
      </c>
      <c r="Z359" s="94">
        <v>0</v>
      </c>
      <c r="AA359" s="75">
        <v>0</v>
      </c>
      <c r="AB359" s="75">
        <f>IF($T359 &gt; 0, 100 - $AA359 - $AC359, 0)</f>
        <v>0</v>
      </c>
      <c r="AC359" s="94">
        <v>0</v>
      </c>
      <c r="AD359" s="75">
        <v>0</v>
      </c>
      <c r="AE359" s="75">
        <f>IF($U359 &gt; 0, 100 - $AD359 - $AF359, 0)</f>
        <v>0</v>
      </c>
      <c r="AF359" s="94">
        <v>0</v>
      </c>
      <c r="AG359" s="24" t="s">
        <v>43</v>
      </c>
      <c r="AH359" s="24" t="s">
        <v>525</v>
      </c>
      <c r="AI359" s="27"/>
      <c r="AJ359" s="27"/>
      <c r="AN359" s="82"/>
      <c r="AO359" s="82"/>
      <c r="AP359" s="82"/>
      <c r="AQ359" s="82"/>
      <c r="AR359" s="82"/>
      <c r="AS359" s="82"/>
      <c r="AT359" s="82"/>
      <c r="AU359" s="82"/>
    </row>
    <row r="360" spans="1:47" s="24" customFormat="1" ht="12">
      <c r="A360" s="24" t="s">
        <v>1128</v>
      </c>
      <c r="B360" s="25" t="s">
        <v>1129</v>
      </c>
      <c r="C360" s="26" t="s">
        <v>499</v>
      </c>
      <c r="D360" s="26" t="s">
        <v>413</v>
      </c>
      <c r="E360" s="24" t="s">
        <v>311</v>
      </c>
      <c r="G360" s="24" t="s">
        <v>1074</v>
      </c>
      <c r="H360" s="24" t="s">
        <v>1075</v>
      </c>
      <c r="J360" s="24">
        <v>0</v>
      </c>
      <c r="K360" s="24">
        <v>45</v>
      </c>
      <c r="L360" s="24" t="s">
        <v>38</v>
      </c>
      <c r="M360" s="24" t="s">
        <v>39</v>
      </c>
      <c r="N360" s="24" t="s">
        <v>523</v>
      </c>
      <c r="P360" s="24">
        <v>0</v>
      </c>
      <c r="Q360" s="31" t="s">
        <v>1107</v>
      </c>
      <c r="R360" s="74">
        <v>100</v>
      </c>
      <c r="S360" s="74">
        <f>100 - R360 - U360 - T360</f>
        <v>0</v>
      </c>
      <c r="T360" s="74">
        <v>0</v>
      </c>
      <c r="U360" s="93">
        <v>0</v>
      </c>
      <c r="V360" s="74">
        <v>50</v>
      </c>
      <c r="W360" s="93">
        <f>IF($R360 &gt; 0, 100 - $V360, 0)</f>
        <v>50</v>
      </c>
      <c r="X360" s="75">
        <v>0</v>
      </c>
      <c r="Y360" s="75">
        <f>IF($S360 &gt; 0, 100 - $X360 - $Z360, 0)</f>
        <v>0</v>
      </c>
      <c r="Z360" s="94">
        <v>0</v>
      </c>
      <c r="AA360" s="75">
        <v>0</v>
      </c>
      <c r="AB360" s="75">
        <f>IF($T360 &gt; 0, 100 - $AA360 - $AC360, 0)</f>
        <v>0</v>
      </c>
      <c r="AC360" s="94">
        <v>0</v>
      </c>
      <c r="AD360" s="75">
        <v>0</v>
      </c>
      <c r="AE360" s="75">
        <f>IF($U360 &gt; 0, 100 - $AD360 - $AF360, 0)</f>
        <v>0</v>
      </c>
      <c r="AF360" s="94">
        <v>0</v>
      </c>
      <c r="AG360" s="24" t="s">
        <v>43</v>
      </c>
      <c r="AH360" s="24" t="s">
        <v>525</v>
      </c>
      <c r="AI360" s="27"/>
      <c r="AJ360" s="27"/>
      <c r="AN360" s="82"/>
      <c r="AO360" s="82"/>
      <c r="AP360" s="82"/>
      <c r="AQ360" s="82"/>
      <c r="AR360" s="82"/>
      <c r="AS360" s="82"/>
      <c r="AT360" s="82"/>
      <c r="AU360" s="82"/>
    </row>
    <row r="361" spans="1:47" s="24" customFormat="1" ht="12">
      <c r="A361" s="24" t="s">
        <v>1130</v>
      </c>
      <c r="B361" s="25" t="s">
        <v>1131</v>
      </c>
      <c r="C361" s="26" t="s">
        <v>499</v>
      </c>
      <c r="D361" s="26" t="s">
        <v>413</v>
      </c>
      <c r="E361" s="24" t="s">
        <v>311</v>
      </c>
      <c r="G361" s="24" t="s">
        <v>1074</v>
      </c>
      <c r="H361" s="24" t="s">
        <v>1075</v>
      </c>
      <c r="J361" s="24">
        <v>0</v>
      </c>
      <c r="K361" s="24">
        <v>45</v>
      </c>
      <c r="L361" s="24" t="s">
        <v>38</v>
      </c>
      <c r="M361" s="24" t="s">
        <v>1112</v>
      </c>
      <c r="N361" s="24" t="s">
        <v>523</v>
      </c>
      <c r="P361" s="24">
        <v>0</v>
      </c>
      <c r="Q361" s="31" t="s">
        <v>1113</v>
      </c>
      <c r="R361" s="74">
        <v>100</v>
      </c>
      <c r="S361" s="74">
        <f>100 - R361 - U361 - T361</f>
        <v>0</v>
      </c>
      <c r="T361" s="74">
        <v>0</v>
      </c>
      <c r="U361" s="93">
        <v>0</v>
      </c>
      <c r="V361" s="74">
        <v>50</v>
      </c>
      <c r="W361" s="93">
        <f>IF($R361 &gt; 0, 100 - $V361, 0)</f>
        <v>50</v>
      </c>
      <c r="X361" s="75">
        <v>0</v>
      </c>
      <c r="Y361" s="75">
        <f>IF($S361 &gt; 0, 100 - $X361 - $Z361, 0)</f>
        <v>0</v>
      </c>
      <c r="Z361" s="94">
        <v>0</v>
      </c>
      <c r="AA361" s="75">
        <v>0</v>
      </c>
      <c r="AB361" s="75">
        <f>IF($T361 &gt; 0, 100 - $AA361 - $AC361, 0)</f>
        <v>0</v>
      </c>
      <c r="AC361" s="94">
        <v>0</v>
      </c>
      <c r="AD361" s="75">
        <v>0</v>
      </c>
      <c r="AE361" s="75">
        <f>IF($U361 &gt; 0, 100 - $AD361 - $AF361, 0)</f>
        <v>0</v>
      </c>
      <c r="AF361" s="94">
        <v>0</v>
      </c>
      <c r="AG361" s="24" t="s">
        <v>43</v>
      </c>
      <c r="AH361" s="24" t="s">
        <v>525</v>
      </c>
      <c r="AI361" s="27"/>
      <c r="AJ361" s="27"/>
      <c r="AN361" s="82"/>
      <c r="AO361" s="82"/>
      <c r="AP361" s="82"/>
      <c r="AQ361" s="82"/>
      <c r="AR361" s="82"/>
      <c r="AS361" s="82"/>
      <c r="AT361" s="82"/>
      <c r="AU361" s="82"/>
    </row>
    <row r="362" spans="1:47" s="24" customFormat="1" ht="12">
      <c r="A362" s="24" t="s">
        <v>1132</v>
      </c>
      <c r="B362" s="25" t="s">
        <v>1133</v>
      </c>
      <c r="C362" s="26" t="s">
        <v>499</v>
      </c>
      <c r="D362" s="26" t="s">
        <v>413</v>
      </c>
      <c r="E362" s="24" t="s">
        <v>311</v>
      </c>
      <c r="G362" s="24" t="s">
        <v>1074</v>
      </c>
      <c r="H362" s="24" t="s">
        <v>1075</v>
      </c>
      <c r="J362" s="24">
        <v>0</v>
      </c>
      <c r="K362" s="24">
        <v>45</v>
      </c>
      <c r="L362" s="24" t="s">
        <v>38</v>
      </c>
      <c r="M362" s="24" t="s">
        <v>39</v>
      </c>
      <c r="N362" s="24" t="s">
        <v>523</v>
      </c>
      <c r="P362" s="24">
        <v>0</v>
      </c>
      <c r="Q362" s="31" t="s">
        <v>1107</v>
      </c>
      <c r="R362" s="74">
        <v>100</v>
      </c>
      <c r="S362" s="74">
        <f>100 - R362 - U362 - T362</f>
        <v>0</v>
      </c>
      <c r="T362" s="74">
        <v>0</v>
      </c>
      <c r="U362" s="74">
        <v>0</v>
      </c>
      <c r="V362" s="74">
        <v>60</v>
      </c>
      <c r="W362" s="93">
        <f>IF($R362 &gt; 0, 100 - $V362, 0)</f>
        <v>40</v>
      </c>
      <c r="X362" s="75">
        <v>0</v>
      </c>
      <c r="Y362" s="75">
        <f>IF($S362 &gt; 0, 100 - $X362 - $Z362, 0)</f>
        <v>0</v>
      </c>
      <c r="Z362" s="94">
        <v>0</v>
      </c>
      <c r="AA362" s="75">
        <v>0</v>
      </c>
      <c r="AB362" s="75">
        <f>IF($T362 &gt; 0, 100 - $AA362 - $AC362, 0)</f>
        <v>0</v>
      </c>
      <c r="AC362" s="94">
        <v>0</v>
      </c>
      <c r="AD362" s="75">
        <v>0</v>
      </c>
      <c r="AE362" s="75">
        <f>IF($U362 &gt; 0, 100 - $AD362 - $AF362, 0)</f>
        <v>0</v>
      </c>
      <c r="AF362" s="94">
        <v>0</v>
      </c>
      <c r="AG362" s="24" t="s">
        <v>43</v>
      </c>
      <c r="AH362" s="24" t="s">
        <v>525</v>
      </c>
      <c r="AI362" s="27"/>
      <c r="AJ362" s="27"/>
      <c r="AN362" s="82"/>
      <c r="AO362" s="82"/>
      <c r="AP362" s="82"/>
      <c r="AQ362" s="82"/>
      <c r="AR362" s="82"/>
      <c r="AS362" s="82"/>
      <c r="AT362" s="82"/>
      <c r="AU362" s="82"/>
    </row>
    <row r="363" spans="1:47" s="24" customFormat="1" ht="12">
      <c r="A363" s="24" t="s">
        <v>1134</v>
      </c>
      <c r="B363" s="25" t="s">
        <v>1135</v>
      </c>
      <c r="C363" s="26" t="s">
        <v>499</v>
      </c>
      <c r="D363" s="26" t="s">
        <v>413</v>
      </c>
      <c r="E363" s="24" t="s">
        <v>311</v>
      </c>
      <c r="G363" s="24" t="s">
        <v>1074</v>
      </c>
      <c r="H363" s="24" t="s">
        <v>1075</v>
      </c>
      <c r="J363" s="24">
        <v>0</v>
      </c>
      <c r="K363" s="24">
        <v>45</v>
      </c>
      <c r="L363" s="24" t="s">
        <v>38</v>
      </c>
      <c r="M363" s="24" t="s">
        <v>1112</v>
      </c>
      <c r="N363" s="24" t="s">
        <v>523</v>
      </c>
      <c r="P363" s="24">
        <v>0</v>
      </c>
      <c r="Q363" s="31" t="s">
        <v>1113</v>
      </c>
      <c r="R363" s="74">
        <v>100</v>
      </c>
      <c r="S363" s="74">
        <f>100 - R363 - U363 - T363</f>
        <v>0</v>
      </c>
      <c r="T363" s="74">
        <v>0</v>
      </c>
      <c r="U363" s="74">
        <v>0</v>
      </c>
      <c r="V363" s="74">
        <v>60</v>
      </c>
      <c r="W363" s="93">
        <f>IF($R363 &gt; 0, 100 - $V363, 0)</f>
        <v>40</v>
      </c>
      <c r="X363" s="75">
        <v>0</v>
      </c>
      <c r="Y363" s="75">
        <f>IF($S363 &gt; 0, 100 - $X363 - $Z363, 0)</f>
        <v>0</v>
      </c>
      <c r="Z363" s="94">
        <v>0</v>
      </c>
      <c r="AA363" s="75">
        <v>0</v>
      </c>
      <c r="AB363" s="75">
        <f>IF($T363 &gt; 0, 100 - $AA363 - $AC363, 0)</f>
        <v>0</v>
      </c>
      <c r="AC363" s="94">
        <v>0</v>
      </c>
      <c r="AD363" s="75">
        <v>0</v>
      </c>
      <c r="AE363" s="75">
        <f>IF($U363 &gt; 0, 100 - $AD363 - $AF363, 0)</f>
        <v>0</v>
      </c>
      <c r="AF363" s="94">
        <v>0</v>
      </c>
      <c r="AG363" s="24" t="s">
        <v>43</v>
      </c>
      <c r="AH363" s="24" t="s">
        <v>525</v>
      </c>
      <c r="AI363" s="27"/>
      <c r="AJ363" s="27"/>
      <c r="AN363" s="82"/>
      <c r="AO363" s="82"/>
      <c r="AP363" s="82"/>
      <c r="AQ363" s="82"/>
      <c r="AR363" s="82"/>
      <c r="AS363" s="82"/>
      <c r="AT363" s="82"/>
      <c r="AU363" s="82"/>
    </row>
    <row r="364" spans="1:47" s="24" customFormat="1" ht="12">
      <c r="A364" s="24" t="s">
        <v>1136</v>
      </c>
      <c r="B364" s="25" t="s">
        <v>1137</v>
      </c>
      <c r="C364" s="26" t="s">
        <v>499</v>
      </c>
      <c r="D364" s="26" t="s">
        <v>413</v>
      </c>
      <c r="E364" s="24" t="s">
        <v>311</v>
      </c>
      <c r="G364" s="24" t="s">
        <v>1074</v>
      </c>
      <c r="H364" s="24" t="s">
        <v>1075</v>
      </c>
      <c r="J364" s="24">
        <v>0</v>
      </c>
      <c r="K364" s="24">
        <v>45</v>
      </c>
      <c r="L364" s="24" t="s">
        <v>38</v>
      </c>
      <c r="M364" s="24" t="s">
        <v>39</v>
      </c>
      <c r="N364" s="24" t="s">
        <v>523</v>
      </c>
      <c r="P364" s="24">
        <v>0</v>
      </c>
      <c r="Q364" s="31" t="s">
        <v>1107</v>
      </c>
      <c r="R364" s="74">
        <v>100</v>
      </c>
      <c r="S364" s="74">
        <f>100 - R364 - U364 - T364</f>
        <v>0</v>
      </c>
      <c r="T364" s="74">
        <v>0</v>
      </c>
      <c r="U364" s="74">
        <v>0</v>
      </c>
      <c r="V364" s="74">
        <v>70</v>
      </c>
      <c r="W364" s="93">
        <f>IF($R364 &gt; 0, 100 - $V364, 0)</f>
        <v>30</v>
      </c>
      <c r="X364" s="75">
        <v>0</v>
      </c>
      <c r="Y364" s="75">
        <f>IF($S364 &gt; 0, 100 - $X364 - $Z364, 0)</f>
        <v>0</v>
      </c>
      <c r="Z364" s="94">
        <v>0</v>
      </c>
      <c r="AA364" s="75">
        <v>0</v>
      </c>
      <c r="AB364" s="75">
        <f>IF($T364 &gt; 0, 100 - $AA364 - $AC364, 0)</f>
        <v>0</v>
      </c>
      <c r="AC364" s="94">
        <v>0</v>
      </c>
      <c r="AD364" s="75">
        <v>0</v>
      </c>
      <c r="AE364" s="75">
        <f>IF($U364 &gt; 0, 100 - $AD364 - $AF364, 0)</f>
        <v>0</v>
      </c>
      <c r="AF364" s="94">
        <v>0</v>
      </c>
      <c r="AG364" s="24" t="s">
        <v>43</v>
      </c>
      <c r="AH364" s="24" t="s">
        <v>525</v>
      </c>
      <c r="AI364" s="27"/>
      <c r="AJ364" s="27"/>
      <c r="AN364" s="82"/>
      <c r="AO364" s="82"/>
      <c r="AP364" s="82"/>
      <c r="AQ364" s="82"/>
      <c r="AR364" s="82"/>
      <c r="AS364" s="82"/>
      <c r="AT364" s="82"/>
      <c r="AU364" s="82"/>
    </row>
    <row r="365" spans="1:47" s="24" customFormat="1" ht="12">
      <c r="A365" s="24" t="s">
        <v>1138</v>
      </c>
      <c r="B365" s="25" t="s">
        <v>1139</v>
      </c>
      <c r="C365" s="26" t="s">
        <v>499</v>
      </c>
      <c r="D365" s="26" t="s">
        <v>413</v>
      </c>
      <c r="E365" s="24" t="s">
        <v>311</v>
      </c>
      <c r="G365" s="24" t="s">
        <v>1074</v>
      </c>
      <c r="H365" s="24" t="s">
        <v>1075</v>
      </c>
      <c r="J365" s="24">
        <v>0</v>
      </c>
      <c r="K365" s="24">
        <v>45</v>
      </c>
      <c r="L365" s="24" t="s">
        <v>38</v>
      </c>
      <c r="M365" s="24" t="s">
        <v>1112</v>
      </c>
      <c r="N365" s="24" t="s">
        <v>523</v>
      </c>
      <c r="P365" s="24">
        <v>0</v>
      </c>
      <c r="Q365" s="31" t="s">
        <v>1113</v>
      </c>
      <c r="R365" s="74">
        <v>100</v>
      </c>
      <c r="S365" s="74">
        <f>100 - R365 - U365 - T365</f>
        <v>0</v>
      </c>
      <c r="T365" s="74">
        <v>0</v>
      </c>
      <c r="U365" s="93">
        <v>0</v>
      </c>
      <c r="V365" s="74">
        <v>70</v>
      </c>
      <c r="W365" s="93">
        <f>IF($R365 &gt; 0, 100 - $V365, 0)</f>
        <v>30</v>
      </c>
      <c r="X365" s="75">
        <v>0</v>
      </c>
      <c r="Y365" s="75">
        <f>IF($S365 &gt; 0, 100 - $X365 - $Z365, 0)</f>
        <v>0</v>
      </c>
      <c r="Z365" s="94">
        <v>0</v>
      </c>
      <c r="AA365" s="75">
        <v>0</v>
      </c>
      <c r="AB365" s="75">
        <f>IF($T365 &gt; 0, 100 - $AA365 - $AC365, 0)</f>
        <v>0</v>
      </c>
      <c r="AC365" s="94">
        <v>0</v>
      </c>
      <c r="AD365" s="75">
        <v>0</v>
      </c>
      <c r="AE365" s="75">
        <f>IF($U365 &gt; 0, 100 - $AD365 - $AF365, 0)</f>
        <v>0</v>
      </c>
      <c r="AF365" s="94">
        <v>0</v>
      </c>
      <c r="AG365" s="24" t="s">
        <v>43</v>
      </c>
      <c r="AH365" s="24" t="s">
        <v>525</v>
      </c>
      <c r="AI365" s="27"/>
      <c r="AJ365" s="27"/>
      <c r="AN365" s="82"/>
      <c r="AO365" s="82"/>
      <c r="AP365" s="82"/>
      <c r="AQ365" s="82"/>
      <c r="AR365" s="82"/>
      <c r="AS365" s="82"/>
      <c r="AT365" s="82"/>
      <c r="AU365" s="82"/>
    </row>
    <row r="366" spans="1:47" s="24" customFormat="1" ht="12">
      <c r="A366" s="24" t="s">
        <v>1140</v>
      </c>
      <c r="B366" s="25" t="s">
        <v>1141</v>
      </c>
      <c r="C366" s="26" t="s">
        <v>499</v>
      </c>
      <c r="D366" s="26" t="s">
        <v>413</v>
      </c>
      <c r="E366" s="24" t="s">
        <v>311</v>
      </c>
      <c r="G366" s="24" t="s">
        <v>1074</v>
      </c>
      <c r="H366" s="24" t="s">
        <v>1075</v>
      </c>
      <c r="J366" s="24">
        <v>0</v>
      </c>
      <c r="K366" s="24">
        <v>45</v>
      </c>
      <c r="L366" s="24" t="s">
        <v>38</v>
      </c>
      <c r="M366" s="24" t="s">
        <v>39</v>
      </c>
      <c r="N366" s="24" t="s">
        <v>523</v>
      </c>
      <c r="P366" s="24">
        <v>0</v>
      </c>
      <c r="Q366" s="31" t="s">
        <v>1107</v>
      </c>
      <c r="R366" s="74">
        <v>100</v>
      </c>
      <c r="S366" s="74">
        <f>100 - R366 - U366 - T366</f>
        <v>0</v>
      </c>
      <c r="T366" s="74">
        <v>0</v>
      </c>
      <c r="U366" s="93">
        <v>0</v>
      </c>
      <c r="V366" s="74">
        <v>80</v>
      </c>
      <c r="W366" s="93">
        <f>IF($R366 &gt; 0, 100 - $V366, 0)</f>
        <v>20</v>
      </c>
      <c r="X366" s="75">
        <v>0</v>
      </c>
      <c r="Y366" s="75">
        <f>IF($S366 &gt; 0, 100 - $X366 - $Z366, 0)</f>
        <v>0</v>
      </c>
      <c r="Z366" s="94">
        <v>0</v>
      </c>
      <c r="AA366" s="75">
        <v>0</v>
      </c>
      <c r="AB366" s="75">
        <f>IF($T366 &gt; 0, 100 - $AA366 - $AC366, 0)</f>
        <v>0</v>
      </c>
      <c r="AC366" s="94">
        <v>0</v>
      </c>
      <c r="AD366" s="75">
        <v>0</v>
      </c>
      <c r="AE366" s="75">
        <f>IF($U366 &gt; 0, 100 - $AD366 - $AF366, 0)</f>
        <v>0</v>
      </c>
      <c r="AF366" s="94">
        <v>0</v>
      </c>
      <c r="AG366" s="24" t="s">
        <v>43</v>
      </c>
      <c r="AH366" s="24" t="s">
        <v>525</v>
      </c>
      <c r="AI366" s="27"/>
      <c r="AJ366" s="27"/>
      <c r="AN366" s="82"/>
      <c r="AO366" s="82"/>
      <c r="AP366" s="82"/>
      <c r="AQ366" s="82"/>
      <c r="AR366" s="82"/>
      <c r="AS366" s="82"/>
      <c r="AT366" s="82"/>
      <c r="AU366" s="82"/>
    </row>
    <row r="367" spans="1:47" s="24" customFormat="1" ht="12">
      <c r="A367" s="24" t="s">
        <v>1142</v>
      </c>
      <c r="B367" s="25" t="s">
        <v>1143</v>
      </c>
      <c r="C367" s="26" t="s">
        <v>499</v>
      </c>
      <c r="D367" s="26" t="s">
        <v>413</v>
      </c>
      <c r="E367" s="24" t="s">
        <v>311</v>
      </c>
      <c r="G367" s="24" t="s">
        <v>1074</v>
      </c>
      <c r="H367" s="24" t="s">
        <v>1075</v>
      </c>
      <c r="J367" s="24">
        <v>0</v>
      </c>
      <c r="K367" s="24">
        <v>45</v>
      </c>
      <c r="L367" s="24" t="s">
        <v>38</v>
      </c>
      <c r="M367" s="24" t="s">
        <v>1112</v>
      </c>
      <c r="N367" s="24" t="s">
        <v>523</v>
      </c>
      <c r="P367" s="24">
        <v>0</v>
      </c>
      <c r="Q367" s="31" t="s">
        <v>1113</v>
      </c>
      <c r="R367" s="74">
        <v>100</v>
      </c>
      <c r="S367" s="74">
        <f>100 - R367 - U367 - T367</f>
        <v>0</v>
      </c>
      <c r="T367" s="74">
        <v>0</v>
      </c>
      <c r="U367" s="93">
        <v>0</v>
      </c>
      <c r="V367" s="74">
        <v>80</v>
      </c>
      <c r="W367" s="93">
        <f>IF($R367 &gt; 0, 100 - $V367, 0)</f>
        <v>20</v>
      </c>
      <c r="X367" s="75">
        <v>0</v>
      </c>
      <c r="Y367" s="75">
        <f>IF($S367 &gt; 0, 100 - $X367 - $Z367, 0)</f>
        <v>0</v>
      </c>
      <c r="Z367" s="94">
        <v>0</v>
      </c>
      <c r="AA367" s="75">
        <v>0</v>
      </c>
      <c r="AB367" s="75">
        <f>IF($T367 &gt; 0, 100 - $AA367 - $AC367, 0)</f>
        <v>0</v>
      </c>
      <c r="AC367" s="94">
        <v>0</v>
      </c>
      <c r="AD367" s="75">
        <v>0</v>
      </c>
      <c r="AE367" s="75">
        <f>IF($U367 &gt; 0, 100 - $AD367 - $AF367, 0)</f>
        <v>0</v>
      </c>
      <c r="AF367" s="94">
        <v>0</v>
      </c>
      <c r="AG367" s="24" t="s">
        <v>43</v>
      </c>
      <c r="AH367" s="24" t="s">
        <v>525</v>
      </c>
      <c r="AI367" s="27"/>
      <c r="AJ367" s="27"/>
      <c r="AN367" s="82"/>
      <c r="AO367" s="82"/>
      <c r="AP367" s="82"/>
      <c r="AQ367" s="82"/>
      <c r="AR367" s="82"/>
      <c r="AS367" s="82"/>
      <c r="AT367" s="82"/>
      <c r="AU367" s="82"/>
    </row>
    <row r="368" spans="1:47" s="24" customFormat="1" ht="12">
      <c r="A368" s="24" t="s">
        <v>1144</v>
      </c>
      <c r="B368" s="25" t="s">
        <v>1145</v>
      </c>
      <c r="C368" s="26" t="s">
        <v>499</v>
      </c>
      <c r="D368" s="26" t="s">
        <v>413</v>
      </c>
      <c r="E368" s="24" t="s">
        <v>311</v>
      </c>
      <c r="G368" s="24" t="s">
        <v>1074</v>
      </c>
      <c r="H368" s="24" t="s">
        <v>1075</v>
      </c>
      <c r="J368" s="24">
        <v>0</v>
      </c>
      <c r="K368" s="24">
        <v>45</v>
      </c>
      <c r="L368" s="24" t="s">
        <v>38</v>
      </c>
      <c r="M368" s="24" t="s">
        <v>39</v>
      </c>
      <c r="N368" s="24" t="s">
        <v>523</v>
      </c>
      <c r="P368" s="24">
        <v>0</v>
      </c>
      <c r="Q368" s="31" t="s">
        <v>1107</v>
      </c>
      <c r="R368" s="74">
        <v>100</v>
      </c>
      <c r="S368" s="74">
        <f>100 - R368 - U368 - T368</f>
        <v>0</v>
      </c>
      <c r="T368" s="74">
        <v>0</v>
      </c>
      <c r="U368" s="93">
        <v>0</v>
      </c>
      <c r="V368" s="74">
        <v>90</v>
      </c>
      <c r="W368" s="93">
        <f>IF($R368 &gt; 0, 100 - $V368, 0)</f>
        <v>10</v>
      </c>
      <c r="X368" s="75">
        <v>0</v>
      </c>
      <c r="Y368" s="75">
        <f>IF($S368 &gt; 0, 100 - $X368 - $Z368, 0)</f>
        <v>0</v>
      </c>
      <c r="Z368" s="94">
        <v>0</v>
      </c>
      <c r="AA368" s="75">
        <v>0</v>
      </c>
      <c r="AB368" s="75">
        <f>IF($T368 &gt; 0, 100 - $AA368 - $AC368, 0)</f>
        <v>0</v>
      </c>
      <c r="AC368" s="94">
        <v>0</v>
      </c>
      <c r="AD368" s="75">
        <v>0</v>
      </c>
      <c r="AE368" s="75">
        <f>IF($U368 &gt; 0, 100 - $AD368 - $AF368, 0)</f>
        <v>0</v>
      </c>
      <c r="AF368" s="94">
        <v>0</v>
      </c>
      <c r="AG368" s="24" t="s">
        <v>43</v>
      </c>
      <c r="AH368" s="24" t="s">
        <v>525</v>
      </c>
      <c r="AI368" s="27"/>
      <c r="AJ368" s="27"/>
      <c r="AN368" s="82"/>
      <c r="AO368" s="82"/>
      <c r="AP368" s="82"/>
      <c r="AQ368" s="82"/>
      <c r="AR368" s="82"/>
      <c r="AS368" s="82"/>
      <c r="AT368" s="82"/>
      <c r="AU368" s="82"/>
    </row>
    <row r="369" spans="1:47" s="24" customFormat="1" ht="12">
      <c r="A369" s="24" t="s">
        <v>1146</v>
      </c>
      <c r="B369" s="25" t="s">
        <v>1147</v>
      </c>
      <c r="C369" s="26" t="s">
        <v>499</v>
      </c>
      <c r="D369" s="26" t="s">
        <v>413</v>
      </c>
      <c r="E369" s="24" t="s">
        <v>311</v>
      </c>
      <c r="G369" s="24" t="s">
        <v>1074</v>
      </c>
      <c r="H369" s="24" t="s">
        <v>1075</v>
      </c>
      <c r="J369" s="24">
        <v>0</v>
      </c>
      <c r="K369" s="24">
        <v>45</v>
      </c>
      <c r="L369" s="24" t="s">
        <v>38</v>
      </c>
      <c r="M369" s="24" t="s">
        <v>1112</v>
      </c>
      <c r="N369" s="24" t="s">
        <v>523</v>
      </c>
      <c r="P369" s="24">
        <v>0</v>
      </c>
      <c r="Q369" s="31" t="s">
        <v>1113</v>
      </c>
      <c r="R369" s="74">
        <v>100</v>
      </c>
      <c r="S369" s="74">
        <f>100 - R369 - U369 - T369</f>
        <v>0</v>
      </c>
      <c r="T369" s="74">
        <v>0</v>
      </c>
      <c r="U369" s="93">
        <v>0</v>
      </c>
      <c r="V369" s="74">
        <v>90</v>
      </c>
      <c r="W369" s="93">
        <f>IF($R369 &gt; 0, 100 - $V369, 0)</f>
        <v>10</v>
      </c>
      <c r="X369" s="75">
        <v>0</v>
      </c>
      <c r="Y369" s="75">
        <f>IF($S369 &gt; 0, 100 - $X369 - $Z369, 0)</f>
        <v>0</v>
      </c>
      <c r="Z369" s="94">
        <v>0</v>
      </c>
      <c r="AA369" s="75">
        <v>0</v>
      </c>
      <c r="AB369" s="75">
        <f>IF($T369 &gt; 0, 100 - $AA369 - $AC369, 0)</f>
        <v>0</v>
      </c>
      <c r="AC369" s="94">
        <v>0</v>
      </c>
      <c r="AD369" s="75">
        <v>0</v>
      </c>
      <c r="AE369" s="75">
        <f>IF($U369 &gt; 0, 100 - $AD369 - $AF369, 0)</f>
        <v>0</v>
      </c>
      <c r="AF369" s="94">
        <v>0</v>
      </c>
      <c r="AG369" s="24" t="s">
        <v>43</v>
      </c>
      <c r="AH369" s="24" t="s">
        <v>525</v>
      </c>
      <c r="AI369" s="27"/>
      <c r="AJ369" s="27"/>
      <c r="AN369" s="82"/>
      <c r="AO369" s="82"/>
      <c r="AP369" s="82"/>
      <c r="AQ369" s="82"/>
      <c r="AR369" s="82"/>
      <c r="AS369" s="82"/>
      <c r="AT369" s="82"/>
      <c r="AU369" s="82"/>
    </row>
    <row r="370" spans="1:47" s="24" customFormat="1" ht="12">
      <c r="A370" s="24" t="s">
        <v>1148</v>
      </c>
      <c r="B370" s="25" t="s">
        <v>1149</v>
      </c>
      <c r="C370" s="26" t="s">
        <v>499</v>
      </c>
      <c r="D370" s="26" t="s">
        <v>413</v>
      </c>
      <c r="E370" s="24" t="s">
        <v>311</v>
      </c>
      <c r="G370" s="24" t="s">
        <v>1074</v>
      </c>
      <c r="H370" s="24" t="s">
        <v>1150</v>
      </c>
      <c r="J370" s="24">
        <v>0</v>
      </c>
      <c r="K370" s="24">
        <v>45</v>
      </c>
      <c r="L370" s="24" t="s">
        <v>38</v>
      </c>
      <c r="M370" s="24" t="s">
        <v>39</v>
      </c>
      <c r="N370" s="24" t="s">
        <v>523</v>
      </c>
      <c r="P370" s="24">
        <v>0</v>
      </c>
      <c r="Q370" s="31" t="s">
        <v>1107</v>
      </c>
      <c r="R370" s="74">
        <v>100</v>
      </c>
      <c r="S370" s="74">
        <f>100 - R370 - U370 - T370</f>
        <v>0</v>
      </c>
      <c r="T370" s="74">
        <v>0</v>
      </c>
      <c r="U370" s="93">
        <v>0</v>
      </c>
      <c r="V370" s="74">
        <v>100</v>
      </c>
      <c r="W370" s="93">
        <f>IF($R370 &gt; 0, 100 - $V370, 0)</f>
        <v>0</v>
      </c>
      <c r="X370" s="75">
        <v>0</v>
      </c>
      <c r="Y370" s="75">
        <f>IF($S370 &gt; 0, 100 - $X370 - $Z370, 0)</f>
        <v>0</v>
      </c>
      <c r="Z370" s="94">
        <v>0</v>
      </c>
      <c r="AA370" s="75">
        <v>0</v>
      </c>
      <c r="AB370" s="75">
        <f>IF($T370 &gt; 0, 100 - $AA370 - $AC370, 0)</f>
        <v>0</v>
      </c>
      <c r="AC370" s="94">
        <v>0</v>
      </c>
      <c r="AD370" s="75">
        <v>0</v>
      </c>
      <c r="AE370" s="75">
        <f>IF($U370 &gt; 0, 100 - $AD370 - $AF370, 0)</f>
        <v>0</v>
      </c>
      <c r="AF370" s="94">
        <v>0</v>
      </c>
      <c r="AG370" s="24" t="s">
        <v>43</v>
      </c>
      <c r="AH370" s="24" t="s">
        <v>525</v>
      </c>
      <c r="AI370" s="27"/>
      <c r="AJ370" s="27"/>
      <c r="AN370" s="82"/>
      <c r="AO370" s="82"/>
      <c r="AP370" s="82"/>
      <c r="AQ370" s="82"/>
      <c r="AR370" s="82"/>
      <c r="AS370" s="82"/>
      <c r="AT370" s="82"/>
      <c r="AU370" s="82"/>
    </row>
    <row r="371" spans="1:47" s="24" customFormat="1" ht="12">
      <c r="A371" s="24" t="s">
        <v>1151</v>
      </c>
      <c r="B371" s="25" t="s">
        <v>1152</v>
      </c>
      <c r="C371" s="26" t="s">
        <v>499</v>
      </c>
      <c r="D371" s="26" t="s">
        <v>413</v>
      </c>
      <c r="E371" s="24" t="s">
        <v>311</v>
      </c>
      <c r="G371" s="24" t="s">
        <v>1074</v>
      </c>
      <c r="H371" s="24" t="s">
        <v>1150</v>
      </c>
      <c r="J371" s="24">
        <v>0</v>
      </c>
      <c r="K371" s="24">
        <v>45</v>
      </c>
      <c r="L371" s="24" t="s">
        <v>38</v>
      </c>
      <c r="M371" s="24" t="s">
        <v>1112</v>
      </c>
      <c r="N371" s="24" t="s">
        <v>523</v>
      </c>
      <c r="P371" s="24">
        <v>0</v>
      </c>
      <c r="Q371" s="31" t="s">
        <v>1113</v>
      </c>
      <c r="R371" s="74">
        <v>100</v>
      </c>
      <c r="S371" s="74">
        <f>100 - R371 - U371 - T371</f>
        <v>0</v>
      </c>
      <c r="T371" s="74">
        <v>0</v>
      </c>
      <c r="U371" s="93">
        <v>0</v>
      </c>
      <c r="V371" s="74">
        <v>100</v>
      </c>
      <c r="W371" s="93">
        <f>IF($R371 &gt; 0, 100 - $V371, 0)</f>
        <v>0</v>
      </c>
      <c r="X371" s="75">
        <v>0</v>
      </c>
      <c r="Y371" s="75">
        <f>IF($S371 &gt; 0, 100 - $X371 - $Z371, 0)</f>
        <v>0</v>
      </c>
      <c r="Z371" s="94">
        <v>0</v>
      </c>
      <c r="AA371" s="75">
        <v>0</v>
      </c>
      <c r="AB371" s="75">
        <f>IF($T371 &gt; 0, 100 - $AA371 - $AC371, 0)</f>
        <v>0</v>
      </c>
      <c r="AC371" s="94">
        <v>0</v>
      </c>
      <c r="AD371" s="75">
        <v>0</v>
      </c>
      <c r="AE371" s="75">
        <f>IF($U371 &gt; 0, 100 - $AD371 - $AF371, 0)</f>
        <v>0</v>
      </c>
      <c r="AF371" s="94">
        <v>0</v>
      </c>
      <c r="AG371" s="24" t="s">
        <v>43</v>
      </c>
      <c r="AH371" s="24" t="s">
        <v>525</v>
      </c>
      <c r="AI371" s="27"/>
      <c r="AJ371" s="27"/>
      <c r="AN371" s="82"/>
      <c r="AO371" s="82"/>
      <c r="AP371" s="82"/>
      <c r="AQ371" s="82"/>
      <c r="AR371" s="82"/>
      <c r="AS371" s="82"/>
      <c r="AT371" s="82"/>
      <c r="AU371" s="82"/>
    </row>
    <row r="372" spans="1:47" s="24" customFormat="1" ht="12">
      <c r="A372" s="24" t="s">
        <v>1153</v>
      </c>
      <c r="B372" s="25" t="s">
        <v>1154</v>
      </c>
      <c r="C372" s="26" t="s">
        <v>499</v>
      </c>
      <c r="D372" s="26" t="s">
        <v>413</v>
      </c>
      <c r="E372" s="24" t="s">
        <v>311</v>
      </c>
      <c r="G372" s="24" t="s">
        <v>1074</v>
      </c>
      <c r="H372" s="24" t="s">
        <v>1075</v>
      </c>
      <c r="J372" s="24">
        <v>0</v>
      </c>
      <c r="K372" s="24">
        <v>45</v>
      </c>
      <c r="L372" s="24" t="s">
        <v>38</v>
      </c>
      <c r="M372" s="24" t="s">
        <v>39</v>
      </c>
      <c r="N372" s="24" t="s">
        <v>523</v>
      </c>
      <c r="P372" s="24">
        <v>0</v>
      </c>
      <c r="Q372" s="31" t="s">
        <v>1155</v>
      </c>
      <c r="R372" s="74">
        <v>100</v>
      </c>
      <c r="S372" s="74">
        <f>100 - R372 - U372 - T372</f>
        <v>0</v>
      </c>
      <c r="T372" s="74">
        <v>0</v>
      </c>
      <c r="U372" s="93">
        <v>0</v>
      </c>
      <c r="V372" s="74">
        <v>10.5</v>
      </c>
      <c r="W372" s="93">
        <f>IF($R372 &gt; 0, 100 - $V372, 0)</f>
        <v>89.5</v>
      </c>
      <c r="X372" s="75">
        <v>0</v>
      </c>
      <c r="Y372" s="75">
        <f>IF($S372 &gt; 0, 100 - $X372 - $Z372, 0)</f>
        <v>0</v>
      </c>
      <c r="Z372" s="94">
        <v>0</v>
      </c>
      <c r="AA372" s="75">
        <v>0</v>
      </c>
      <c r="AB372" s="75">
        <f>IF($T372 &gt; 0, 100 - $AA372 - $AC372, 0)</f>
        <v>0</v>
      </c>
      <c r="AC372" s="94">
        <v>0</v>
      </c>
      <c r="AD372" s="75">
        <v>0</v>
      </c>
      <c r="AE372" s="75">
        <f>IF($U372 &gt; 0, 100 - $AD372 - $AF372, 0)</f>
        <v>0</v>
      </c>
      <c r="AF372" s="94">
        <v>0</v>
      </c>
      <c r="AG372" s="24" t="s">
        <v>43</v>
      </c>
      <c r="AH372" s="24" t="s">
        <v>525</v>
      </c>
      <c r="AI372" s="27"/>
      <c r="AJ372" s="27"/>
      <c r="AN372" s="82"/>
      <c r="AO372" s="82"/>
      <c r="AP372" s="82"/>
      <c r="AQ372" s="82"/>
      <c r="AR372" s="82"/>
      <c r="AS372" s="82"/>
      <c r="AT372" s="82"/>
      <c r="AU372" s="82"/>
    </row>
    <row r="373" spans="1:47" s="24" customFormat="1" ht="12">
      <c r="A373" s="24" t="s">
        <v>1156</v>
      </c>
      <c r="B373" s="25" t="s">
        <v>1157</v>
      </c>
      <c r="C373" s="26" t="s">
        <v>499</v>
      </c>
      <c r="D373" s="26" t="s">
        <v>413</v>
      </c>
      <c r="E373" s="24" t="s">
        <v>311</v>
      </c>
      <c r="G373" s="24" t="s">
        <v>1074</v>
      </c>
      <c r="H373" s="24" t="s">
        <v>1075</v>
      </c>
      <c r="J373" s="24">
        <v>0</v>
      </c>
      <c r="K373" s="24">
        <v>45</v>
      </c>
      <c r="L373" s="24" t="s">
        <v>38</v>
      </c>
      <c r="M373" s="24" t="s">
        <v>1112</v>
      </c>
      <c r="N373" s="24" t="s">
        <v>523</v>
      </c>
      <c r="P373" s="24">
        <v>0</v>
      </c>
      <c r="Q373" s="31" t="s">
        <v>1155</v>
      </c>
      <c r="R373" s="74">
        <v>100</v>
      </c>
      <c r="S373" s="74">
        <f>100 - R373 - U373 - T373</f>
        <v>0</v>
      </c>
      <c r="T373" s="74">
        <v>0</v>
      </c>
      <c r="U373" s="93">
        <v>0</v>
      </c>
      <c r="V373" s="74">
        <v>10.5</v>
      </c>
      <c r="W373" s="93">
        <f>IF($R373 &gt; 0, 100 - $V373, 0)</f>
        <v>89.5</v>
      </c>
      <c r="X373" s="75">
        <v>0</v>
      </c>
      <c r="Y373" s="75">
        <f>IF($S373 &gt; 0, 100 - $X373 - $Z373, 0)</f>
        <v>0</v>
      </c>
      <c r="Z373" s="94">
        <v>0</v>
      </c>
      <c r="AA373" s="75">
        <v>0</v>
      </c>
      <c r="AB373" s="75">
        <f>IF($T373 &gt; 0, 100 - $AA373 - $AC373, 0)</f>
        <v>0</v>
      </c>
      <c r="AC373" s="94">
        <v>0</v>
      </c>
      <c r="AD373" s="75">
        <v>0</v>
      </c>
      <c r="AE373" s="75">
        <f>IF($U373 &gt; 0, 100 - $AD373 - $AF373, 0)</f>
        <v>0</v>
      </c>
      <c r="AF373" s="94">
        <v>0</v>
      </c>
      <c r="AG373" s="24" t="s">
        <v>43</v>
      </c>
      <c r="AH373" s="24" t="s">
        <v>525</v>
      </c>
      <c r="AI373" s="27"/>
      <c r="AJ373" s="27"/>
      <c r="AN373" s="82"/>
      <c r="AO373" s="82"/>
      <c r="AP373" s="82"/>
      <c r="AQ373" s="82"/>
      <c r="AR373" s="82"/>
      <c r="AS373" s="82"/>
      <c r="AT373" s="82"/>
      <c r="AU373" s="82"/>
    </row>
    <row r="374" spans="1:47" s="24" customFormat="1" ht="12">
      <c r="A374" s="24" t="s">
        <v>1158</v>
      </c>
      <c r="B374" s="25" t="s">
        <v>1159</v>
      </c>
      <c r="C374" s="26" t="s">
        <v>499</v>
      </c>
      <c r="D374" s="26" t="s">
        <v>413</v>
      </c>
      <c r="E374" s="24" t="s">
        <v>311</v>
      </c>
      <c r="G374" s="24" t="s">
        <v>1074</v>
      </c>
      <c r="H374" s="24" t="s">
        <v>1075</v>
      </c>
      <c r="J374" s="24">
        <v>0</v>
      </c>
      <c r="K374" s="24">
        <v>45</v>
      </c>
      <c r="L374" s="24" t="s">
        <v>38</v>
      </c>
      <c r="M374" s="24" t="s">
        <v>39</v>
      </c>
      <c r="N374" s="24" t="s">
        <v>523</v>
      </c>
      <c r="P374" s="24">
        <v>0</v>
      </c>
      <c r="Q374" s="31" t="s">
        <v>1155</v>
      </c>
      <c r="R374" s="74">
        <v>100</v>
      </c>
      <c r="S374" s="74">
        <f>100 - R374 - U374 - T374</f>
        <v>0</v>
      </c>
      <c r="T374" s="74">
        <v>0</v>
      </c>
      <c r="U374" s="93">
        <v>0</v>
      </c>
      <c r="V374" s="74">
        <v>30</v>
      </c>
      <c r="W374" s="93">
        <f>IF($R374 &gt; 0, 100 - $V374, 0)</f>
        <v>70</v>
      </c>
      <c r="X374" s="75">
        <v>0</v>
      </c>
      <c r="Y374" s="75">
        <f>IF($S374 &gt; 0, 100 - $X374 - $Z374, 0)</f>
        <v>0</v>
      </c>
      <c r="Z374" s="94">
        <v>0</v>
      </c>
      <c r="AA374" s="75">
        <v>0</v>
      </c>
      <c r="AB374" s="75">
        <f>IF($T374 &gt; 0, 100 - $AA374 - $AC374, 0)</f>
        <v>0</v>
      </c>
      <c r="AC374" s="94">
        <v>0</v>
      </c>
      <c r="AD374" s="75">
        <v>0</v>
      </c>
      <c r="AE374" s="75">
        <f>IF($U374 &gt; 0, 100 - $AD374 - $AF374, 0)</f>
        <v>0</v>
      </c>
      <c r="AF374" s="94">
        <v>0</v>
      </c>
      <c r="AG374" s="24" t="s">
        <v>43</v>
      </c>
      <c r="AH374" s="24" t="s">
        <v>525</v>
      </c>
      <c r="AI374" s="27"/>
      <c r="AJ374" s="27"/>
      <c r="AN374" s="82"/>
      <c r="AO374" s="82"/>
      <c r="AP374" s="82"/>
      <c r="AQ374" s="82"/>
      <c r="AR374" s="82"/>
      <c r="AS374" s="82"/>
      <c r="AT374" s="82"/>
      <c r="AU374" s="82"/>
    </row>
    <row r="375" spans="1:47" s="24" customFormat="1" ht="12">
      <c r="A375" s="24" t="s">
        <v>1160</v>
      </c>
      <c r="B375" s="25" t="s">
        <v>1161</v>
      </c>
      <c r="C375" s="26" t="s">
        <v>499</v>
      </c>
      <c r="D375" s="26" t="s">
        <v>413</v>
      </c>
      <c r="E375" s="24" t="s">
        <v>311</v>
      </c>
      <c r="G375" s="24" t="s">
        <v>1074</v>
      </c>
      <c r="H375" s="24" t="s">
        <v>1075</v>
      </c>
      <c r="J375" s="24">
        <v>0</v>
      </c>
      <c r="K375" s="24">
        <v>45</v>
      </c>
      <c r="L375" s="24" t="s">
        <v>38</v>
      </c>
      <c r="M375" s="24" t="s">
        <v>1112</v>
      </c>
      <c r="N375" s="24" t="s">
        <v>523</v>
      </c>
      <c r="P375" s="24">
        <v>0</v>
      </c>
      <c r="Q375" s="31" t="s">
        <v>1155</v>
      </c>
      <c r="R375" s="74">
        <v>100</v>
      </c>
      <c r="S375" s="74">
        <f>100 - R375 - U375 - T375</f>
        <v>0</v>
      </c>
      <c r="T375" s="74">
        <v>0</v>
      </c>
      <c r="U375" s="93">
        <v>0</v>
      </c>
      <c r="V375" s="74">
        <v>30</v>
      </c>
      <c r="W375" s="93">
        <f>IF($R375 &gt; 0, 100 - $V375, 0)</f>
        <v>70</v>
      </c>
      <c r="X375" s="75">
        <v>0</v>
      </c>
      <c r="Y375" s="75">
        <f>IF($S375 &gt; 0, 100 - $X375 - $Z375, 0)</f>
        <v>0</v>
      </c>
      <c r="Z375" s="94">
        <v>0</v>
      </c>
      <c r="AA375" s="75">
        <v>0</v>
      </c>
      <c r="AB375" s="75">
        <f>IF($T375 &gt; 0, 100 - $AA375 - $AC375, 0)</f>
        <v>0</v>
      </c>
      <c r="AC375" s="94">
        <v>0</v>
      </c>
      <c r="AD375" s="75">
        <v>0</v>
      </c>
      <c r="AE375" s="75">
        <f>IF($U375 &gt; 0, 100 - $AD375 - $AF375, 0)</f>
        <v>0</v>
      </c>
      <c r="AF375" s="94">
        <v>0</v>
      </c>
      <c r="AG375" s="24" t="s">
        <v>43</v>
      </c>
      <c r="AH375" s="24" t="s">
        <v>525</v>
      </c>
      <c r="AI375" s="27"/>
      <c r="AJ375" s="27"/>
      <c r="AN375" s="82"/>
      <c r="AO375" s="82"/>
      <c r="AP375" s="82"/>
      <c r="AQ375" s="82"/>
      <c r="AR375" s="82"/>
      <c r="AS375" s="82"/>
      <c r="AT375" s="82"/>
      <c r="AU375" s="82"/>
    </row>
    <row r="376" spans="1:47" s="24" customFormat="1" ht="12">
      <c r="A376" s="24" t="s">
        <v>1162</v>
      </c>
      <c r="B376" s="25" t="s">
        <v>1163</v>
      </c>
      <c r="C376" s="26" t="s">
        <v>129</v>
      </c>
      <c r="D376" s="26" t="s">
        <v>310</v>
      </c>
      <c r="E376" s="24" t="s">
        <v>311</v>
      </c>
      <c r="G376" s="24" t="s">
        <v>1164</v>
      </c>
      <c r="H376" s="24" t="s">
        <v>1078</v>
      </c>
      <c r="J376" s="24">
        <v>100</v>
      </c>
      <c r="K376" s="24">
        <v>200</v>
      </c>
      <c r="L376" s="24" t="s">
        <v>38</v>
      </c>
      <c r="M376" s="24" t="s">
        <v>11</v>
      </c>
      <c r="O376" s="24" t="s">
        <v>183</v>
      </c>
      <c r="P376" s="24">
        <v>0</v>
      </c>
      <c r="Q376" s="31" t="s">
        <v>1165</v>
      </c>
      <c r="R376" s="74">
        <v>100</v>
      </c>
      <c r="S376" s="74">
        <f>100 - R376 - U376 - T376</f>
        <v>0</v>
      </c>
      <c r="T376" s="74">
        <v>0</v>
      </c>
      <c r="U376" s="93">
        <v>0</v>
      </c>
      <c r="V376" s="74">
        <f>(10+12)/2</f>
        <v>11</v>
      </c>
      <c r="W376" s="93">
        <f>IF($R376 &gt; 0, 100 - $V376, 0)</f>
        <v>89</v>
      </c>
      <c r="X376" s="75">
        <v>0</v>
      </c>
      <c r="Y376" s="75">
        <f>IF($S376 &gt; 0, 100 - $X376 - $Z376, 0)</f>
        <v>0</v>
      </c>
      <c r="Z376" s="94">
        <v>0</v>
      </c>
      <c r="AA376" s="75">
        <v>0</v>
      </c>
      <c r="AB376" s="75">
        <f>IF($T376 &gt; 0, 100 - $AA376 - $AC376, 0)</f>
        <v>0</v>
      </c>
      <c r="AC376" s="94">
        <v>0</v>
      </c>
      <c r="AD376" s="75">
        <v>0</v>
      </c>
      <c r="AE376" s="75">
        <f>IF($U376 &gt; 0, 100 - $AD376 - $AF376, 0)</f>
        <v>0</v>
      </c>
      <c r="AF376" s="94">
        <v>0</v>
      </c>
      <c r="AG376" s="24" t="s">
        <v>43</v>
      </c>
      <c r="AH376" s="24" t="s">
        <v>792</v>
      </c>
      <c r="AI376" s="27"/>
      <c r="AJ376" s="27"/>
      <c r="AN376" s="82"/>
      <c r="AO376" s="82"/>
      <c r="AP376" s="82"/>
      <c r="AQ376" s="82"/>
      <c r="AR376" s="82"/>
      <c r="AS376" s="82"/>
      <c r="AT376" s="82"/>
      <c r="AU376" s="82"/>
    </row>
    <row r="377" spans="1:47" s="24" customFormat="1" ht="12">
      <c r="A377" s="24" t="s">
        <v>1166</v>
      </c>
      <c r="B377" s="25" t="s">
        <v>1167</v>
      </c>
      <c r="C377" s="26" t="s">
        <v>129</v>
      </c>
      <c r="D377" s="26" t="s">
        <v>310</v>
      </c>
      <c r="E377" s="24" t="s">
        <v>311</v>
      </c>
      <c r="G377" s="24" t="s">
        <v>1164</v>
      </c>
      <c r="H377" s="24" t="s">
        <v>1078</v>
      </c>
      <c r="J377" s="24">
        <v>40</v>
      </c>
      <c r="K377" s="24">
        <v>100</v>
      </c>
      <c r="L377" s="24" t="s">
        <v>38</v>
      </c>
      <c r="M377" s="24" t="s">
        <v>11</v>
      </c>
      <c r="O377" s="24" t="s">
        <v>183</v>
      </c>
      <c r="P377" s="24">
        <v>0</v>
      </c>
      <c r="Q377" s="31" t="s">
        <v>1165</v>
      </c>
      <c r="R377" s="74">
        <v>100</v>
      </c>
      <c r="S377" s="74">
        <f>100 - R377 - U377 - T377</f>
        <v>0</v>
      </c>
      <c r="T377" s="74">
        <v>0</v>
      </c>
      <c r="U377" s="93">
        <v>0</v>
      </c>
      <c r="V377" s="74">
        <f>(10+12)/2</f>
        <v>11</v>
      </c>
      <c r="W377" s="93">
        <f>IF($R377 &gt; 0, 100 - $V377, 0)</f>
        <v>89</v>
      </c>
      <c r="X377" s="75">
        <v>0</v>
      </c>
      <c r="Y377" s="75">
        <f>IF($S377 &gt; 0, 100 - $X377 - $Z377, 0)</f>
        <v>0</v>
      </c>
      <c r="Z377" s="94">
        <v>0</v>
      </c>
      <c r="AA377" s="75">
        <v>0</v>
      </c>
      <c r="AB377" s="75">
        <f>IF($T377 &gt; 0, 100 - $AA377 - $AC377, 0)</f>
        <v>0</v>
      </c>
      <c r="AC377" s="94">
        <v>0</v>
      </c>
      <c r="AD377" s="75">
        <v>0</v>
      </c>
      <c r="AE377" s="75">
        <f>IF($U377 &gt; 0, 100 - $AD377 - $AF377, 0)</f>
        <v>0</v>
      </c>
      <c r="AF377" s="94">
        <v>0</v>
      </c>
      <c r="AG377" s="24" t="s">
        <v>43</v>
      </c>
      <c r="AH377" s="24" t="s">
        <v>792</v>
      </c>
      <c r="AI377" s="27"/>
      <c r="AJ377" s="27"/>
      <c r="AN377" s="82"/>
      <c r="AO377" s="82"/>
      <c r="AP377" s="82"/>
      <c r="AQ377" s="82"/>
      <c r="AR377" s="82"/>
      <c r="AS377" s="82"/>
      <c r="AT377" s="82"/>
      <c r="AU377" s="82"/>
    </row>
    <row r="378" spans="1:47" s="24" customFormat="1" ht="12">
      <c r="A378" s="24" t="s">
        <v>1168</v>
      </c>
      <c r="B378" s="25" t="s">
        <v>1169</v>
      </c>
      <c r="C378" s="26" t="s">
        <v>129</v>
      </c>
      <c r="D378" s="26" t="s">
        <v>310</v>
      </c>
      <c r="E378" s="24" t="s">
        <v>311</v>
      </c>
      <c r="G378" s="24" t="s">
        <v>1164</v>
      </c>
      <c r="H378" s="24" t="s">
        <v>1078</v>
      </c>
      <c r="J378" s="24">
        <v>0</v>
      </c>
      <c r="K378" s="24">
        <v>40</v>
      </c>
      <c r="L378" s="24" t="s">
        <v>38</v>
      </c>
      <c r="M378" s="24" t="s">
        <v>11</v>
      </c>
      <c r="O378" s="24" t="s">
        <v>183</v>
      </c>
      <c r="P378" s="24">
        <v>0</v>
      </c>
      <c r="Q378" s="31" t="s">
        <v>1165</v>
      </c>
      <c r="R378" s="74">
        <v>100</v>
      </c>
      <c r="S378" s="74">
        <f>100 - R378 - U378 - T378</f>
        <v>0</v>
      </c>
      <c r="T378" s="74">
        <v>0</v>
      </c>
      <c r="U378" s="93">
        <v>0</v>
      </c>
      <c r="V378" s="74">
        <f>(10+12)/2</f>
        <v>11</v>
      </c>
      <c r="W378" s="93">
        <f>IF($R378 &gt; 0, 100 - $V378, 0)</f>
        <v>89</v>
      </c>
      <c r="X378" s="75">
        <v>0</v>
      </c>
      <c r="Y378" s="75">
        <f>IF($S378 &gt; 0, 100 - $X378 - $Z378, 0)</f>
        <v>0</v>
      </c>
      <c r="Z378" s="94">
        <v>0</v>
      </c>
      <c r="AA378" s="75">
        <v>0</v>
      </c>
      <c r="AB378" s="75">
        <f>IF($T378 &gt; 0, 100 - $AA378 - $AC378, 0)</f>
        <v>0</v>
      </c>
      <c r="AC378" s="94">
        <v>0</v>
      </c>
      <c r="AD378" s="75">
        <v>0</v>
      </c>
      <c r="AE378" s="75">
        <f>IF($U378 &gt; 0, 100 - $AD378 - $AF378, 0)</f>
        <v>0</v>
      </c>
      <c r="AF378" s="94">
        <v>0</v>
      </c>
      <c r="AG378" s="24" t="s">
        <v>43</v>
      </c>
      <c r="AH378" s="24" t="s">
        <v>792</v>
      </c>
      <c r="AI378" s="27"/>
      <c r="AJ378" s="27"/>
      <c r="AN378" s="82"/>
      <c r="AO378" s="82"/>
      <c r="AP378" s="82"/>
      <c r="AQ378" s="82"/>
      <c r="AR378" s="82"/>
      <c r="AS378" s="82"/>
      <c r="AT378" s="82"/>
      <c r="AU378" s="82"/>
    </row>
    <row r="379" spans="1:47" s="24" customFormat="1" ht="12">
      <c r="A379" s="24" t="s">
        <v>1170</v>
      </c>
      <c r="B379" s="25" t="s">
        <v>1171</v>
      </c>
      <c r="C379" s="26" t="s">
        <v>129</v>
      </c>
      <c r="D379" s="26" t="s">
        <v>34</v>
      </c>
      <c r="E379" s="24" t="s">
        <v>311</v>
      </c>
      <c r="G379" s="24" t="s">
        <v>1164</v>
      </c>
      <c r="H379" s="24" t="s">
        <v>1078</v>
      </c>
      <c r="J379" s="24">
        <v>100</v>
      </c>
      <c r="K379" s="24">
        <v>200</v>
      </c>
      <c r="L379" s="24" t="s">
        <v>38</v>
      </c>
      <c r="M379" s="24" t="s">
        <v>11</v>
      </c>
      <c r="N379" s="24" t="s">
        <v>1172</v>
      </c>
      <c r="O379" s="24" t="s">
        <v>183</v>
      </c>
      <c r="P379" s="24">
        <v>0</v>
      </c>
      <c r="Q379" s="31" t="s">
        <v>1173</v>
      </c>
      <c r="R379" s="74">
        <v>100</v>
      </c>
      <c r="S379" s="74">
        <f>100 - R379 - U379 - T379</f>
        <v>0</v>
      </c>
      <c r="T379" s="74">
        <v>0</v>
      </c>
      <c r="U379" s="93">
        <v>0</v>
      </c>
      <c r="V379" s="74">
        <v>13.5</v>
      </c>
      <c r="W379" s="93">
        <f>IF($R379 &gt; 0, 100 - $V379, 0)</f>
        <v>86.5</v>
      </c>
      <c r="X379" s="75">
        <v>0</v>
      </c>
      <c r="Y379" s="75">
        <f>IF($S379 &gt; 0, 100 - $X379 - $Z379, 0)</f>
        <v>0</v>
      </c>
      <c r="Z379" s="94">
        <v>0</v>
      </c>
      <c r="AA379" s="75">
        <v>0</v>
      </c>
      <c r="AB379" s="75">
        <f>IF($T379 &gt; 0, 100 - $AA379 - $AC379, 0)</f>
        <v>0</v>
      </c>
      <c r="AC379" s="94">
        <v>0</v>
      </c>
      <c r="AD379" s="75">
        <v>0</v>
      </c>
      <c r="AE379" s="75">
        <f>IF($U379 &gt; 0, 100 - $AD379 - $AF379, 0)</f>
        <v>0</v>
      </c>
      <c r="AF379" s="94">
        <v>0</v>
      </c>
      <c r="AG379" s="24" t="s">
        <v>43</v>
      </c>
      <c r="AH379" s="24" t="s">
        <v>792</v>
      </c>
      <c r="AI379" s="27"/>
      <c r="AJ379" s="27"/>
      <c r="AN379" s="82"/>
      <c r="AO379" s="82"/>
      <c r="AP379" s="82"/>
      <c r="AQ379" s="82"/>
      <c r="AR379" s="82"/>
      <c r="AS379" s="82"/>
      <c r="AT379" s="82"/>
      <c r="AU379" s="82"/>
    </row>
    <row r="380" spans="1:47" s="24" customFormat="1" ht="12">
      <c r="A380" s="24" t="s">
        <v>1174</v>
      </c>
      <c r="B380" s="25" t="s">
        <v>1175</v>
      </c>
      <c r="C380" s="26" t="s">
        <v>129</v>
      </c>
      <c r="D380" s="26" t="s">
        <v>34</v>
      </c>
      <c r="E380" s="24" t="s">
        <v>311</v>
      </c>
      <c r="G380" s="24" t="s">
        <v>1164</v>
      </c>
      <c r="H380" s="24" t="s">
        <v>1078</v>
      </c>
      <c r="J380" s="24">
        <v>40</v>
      </c>
      <c r="K380" s="24">
        <v>100</v>
      </c>
      <c r="L380" s="24" t="s">
        <v>38</v>
      </c>
      <c r="M380" s="24" t="s">
        <v>11</v>
      </c>
      <c r="N380" s="24" t="s">
        <v>1172</v>
      </c>
      <c r="O380" s="24" t="s">
        <v>183</v>
      </c>
      <c r="P380" s="24">
        <v>0</v>
      </c>
      <c r="Q380" s="31" t="s">
        <v>1173</v>
      </c>
      <c r="R380" s="74">
        <v>100</v>
      </c>
      <c r="S380" s="74">
        <f>100 - R380 - U380 - T380</f>
        <v>0</v>
      </c>
      <c r="T380" s="74">
        <v>0</v>
      </c>
      <c r="U380" s="93">
        <v>0</v>
      </c>
      <c r="V380" s="74">
        <v>13.5</v>
      </c>
      <c r="W380" s="93">
        <f>IF($R380 &gt; 0, 100 - $V380, 0)</f>
        <v>86.5</v>
      </c>
      <c r="X380" s="75">
        <v>0</v>
      </c>
      <c r="Y380" s="75">
        <f>IF($S380 &gt; 0, 100 - $X380 - $Z380, 0)</f>
        <v>0</v>
      </c>
      <c r="Z380" s="94">
        <v>0</v>
      </c>
      <c r="AA380" s="75">
        <v>0</v>
      </c>
      <c r="AB380" s="75">
        <f>IF($T380 &gt; 0, 100 - $AA380 - $AC380, 0)</f>
        <v>0</v>
      </c>
      <c r="AC380" s="94">
        <v>0</v>
      </c>
      <c r="AD380" s="75">
        <v>0</v>
      </c>
      <c r="AE380" s="75">
        <f>IF($U380 &gt; 0, 100 - $AD380 - $AF380, 0)</f>
        <v>0</v>
      </c>
      <c r="AF380" s="94">
        <v>0</v>
      </c>
      <c r="AG380" s="24" t="s">
        <v>43</v>
      </c>
      <c r="AH380" s="24" t="s">
        <v>792</v>
      </c>
      <c r="AI380" s="27"/>
      <c r="AJ380" s="27"/>
      <c r="AN380" s="82"/>
      <c r="AO380" s="82"/>
      <c r="AP380" s="82"/>
      <c r="AQ380" s="82"/>
      <c r="AR380" s="82"/>
      <c r="AS380" s="82"/>
      <c r="AT380" s="82"/>
      <c r="AU380" s="82"/>
    </row>
    <row r="381" spans="1:47" s="24" customFormat="1" ht="12">
      <c r="A381" s="24" t="s">
        <v>1176</v>
      </c>
      <c r="B381" s="25" t="s">
        <v>1177</v>
      </c>
      <c r="C381" s="26" t="s">
        <v>129</v>
      </c>
      <c r="D381" s="26" t="s">
        <v>34</v>
      </c>
      <c r="E381" s="24" t="s">
        <v>311</v>
      </c>
      <c r="G381" s="24" t="s">
        <v>1164</v>
      </c>
      <c r="H381" s="24" t="s">
        <v>1078</v>
      </c>
      <c r="J381" s="24">
        <v>0</v>
      </c>
      <c r="K381" s="24">
        <v>40</v>
      </c>
      <c r="L381" s="24" t="s">
        <v>38</v>
      </c>
      <c r="M381" s="24" t="s">
        <v>11</v>
      </c>
      <c r="N381" s="24" t="s">
        <v>1172</v>
      </c>
      <c r="O381" s="24" t="s">
        <v>183</v>
      </c>
      <c r="P381" s="24">
        <v>0</v>
      </c>
      <c r="Q381" s="31" t="s">
        <v>1173</v>
      </c>
      <c r="R381" s="74">
        <v>100</v>
      </c>
      <c r="S381" s="74">
        <f>100 - R381 - U381 - T381</f>
        <v>0</v>
      </c>
      <c r="T381" s="74">
        <v>0</v>
      </c>
      <c r="U381" s="93">
        <v>0</v>
      </c>
      <c r="V381" s="74">
        <v>13.5</v>
      </c>
      <c r="W381" s="93">
        <f>IF($R381 &gt; 0, 100 - $V381, 0)</f>
        <v>86.5</v>
      </c>
      <c r="X381" s="75">
        <v>0</v>
      </c>
      <c r="Y381" s="75">
        <f>IF($S381 &gt; 0, 100 - $X381 - $Z381, 0)</f>
        <v>0</v>
      </c>
      <c r="Z381" s="94">
        <v>0</v>
      </c>
      <c r="AA381" s="75">
        <v>0</v>
      </c>
      <c r="AB381" s="75">
        <f>IF($T381 &gt; 0, 100 - $AA381 - $AC381, 0)</f>
        <v>0</v>
      </c>
      <c r="AC381" s="94">
        <v>0</v>
      </c>
      <c r="AD381" s="75">
        <v>0</v>
      </c>
      <c r="AE381" s="75">
        <f>IF($U381 &gt; 0, 100 - $AD381 - $AF381, 0)</f>
        <v>0</v>
      </c>
      <c r="AF381" s="94">
        <v>0</v>
      </c>
      <c r="AG381" s="24" t="s">
        <v>43</v>
      </c>
      <c r="AH381" s="24" t="s">
        <v>792</v>
      </c>
      <c r="AI381" s="27"/>
      <c r="AJ381" s="27"/>
      <c r="AN381" s="82"/>
      <c r="AO381" s="82"/>
      <c r="AP381" s="82"/>
      <c r="AQ381" s="82"/>
      <c r="AR381" s="82"/>
      <c r="AS381" s="82"/>
      <c r="AT381" s="82"/>
      <c r="AU381" s="82"/>
    </row>
    <row r="382" spans="1:47" s="24" customFormat="1" ht="12">
      <c r="A382" s="24" t="s">
        <v>1178</v>
      </c>
      <c r="B382" s="25" t="s">
        <v>1179</v>
      </c>
      <c r="C382" s="26" t="s">
        <v>1180</v>
      </c>
      <c r="D382" s="26" t="s">
        <v>310</v>
      </c>
      <c r="E382" s="24" t="s">
        <v>311</v>
      </c>
      <c r="G382" s="24" t="s">
        <v>1074</v>
      </c>
      <c r="H382" s="24" t="s">
        <v>1078</v>
      </c>
      <c r="J382" s="24">
        <v>45</v>
      </c>
      <c r="K382" s="24">
        <v>90</v>
      </c>
      <c r="L382" s="24" t="s">
        <v>38</v>
      </c>
      <c r="M382" s="24" t="s">
        <v>11</v>
      </c>
      <c r="N382" s="24" t="s">
        <v>704</v>
      </c>
      <c r="O382" s="24" t="s">
        <v>739</v>
      </c>
      <c r="P382" s="24">
        <v>369</v>
      </c>
      <c r="Q382" s="31" t="s">
        <v>1181</v>
      </c>
      <c r="R382" s="74">
        <v>100</v>
      </c>
      <c r="S382" s="74">
        <f>100 - R382 - U382 - T382</f>
        <v>0</v>
      </c>
      <c r="T382" s="74">
        <v>0</v>
      </c>
      <c r="U382" s="93">
        <v>0</v>
      </c>
      <c r="V382" s="75">
        <f>INDEX(Chemical_analyses!$A:$L, MATCH($P382, Chemical_analyses!$A:$A), 9)/$AI$1/(INDEX(Chemical_analyses!$A:$L, MATCH($P382, Chemical_analyses!$A:$A), 9)/$AI$1+INDEX(Chemical_analyses!$A:$L, MATCH($P382, Chemical_analyses!$A:$A), 11)/$AJ$1)*100</f>
        <v>14.410715171884696</v>
      </c>
      <c r="W382" s="93">
        <f>IF($R382 &gt; 0, 100 - $V382, 0)</f>
        <v>85.589284828115296</v>
      </c>
      <c r="X382" s="75">
        <v>0</v>
      </c>
      <c r="Y382" s="75">
        <f>IF($S382 &gt; 0, 100 - $X382 - $Z382, 0)</f>
        <v>0</v>
      </c>
      <c r="Z382" s="94">
        <v>0</v>
      </c>
      <c r="AA382" s="75">
        <v>0</v>
      </c>
      <c r="AB382" s="75">
        <f>IF($T382 &gt; 0, 100 - $AA382 - $AC382, 0)</f>
        <v>0</v>
      </c>
      <c r="AC382" s="94">
        <v>0</v>
      </c>
      <c r="AD382" s="75">
        <v>0</v>
      </c>
      <c r="AE382" s="75">
        <f>IF($U382 &gt; 0, 100 - $AD382 - $AF382, 0)</f>
        <v>0</v>
      </c>
      <c r="AF382" s="94">
        <v>0</v>
      </c>
      <c r="AG382" s="24" t="s">
        <v>43</v>
      </c>
      <c r="AH382" s="27" t="str">
        <f>_xlfn.CONCAT("FeO: ", INDEX(Chemical_analyses!$A:$M, MATCH($P382, Chemical_analyses!$A:$A), 9), ", MgO: ", INDEX(Chemical_analyses!$A:$M, MATCH($P382, Chemical_analyses!$A:$A), 11), ", CaO: ", INDEX(Chemical_analyses!$A:$M, MATCH($P382, Chemical_analyses!$A:$A), 12), ", MnO: ", INDEX(Chemical_analyses!$A:$M, MATCH($P382, Chemical_analyses!$A:$A), 10), ", NaO2: ", INDEX(Chemical_analyses!$A:$M, MATCH($P382, Chemical_analyses!$A:$A), 13), ", Fe2O3: ", INDEX(Chemical_analyses!$A:$M, MATCH($P382, Chemical_analyses!$A:$A), 8), ", Al2O3: ", INDEX(Chemical_analyses!$A:$M, MATCH($P382, Chemical_analyses!$A:$A), 6))</f>
        <v>FeO: 13.92, MgO: 46.38, CaO: 0.13, MnO: 0.23, NaO2: 0, Fe2O3: 0, Al2O3: 0</v>
      </c>
      <c r="AI382" s="27"/>
      <c r="AJ382" s="27"/>
      <c r="AN382" s="82"/>
      <c r="AO382" s="82"/>
      <c r="AP382" s="82"/>
      <c r="AQ382" s="82"/>
      <c r="AR382" s="82"/>
      <c r="AS382" s="82"/>
      <c r="AT382" s="82"/>
      <c r="AU382" s="82"/>
    </row>
    <row r="383" spans="1:47" s="24" customFormat="1" ht="12">
      <c r="A383" s="24" t="s">
        <v>1182</v>
      </c>
      <c r="B383" s="25" t="s">
        <v>1183</v>
      </c>
      <c r="C383" s="26" t="s">
        <v>1180</v>
      </c>
      <c r="D383" s="26" t="s">
        <v>310</v>
      </c>
      <c r="E383" s="24" t="s">
        <v>311</v>
      </c>
      <c r="G383" s="24" t="s">
        <v>1074</v>
      </c>
      <c r="H383" s="24" t="s">
        <v>1078</v>
      </c>
      <c r="J383" s="24">
        <v>45</v>
      </c>
      <c r="K383" s="24">
        <v>90</v>
      </c>
      <c r="L383" s="24" t="s">
        <v>38</v>
      </c>
      <c r="M383" s="24" t="s">
        <v>11</v>
      </c>
      <c r="N383" s="24" t="s">
        <v>1184</v>
      </c>
      <c r="O383" s="24" t="s">
        <v>739</v>
      </c>
      <c r="P383" s="24">
        <v>370</v>
      </c>
      <c r="Q383" s="31" t="s">
        <v>1185</v>
      </c>
      <c r="R383" s="74">
        <v>100</v>
      </c>
      <c r="S383" s="74">
        <f>100 - R383 - U383 - T383</f>
        <v>0</v>
      </c>
      <c r="T383" s="74">
        <v>0</v>
      </c>
      <c r="U383" s="93">
        <v>0</v>
      </c>
      <c r="V383" s="75">
        <f>INDEX(Chemical_analyses!$A:$L, MATCH($P383, Chemical_analyses!$A:$A), 9)/$AI$1/(INDEX(Chemical_analyses!$A:$L, MATCH($P383, Chemical_analyses!$A:$A), 9)/$AI$1+INDEX(Chemical_analyses!$A:$L, MATCH($P383, Chemical_analyses!$A:$A), 11)/$AJ$1)*100</f>
        <v>9.7781401108635624</v>
      </c>
      <c r="W383" s="93">
        <f>IF($R383 &gt; 0, 100 - $V383, 0)</f>
        <v>90.221859889136439</v>
      </c>
      <c r="X383" s="75">
        <v>0</v>
      </c>
      <c r="Y383" s="75">
        <f>IF($S383 &gt; 0, 100 - $X383 - $Z383, 0)</f>
        <v>0</v>
      </c>
      <c r="Z383" s="94">
        <v>0</v>
      </c>
      <c r="AA383" s="75">
        <v>0</v>
      </c>
      <c r="AB383" s="75">
        <f>IF($T383 &gt; 0, 100 - $AA383 - $AC383, 0)</f>
        <v>0</v>
      </c>
      <c r="AC383" s="94">
        <v>0</v>
      </c>
      <c r="AD383" s="75">
        <v>0</v>
      </c>
      <c r="AE383" s="75">
        <f>IF($U383 &gt; 0, 100 - $AD383 - $AF383, 0)</f>
        <v>0</v>
      </c>
      <c r="AF383" s="94">
        <v>0</v>
      </c>
      <c r="AG383" s="24" t="s">
        <v>43</v>
      </c>
      <c r="AH383" s="27" t="str">
        <f>_xlfn.CONCAT("FeO: ", INDEX(Chemical_analyses!$A:$M, MATCH($P383, Chemical_analyses!$A:$A), 9), ", MgO: ", INDEX(Chemical_analyses!$A:$M, MATCH($P383, Chemical_analyses!$A:$A), 11), ", CaO: ", INDEX(Chemical_analyses!$A:$M, MATCH($P383, Chemical_analyses!$A:$A), 12), ", MnO: ", INDEX(Chemical_analyses!$A:$M, MATCH($P383, Chemical_analyses!$A:$A), 10), ", NaO2: ", INDEX(Chemical_analyses!$A:$M, MATCH($P383, Chemical_analyses!$A:$A), 13), ", Fe2O3: ", INDEX(Chemical_analyses!$A:$M, MATCH($P383, Chemical_analyses!$A:$A), 8), ", Al2O3: ", INDEX(Chemical_analyses!$A:$M, MATCH($P383, Chemical_analyses!$A:$A), 6))</f>
        <v>FeO: 9.59, MgO: 49.64, CaO: 0, MnO: 0.09, NaO2: 0, Fe2O3: 0, Al2O3: 0</v>
      </c>
      <c r="AI383" s="27"/>
      <c r="AJ383" s="27"/>
      <c r="AN383" s="82"/>
      <c r="AO383" s="82"/>
      <c r="AP383" s="82"/>
      <c r="AQ383" s="82"/>
      <c r="AR383" s="82"/>
      <c r="AS383" s="82"/>
      <c r="AT383" s="82"/>
      <c r="AU383" s="82"/>
    </row>
    <row r="384" spans="1:47" s="24" customFormat="1" ht="12">
      <c r="A384" s="24" t="s">
        <v>1186</v>
      </c>
      <c r="B384" s="25" t="s">
        <v>1187</v>
      </c>
      <c r="C384" s="26" t="s">
        <v>1180</v>
      </c>
      <c r="D384" s="26" t="s">
        <v>310</v>
      </c>
      <c r="E384" s="24" t="s">
        <v>311</v>
      </c>
      <c r="G384" s="24" t="s">
        <v>1074</v>
      </c>
      <c r="H384" s="24" t="s">
        <v>1078</v>
      </c>
      <c r="J384" s="24">
        <v>45</v>
      </c>
      <c r="K384" s="24">
        <v>90</v>
      </c>
      <c r="L384" s="24" t="s">
        <v>38</v>
      </c>
      <c r="M384" s="24" t="s">
        <v>11</v>
      </c>
      <c r="N384" s="24" t="s">
        <v>1188</v>
      </c>
      <c r="O384" s="24" t="s">
        <v>739</v>
      </c>
      <c r="P384" s="24">
        <v>372</v>
      </c>
      <c r="Q384" s="31" t="s">
        <v>1189</v>
      </c>
      <c r="R384" s="74">
        <v>100</v>
      </c>
      <c r="S384" s="74">
        <f>100 - R384 - U384 - T384</f>
        <v>0</v>
      </c>
      <c r="T384" s="74">
        <v>0</v>
      </c>
      <c r="U384" s="93">
        <v>0</v>
      </c>
      <c r="V384" s="75">
        <f>INDEX(Chemical_analyses!$A:$L, MATCH($P384, Chemical_analyses!$A:$A), 9)/$AI$1/(INDEX(Chemical_analyses!$A:$L, MATCH($P384, Chemical_analyses!$A:$A), 9)/$AI$1+INDEX(Chemical_analyses!$A:$L, MATCH($P384, Chemical_analyses!$A:$A), 11)/$AJ$1)*100</f>
        <v>9.4776178671198572</v>
      </c>
      <c r="W384" s="93">
        <f>IF($R384 &gt; 0, 100 - $V384, 0)</f>
        <v>90.522382132880139</v>
      </c>
      <c r="X384" s="75">
        <v>0</v>
      </c>
      <c r="Y384" s="75">
        <f>IF($S384 &gt; 0, 100 - $X384 - $Z384, 0)</f>
        <v>0</v>
      </c>
      <c r="Z384" s="94">
        <v>0</v>
      </c>
      <c r="AA384" s="75">
        <v>0</v>
      </c>
      <c r="AB384" s="75">
        <f>IF($T384 &gt; 0, 100 - $AA384 - $AC384, 0)</f>
        <v>0</v>
      </c>
      <c r="AC384" s="94">
        <v>0</v>
      </c>
      <c r="AD384" s="75">
        <v>0</v>
      </c>
      <c r="AE384" s="75">
        <f>IF($U384 &gt; 0, 100 - $AD384 - $AF384, 0)</f>
        <v>0</v>
      </c>
      <c r="AF384" s="94">
        <v>0</v>
      </c>
      <c r="AG384" s="24" t="s">
        <v>43</v>
      </c>
      <c r="AH384" s="27" t="str">
        <f>_xlfn.CONCAT("FeO: ", INDEX(Chemical_analyses!$A:$M, MATCH($P384, Chemical_analyses!$A:$A), 9), ", MgO: ", INDEX(Chemical_analyses!$A:$M, MATCH($P384, Chemical_analyses!$A:$A), 11), ", CaO: ", INDEX(Chemical_analyses!$A:$M, MATCH($P384, Chemical_analyses!$A:$A), 12), ", MnO: ", INDEX(Chemical_analyses!$A:$M, MATCH($P384, Chemical_analyses!$A:$A), 10), ", NaO2: ", INDEX(Chemical_analyses!$A:$M, MATCH($P384, Chemical_analyses!$A:$A), 13), ", Fe2O3: ", INDEX(Chemical_analyses!$A:$M, MATCH($P384, Chemical_analyses!$A:$A), 8), ", Al2O3: ", INDEX(Chemical_analyses!$A:$M, MATCH($P384, Chemical_analyses!$A:$A), 6))</f>
        <v>FeO: 9.27, MgO: 49.67, CaO: 0.09, MnO: 0.13, NaO2: 0, Fe2O3: 0, Al2O3: 0.01</v>
      </c>
      <c r="AI384" s="27"/>
      <c r="AJ384" s="27"/>
      <c r="AN384" s="82"/>
      <c r="AO384" s="82"/>
      <c r="AP384" s="82"/>
      <c r="AQ384" s="82"/>
      <c r="AR384" s="82"/>
      <c r="AS384" s="82"/>
      <c r="AT384" s="82"/>
      <c r="AU384" s="82"/>
    </row>
    <row r="385" spans="1:47" s="24" customFormat="1" ht="12">
      <c r="A385" s="24" t="s">
        <v>1190</v>
      </c>
      <c r="B385" s="25" t="s">
        <v>1191</v>
      </c>
      <c r="C385" s="26" t="s">
        <v>1180</v>
      </c>
      <c r="D385" s="26" t="s">
        <v>310</v>
      </c>
      <c r="E385" s="24" t="s">
        <v>311</v>
      </c>
      <c r="G385" s="24" t="s">
        <v>1074</v>
      </c>
      <c r="H385" s="24" t="s">
        <v>1078</v>
      </c>
      <c r="J385" s="24">
        <v>45</v>
      </c>
      <c r="K385" s="24">
        <v>90</v>
      </c>
      <c r="L385" s="24" t="s">
        <v>38</v>
      </c>
      <c r="M385" s="24" t="s">
        <v>11</v>
      </c>
      <c r="N385" s="24" t="s">
        <v>1192</v>
      </c>
      <c r="O385" s="24" t="s">
        <v>739</v>
      </c>
      <c r="P385" s="24">
        <v>374</v>
      </c>
      <c r="Q385" s="31" t="s">
        <v>1193</v>
      </c>
      <c r="R385" s="74">
        <v>100</v>
      </c>
      <c r="S385" s="74">
        <f>100 - R385 - U385 - T385</f>
        <v>0</v>
      </c>
      <c r="T385" s="74">
        <v>0</v>
      </c>
      <c r="U385" s="93">
        <v>0</v>
      </c>
      <c r="V385" s="75">
        <f>INDEX(Chemical_analyses!$A:$L, MATCH($P385, Chemical_analyses!$A:$A), 9)/$AI$1/(INDEX(Chemical_analyses!$A:$L, MATCH($P385, Chemical_analyses!$A:$A), 9)/$AI$1+INDEX(Chemical_analyses!$A:$L, MATCH($P385, Chemical_analyses!$A:$A), 11)/$AJ$1)*100</f>
        <v>14.331671269621285</v>
      </c>
      <c r="W385" s="93">
        <f>IF($R385 &gt; 0, 100 - $V385, 0)</f>
        <v>85.668328730378718</v>
      </c>
      <c r="X385" s="75">
        <v>0</v>
      </c>
      <c r="Y385" s="75">
        <f>IF($S385 &gt; 0, 100 - $X385 - $Z385, 0)</f>
        <v>0</v>
      </c>
      <c r="Z385" s="94">
        <v>0</v>
      </c>
      <c r="AA385" s="75">
        <v>0</v>
      </c>
      <c r="AB385" s="75">
        <f>IF($T385 &gt; 0, 100 - $AA385 - $AC385, 0)</f>
        <v>0</v>
      </c>
      <c r="AC385" s="94">
        <v>0</v>
      </c>
      <c r="AD385" s="75">
        <v>0</v>
      </c>
      <c r="AE385" s="75">
        <f>IF($U385 &gt; 0, 100 - $AD385 - $AF385, 0)</f>
        <v>0</v>
      </c>
      <c r="AF385" s="94">
        <v>0</v>
      </c>
      <c r="AG385" s="24" t="s">
        <v>43</v>
      </c>
      <c r="AH385" s="27" t="str">
        <f>_xlfn.CONCAT("FeO: ", INDEX(Chemical_analyses!$A:$M, MATCH($P385, Chemical_analyses!$A:$A), 9), ", MgO: ", INDEX(Chemical_analyses!$A:$M, MATCH($P385, Chemical_analyses!$A:$A), 11), ", CaO: ", INDEX(Chemical_analyses!$A:$M, MATCH($P385, Chemical_analyses!$A:$A), 12), ", MnO: ", INDEX(Chemical_analyses!$A:$M, MATCH($P385, Chemical_analyses!$A:$A), 10), ", NaO2: ", INDEX(Chemical_analyses!$A:$M, MATCH($P385, Chemical_analyses!$A:$A), 13), ", Fe2O3: ", INDEX(Chemical_analyses!$A:$M, MATCH($P385, Chemical_analyses!$A:$A), 8), ", Al2O3: ", INDEX(Chemical_analyses!$A:$M, MATCH($P385, Chemical_analyses!$A:$A), 6))</f>
        <v>FeO: 13.81, MgO: 46.31, CaO: 0.03, MnO: 0.22, NaO2: 0, Fe2O3: 0, Al2O3: 0</v>
      </c>
      <c r="AI385" s="27"/>
      <c r="AJ385" s="27"/>
      <c r="AN385" s="82"/>
      <c r="AO385" s="82"/>
      <c r="AP385" s="82"/>
      <c r="AQ385" s="82"/>
      <c r="AR385" s="82"/>
      <c r="AS385" s="82"/>
      <c r="AT385" s="82"/>
      <c r="AU385" s="82"/>
    </row>
    <row r="386" spans="1:47" s="24" customFormat="1" ht="12">
      <c r="A386" s="24" t="s">
        <v>1194</v>
      </c>
      <c r="B386" s="25" t="s">
        <v>1195</v>
      </c>
      <c r="C386" s="26" t="s">
        <v>795</v>
      </c>
      <c r="D386" s="26" t="s">
        <v>413</v>
      </c>
      <c r="E386" s="24" t="s">
        <v>311</v>
      </c>
      <c r="G386" s="24" t="s">
        <v>1074</v>
      </c>
      <c r="H386" s="24" t="s">
        <v>1150</v>
      </c>
      <c r="J386" s="24">
        <v>0</v>
      </c>
      <c r="K386" s="24">
        <v>75</v>
      </c>
      <c r="L386" s="24" t="s">
        <v>38</v>
      </c>
      <c r="M386" s="24" t="s">
        <v>11</v>
      </c>
      <c r="N386" s="24" t="s">
        <v>797</v>
      </c>
      <c r="O386" s="24" t="s">
        <v>797</v>
      </c>
      <c r="P386" s="24">
        <v>0</v>
      </c>
      <c r="Q386" s="31" t="s">
        <v>1196</v>
      </c>
      <c r="R386" s="74">
        <v>100</v>
      </c>
      <c r="S386" s="74">
        <f>100 - R386 - U386 - T386</f>
        <v>0</v>
      </c>
      <c r="T386" s="74">
        <v>0</v>
      </c>
      <c r="U386" s="93">
        <v>0</v>
      </c>
      <c r="V386" s="74">
        <v>100</v>
      </c>
      <c r="W386" s="93">
        <f>IF($R386 &gt; 0, 100 - $V386, 0)</f>
        <v>0</v>
      </c>
      <c r="X386" s="75">
        <v>0</v>
      </c>
      <c r="Y386" s="75">
        <f>IF($S386 &gt; 0, 100 - $X386 - $Z386, 0)</f>
        <v>0</v>
      </c>
      <c r="Z386" s="94">
        <v>0</v>
      </c>
      <c r="AA386" s="75">
        <v>0</v>
      </c>
      <c r="AB386" s="75">
        <f>IF($T386 &gt; 0, 100 - $AA386 - $AC386, 0)</f>
        <v>0</v>
      </c>
      <c r="AC386" s="94">
        <v>0</v>
      </c>
      <c r="AD386" s="75">
        <v>0</v>
      </c>
      <c r="AE386" s="75">
        <f>IF($U386 &gt; 0, 100 - $AD386 - $AF386, 0)</f>
        <v>0</v>
      </c>
      <c r="AF386" s="94">
        <v>0</v>
      </c>
      <c r="AG386" s="24" t="s">
        <v>43</v>
      </c>
      <c r="AH386" s="24" t="s">
        <v>525</v>
      </c>
      <c r="AI386" s="27"/>
      <c r="AJ386" s="27"/>
      <c r="AN386" s="82"/>
      <c r="AO386" s="82"/>
      <c r="AP386" s="82"/>
      <c r="AQ386" s="82"/>
      <c r="AR386" s="82"/>
      <c r="AS386" s="82"/>
      <c r="AT386" s="82"/>
      <c r="AU386" s="82"/>
    </row>
    <row r="387" spans="1:47" s="24" customFormat="1" ht="12">
      <c r="A387" s="24" t="s">
        <v>1197</v>
      </c>
      <c r="B387" s="25" t="s">
        <v>1198</v>
      </c>
      <c r="C387" s="26" t="s">
        <v>795</v>
      </c>
      <c r="D387" s="26" t="s">
        <v>310</v>
      </c>
      <c r="E387" s="24" t="s">
        <v>311</v>
      </c>
      <c r="G387" s="24" t="s">
        <v>1074</v>
      </c>
      <c r="H387" s="24" t="s">
        <v>1199</v>
      </c>
      <c r="J387" s="24">
        <v>0</v>
      </c>
      <c r="K387" s="24">
        <v>75</v>
      </c>
      <c r="L387" s="24" t="s">
        <v>38</v>
      </c>
      <c r="M387" s="24" t="s">
        <v>11</v>
      </c>
      <c r="N387" s="24" t="s">
        <v>1200</v>
      </c>
      <c r="O387" s="24" t="s">
        <v>1201</v>
      </c>
      <c r="P387" s="24">
        <v>0</v>
      </c>
      <c r="Q387" s="31" t="s">
        <v>1202</v>
      </c>
      <c r="R387" s="74">
        <v>100</v>
      </c>
      <c r="S387" s="74">
        <f>100 - R387 - U387 - T387</f>
        <v>0</v>
      </c>
      <c r="T387" s="74">
        <v>0</v>
      </c>
      <c r="U387" s="93">
        <v>0</v>
      </c>
      <c r="V387" s="74">
        <v>50</v>
      </c>
      <c r="W387" s="93">
        <f>IF($R387 &gt; 0, 100 - $V387, 0)</f>
        <v>50</v>
      </c>
      <c r="X387" s="75">
        <v>0</v>
      </c>
      <c r="Y387" s="75">
        <f>IF($S387 &gt; 0, 100 - $X387 - $Z387, 0)</f>
        <v>0</v>
      </c>
      <c r="Z387" s="94">
        <v>0</v>
      </c>
      <c r="AA387" s="75">
        <v>0</v>
      </c>
      <c r="AB387" s="75">
        <f>IF($T387 &gt; 0, 100 - $AA387 - $AC387, 0)</f>
        <v>0</v>
      </c>
      <c r="AC387" s="94">
        <v>0</v>
      </c>
      <c r="AD387" s="75">
        <v>0</v>
      </c>
      <c r="AE387" s="75">
        <f>IF($U387 &gt; 0, 100 - $AD387 - $AF387, 0)</f>
        <v>0</v>
      </c>
      <c r="AF387" s="94">
        <v>0</v>
      </c>
      <c r="AG387" s="24" t="s">
        <v>43</v>
      </c>
      <c r="AH387" s="24" t="s">
        <v>682</v>
      </c>
      <c r="AI387" s="27"/>
      <c r="AJ387" s="27"/>
      <c r="AN387" s="82"/>
      <c r="AO387" s="82"/>
      <c r="AP387" s="82"/>
      <c r="AQ387" s="82"/>
      <c r="AR387" s="82"/>
      <c r="AS387" s="82"/>
      <c r="AT387" s="82"/>
      <c r="AU387" s="82"/>
    </row>
    <row r="388" spans="1:47" s="24" customFormat="1" ht="12">
      <c r="A388" s="24" t="s">
        <v>1203</v>
      </c>
      <c r="B388" s="25" t="s">
        <v>1204</v>
      </c>
      <c r="C388" s="26" t="s">
        <v>795</v>
      </c>
      <c r="D388" s="26" t="s">
        <v>310</v>
      </c>
      <c r="E388" s="24" t="s">
        <v>311</v>
      </c>
      <c r="G388" s="24" t="s">
        <v>1074</v>
      </c>
      <c r="H388" s="24" t="s">
        <v>1205</v>
      </c>
      <c r="J388" s="24">
        <v>0</v>
      </c>
      <c r="K388" s="24">
        <v>45</v>
      </c>
      <c r="L388" s="24" t="s">
        <v>38</v>
      </c>
      <c r="M388" s="24" t="s">
        <v>11</v>
      </c>
      <c r="N388" s="24" t="s">
        <v>1206</v>
      </c>
      <c r="O388" s="24" t="s">
        <v>1207</v>
      </c>
      <c r="P388" s="24">
        <v>0</v>
      </c>
      <c r="Q388" s="31"/>
      <c r="R388" s="74">
        <v>100</v>
      </c>
      <c r="S388" s="74">
        <f>100 - R388 - U388 - T388</f>
        <v>0</v>
      </c>
      <c r="T388" s="74">
        <v>0</v>
      </c>
      <c r="U388" s="93">
        <v>0</v>
      </c>
      <c r="V388" s="74">
        <f>35.55/$AI$1/(35.55/$AI$1 + 22/$AJ$1)*100</f>
        <v>47.548250878284257</v>
      </c>
      <c r="W388" s="93">
        <f>IF($R388 &gt; 0, 100 - $V388, 0)</f>
        <v>52.451749121715743</v>
      </c>
      <c r="X388" s="75">
        <v>0</v>
      </c>
      <c r="Y388" s="75">
        <f>IF($S388 &gt; 0, 100 - $X388 - $Z388, 0)</f>
        <v>0</v>
      </c>
      <c r="Z388" s="94">
        <v>0</v>
      </c>
      <c r="AA388" s="75">
        <v>0</v>
      </c>
      <c r="AB388" s="75">
        <f>IF($T388 &gt; 0, 100 - $AA388 - $AC388, 0)</f>
        <v>0</v>
      </c>
      <c r="AC388" s="94">
        <v>0</v>
      </c>
      <c r="AD388" s="75">
        <v>0</v>
      </c>
      <c r="AE388" s="75">
        <f>IF($U388 &gt; 0, 100 - $AD388 - $AF388, 0)</f>
        <v>0</v>
      </c>
      <c r="AF388" s="94">
        <v>0</v>
      </c>
      <c r="AG388" s="24" t="s">
        <v>43</v>
      </c>
      <c r="AH388" s="32" t="s">
        <v>1208</v>
      </c>
      <c r="AI388" s="27"/>
      <c r="AJ388" s="27"/>
      <c r="AN388" s="82"/>
      <c r="AO388" s="82"/>
      <c r="AP388" s="82"/>
      <c r="AQ388" s="82"/>
      <c r="AR388" s="82"/>
      <c r="AS388" s="82"/>
      <c r="AT388" s="82"/>
      <c r="AU388" s="82"/>
    </row>
    <row r="389" spans="1:47" s="24" customFormat="1" ht="12">
      <c r="A389" s="24" t="s">
        <v>1209</v>
      </c>
      <c r="B389" s="25" t="s">
        <v>1210</v>
      </c>
      <c r="C389" s="26" t="s">
        <v>795</v>
      </c>
      <c r="D389" s="26" t="s">
        <v>310</v>
      </c>
      <c r="E389" s="24" t="s">
        <v>311</v>
      </c>
      <c r="G389" s="24" t="s">
        <v>1074</v>
      </c>
      <c r="H389" s="24" t="s">
        <v>1205</v>
      </c>
      <c r="J389" s="24">
        <v>45</v>
      </c>
      <c r="K389" s="24">
        <v>75</v>
      </c>
      <c r="L389" s="24" t="s">
        <v>38</v>
      </c>
      <c r="M389" s="24" t="s">
        <v>11</v>
      </c>
      <c r="N389" s="24" t="s">
        <v>1206</v>
      </c>
      <c r="O389" s="24" t="s">
        <v>1211</v>
      </c>
      <c r="P389" s="24">
        <v>0</v>
      </c>
      <c r="Q389" s="31"/>
      <c r="R389" s="74">
        <v>100</v>
      </c>
      <c r="S389" s="74">
        <f>100 - R389 - U389 - T389</f>
        <v>0</v>
      </c>
      <c r="T389" s="74">
        <v>0</v>
      </c>
      <c r="U389" s="93">
        <v>0</v>
      </c>
      <c r="V389" s="74">
        <f>35.55/$AI$1/(35.55/$AI$1 + 22/$AJ$1)*100</f>
        <v>47.548250878284257</v>
      </c>
      <c r="W389" s="93">
        <f>IF($R389 &gt; 0, 100 - $V389, 0)</f>
        <v>52.451749121715743</v>
      </c>
      <c r="X389" s="75">
        <v>0</v>
      </c>
      <c r="Y389" s="75">
        <f>IF($S389 &gt; 0, 100 - $X389 - $Z389, 0)</f>
        <v>0</v>
      </c>
      <c r="Z389" s="94">
        <v>0</v>
      </c>
      <c r="AA389" s="75">
        <v>0</v>
      </c>
      <c r="AB389" s="75">
        <f>IF($T389 &gt; 0, 100 - $AA389 - $AC389, 0)</f>
        <v>0</v>
      </c>
      <c r="AC389" s="94">
        <v>0</v>
      </c>
      <c r="AD389" s="75">
        <v>0</v>
      </c>
      <c r="AE389" s="75">
        <f>IF($U389 &gt; 0, 100 - $AD389 - $AF389, 0)</f>
        <v>0</v>
      </c>
      <c r="AF389" s="94">
        <v>0</v>
      </c>
      <c r="AG389" s="24" t="s">
        <v>43</v>
      </c>
      <c r="AH389" s="32" t="s">
        <v>1208</v>
      </c>
      <c r="AI389" s="27"/>
      <c r="AJ389" s="27"/>
      <c r="AN389" s="82"/>
      <c r="AO389" s="82"/>
      <c r="AP389" s="82"/>
      <c r="AQ389" s="82"/>
      <c r="AR389" s="82"/>
      <c r="AS389" s="82"/>
      <c r="AT389" s="82"/>
      <c r="AU389" s="82"/>
    </row>
    <row r="390" spans="1:47" s="24" customFormat="1" ht="12">
      <c r="A390" s="24" t="s">
        <v>1212</v>
      </c>
      <c r="B390" s="25" t="s">
        <v>1213</v>
      </c>
      <c r="C390" s="26" t="s">
        <v>129</v>
      </c>
      <c r="D390" s="26" t="s">
        <v>310</v>
      </c>
      <c r="E390" s="24" t="s">
        <v>311</v>
      </c>
      <c r="G390" s="24" t="s">
        <v>1074</v>
      </c>
      <c r="H390" s="24" t="s">
        <v>1078</v>
      </c>
      <c r="J390" s="24">
        <v>45</v>
      </c>
      <c r="K390" s="24">
        <v>75</v>
      </c>
      <c r="L390" s="24" t="s">
        <v>38</v>
      </c>
      <c r="M390" s="24" t="s">
        <v>11</v>
      </c>
      <c r="N390" s="24" t="s">
        <v>698</v>
      </c>
      <c r="O390" s="24" t="s">
        <v>459</v>
      </c>
      <c r="P390" s="24">
        <v>0</v>
      </c>
      <c r="Q390" s="31" t="s">
        <v>1214</v>
      </c>
      <c r="R390" s="74">
        <v>100</v>
      </c>
      <c r="S390" s="74">
        <f>100 - R390 - U390 - T390</f>
        <v>0</v>
      </c>
      <c r="T390" s="74">
        <v>0</v>
      </c>
      <c r="U390" s="93">
        <v>0</v>
      </c>
      <c r="V390" s="74">
        <f>10.7/$AI$1/(10.7/$AI$1+47.2/$AJ$1)*100</f>
        <v>11.282577855953143</v>
      </c>
      <c r="W390" s="93">
        <f>IF($R390 &gt; 0, 100 - $V390, 0)</f>
        <v>88.71742214404685</v>
      </c>
      <c r="X390" s="75">
        <v>0</v>
      </c>
      <c r="Y390" s="75">
        <f>IF($S390 &gt; 0, 100 - $X390 - $Z390, 0)</f>
        <v>0</v>
      </c>
      <c r="Z390" s="94">
        <v>0</v>
      </c>
      <c r="AA390" s="75">
        <v>0</v>
      </c>
      <c r="AB390" s="75">
        <f>IF($T390 &gt; 0, 100 - $AA390 - $AC390, 0)</f>
        <v>0</v>
      </c>
      <c r="AC390" s="94">
        <v>0</v>
      </c>
      <c r="AD390" s="75">
        <v>0</v>
      </c>
      <c r="AE390" s="75">
        <f>IF($U390 &gt; 0, 100 - $AD390 - $AF390, 0)</f>
        <v>0</v>
      </c>
      <c r="AF390" s="94">
        <v>0</v>
      </c>
      <c r="AG390" s="24" t="s">
        <v>43</v>
      </c>
      <c r="AH390" s="24" t="s">
        <v>1215</v>
      </c>
      <c r="AI390" s="27"/>
      <c r="AJ390" s="27"/>
      <c r="AN390" s="82"/>
      <c r="AO390" s="82"/>
      <c r="AP390" s="82"/>
      <c r="AQ390" s="82"/>
      <c r="AR390" s="82"/>
      <c r="AS390" s="82"/>
      <c r="AT390" s="82"/>
      <c r="AU390" s="82"/>
    </row>
    <row r="391" spans="1:47" s="24" customFormat="1" ht="12">
      <c r="A391" s="24" t="s">
        <v>1216</v>
      </c>
      <c r="B391" s="25" t="s">
        <v>1217</v>
      </c>
      <c r="C391" s="26" t="s">
        <v>129</v>
      </c>
      <c r="D391" s="26" t="s">
        <v>310</v>
      </c>
      <c r="E391" s="24" t="s">
        <v>311</v>
      </c>
      <c r="G391" s="24" t="s">
        <v>1074</v>
      </c>
      <c r="H391" s="24" t="s">
        <v>1078</v>
      </c>
      <c r="J391" s="24">
        <v>0</v>
      </c>
      <c r="K391" s="24">
        <v>45</v>
      </c>
      <c r="L391" s="24" t="s">
        <v>38</v>
      </c>
      <c r="M391" s="24" t="s">
        <v>11</v>
      </c>
      <c r="N391" s="24" t="s">
        <v>698</v>
      </c>
      <c r="O391" s="24" t="s">
        <v>1218</v>
      </c>
      <c r="P391" s="24">
        <v>0</v>
      </c>
      <c r="Q391" s="31" t="s">
        <v>1219</v>
      </c>
      <c r="R391" s="74">
        <v>100</v>
      </c>
      <c r="S391" s="74">
        <f>100 - R391 - U391 - T391</f>
        <v>0</v>
      </c>
      <c r="T391" s="74">
        <v>0</v>
      </c>
      <c r="U391" s="93">
        <v>0</v>
      </c>
      <c r="V391" s="74">
        <v>11</v>
      </c>
      <c r="W391" s="93">
        <f>IF($R391 &gt; 0, 100 - $V391, 0)</f>
        <v>89</v>
      </c>
      <c r="X391" s="75">
        <v>0</v>
      </c>
      <c r="Y391" s="75">
        <v>0</v>
      </c>
      <c r="Z391" s="94">
        <v>0</v>
      </c>
      <c r="AA391" s="75">
        <v>0</v>
      </c>
      <c r="AB391" s="75">
        <v>0</v>
      </c>
      <c r="AC391" s="94">
        <v>0</v>
      </c>
      <c r="AD391" s="75">
        <v>0</v>
      </c>
      <c r="AE391" s="75">
        <v>0</v>
      </c>
      <c r="AF391" s="94">
        <v>0</v>
      </c>
      <c r="AG391" s="24" t="s">
        <v>43</v>
      </c>
      <c r="AH391" s="52" t="s">
        <v>1220</v>
      </c>
      <c r="AI391" s="27"/>
      <c r="AJ391" s="27"/>
      <c r="AN391" s="82"/>
      <c r="AO391" s="82"/>
      <c r="AP391" s="82"/>
      <c r="AQ391" s="82"/>
      <c r="AR391" s="82"/>
      <c r="AS391" s="82"/>
      <c r="AT391" s="82"/>
      <c r="AU391" s="82"/>
    </row>
    <row r="392" spans="1:47" s="24" customFormat="1" ht="12">
      <c r="A392" s="24" t="s">
        <v>1221</v>
      </c>
      <c r="B392" s="25" t="s">
        <v>1222</v>
      </c>
      <c r="C392" s="26" t="s">
        <v>129</v>
      </c>
      <c r="D392" s="26" t="s">
        <v>310</v>
      </c>
      <c r="E392" s="24" t="s">
        <v>311</v>
      </c>
      <c r="G392" s="24" t="s">
        <v>1074</v>
      </c>
      <c r="H392" s="24" t="s">
        <v>1078</v>
      </c>
      <c r="J392" s="24">
        <v>0</v>
      </c>
      <c r="K392" s="24">
        <v>250</v>
      </c>
      <c r="L392" s="24" t="s">
        <v>38</v>
      </c>
      <c r="M392" s="24" t="s">
        <v>11</v>
      </c>
      <c r="N392" s="24" t="s">
        <v>698</v>
      </c>
      <c r="O392" s="24" t="s">
        <v>1211</v>
      </c>
      <c r="P392" s="24">
        <v>37</v>
      </c>
      <c r="Q392" s="31" t="s">
        <v>1223</v>
      </c>
      <c r="R392" s="74">
        <v>100</v>
      </c>
      <c r="S392" s="74">
        <f>100 - R392 - U392 - T392</f>
        <v>0</v>
      </c>
      <c r="T392" s="74">
        <v>0</v>
      </c>
      <c r="U392" s="93">
        <v>0</v>
      </c>
      <c r="V392" s="75">
        <f>INDEX(Chemical_analyses!$A:$L, MATCH($P392, Chemical_analyses!$A:$A), 9)/$AI$1/(INDEX(Chemical_analyses!$A:$L, MATCH($P392, Chemical_analyses!$A:$A), 9)/$AI$1+INDEX(Chemical_analyses!$A:$L, MATCH($P392, Chemical_analyses!$A:$A), 11)/$AJ$1)*100</f>
        <v>17.612682822477854</v>
      </c>
      <c r="W392" s="93">
        <f>IF($R392 &gt; 0, 100 - $V392, 0)</f>
        <v>82.387317177522149</v>
      </c>
      <c r="X392" s="75">
        <v>0</v>
      </c>
      <c r="Y392" s="75">
        <f>IF($S392 &gt; 0, 100 - $X392 - $Z392, 0)</f>
        <v>0</v>
      </c>
      <c r="Z392" s="94">
        <v>0</v>
      </c>
      <c r="AA392" s="75">
        <v>0</v>
      </c>
      <c r="AB392" s="75">
        <f>IF($T392 &gt; 0, 100 - $AA392 - $AC392, 0)</f>
        <v>0</v>
      </c>
      <c r="AC392" s="94">
        <v>0</v>
      </c>
      <c r="AD392" s="75">
        <v>0</v>
      </c>
      <c r="AE392" s="75">
        <f>IF($U392 &gt; 0, 100 - $AD392 - $AF392, 0)</f>
        <v>0</v>
      </c>
      <c r="AF392" s="94">
        <v>0</v>
      </c>
      <c r="AG392" s="24" t="s">
        <v>43</v>
      </c>
      <c r="AH392" s="27" t="str">
        <f>_xlfn.CONCAT("FeO: ", INDEX(Chemical_analyses!$A:$M, MATCH($P392, Chemical_analyses!$A:$A), 9), ", MgO: ", INDEX(Chemical_analyses!$A:$M, MATCH($P392, Chemical_analyses!$A:$A), 11), ", CaO: ", INDEX(Chemical_analyses!$A:$M, MATCH($P392, Chemical_analyses!$A:$A), 12), ", MnO: ", INDEX(Chemical_analyses!$A:$M, MATCH($P392, Chemical_analyses!$A:$A), 10), ", NaO2: ", INDEX(Chemical_analyses!$A:$M, MATCH($P392, Chemical_analyses!$A:$A), 13), ", Fe2O3: ", INDEX(Chemical_analyses!$A:$M, MATCH($P392, Chemical_analyses!$A:$A), 8), ", Al2O3: ", INDEX(Chemical_analyses!$A:$M, MATCH($P392, Chemical_analyses!$A:$A), 6))</f>
        <v>FeO: 16.63, MgO: 43.64, CaO: 0.16, MnO: 0.24, NaO2: 0.01, Fe2O3: 0, Al2O3: 0.04</v>
      </c>
      <c r="AI392" s="27"/>
      <c r="AJ392" s="27"/>
      <c r="AN392" s="82"/>
      <c r="AO392" s="82"/>
      <c r="AP392" s="82"/>
      <c r="AQ392" s="82"/>
      <c r="AR392" s="82"/>
      <c r="AS392" s="82"/>
      <c r="AT392" s="82"/>
      <c r="AU392" s="82"/>
    </row>
    <row r="393" spans="1:47" s="24" customFormat="1" ht="12">
      <c r="A393" s="24" t="s">
        <v>1224</v>
      </c>
      <c r="B393" s="25" t="s">
        <v>1222</v>
      </c>
      <c r="C393" s="26" t="s">
        <v>129</v>
      </c>
      <c r="D393" s="26" t="s">
        <v>310</v>
      </c>
      <c r="E393" s="24" t="s">
        <v>311</v>
      </c>
      <c r="G393" s="24" t="s">
        <v>1074</v>
      </c>
      <c r="H393" s="24" t="s">
        <v>1078</v>
      </c>
      <c r="J393" s="24">
        <v>0</v>
      </c>
      <c r="K393" s="24">
        <v>45</v>
      </c>
      <c r="L393" s="24" t="s">
        <v>38</v>
      </c>
      <c r="M393" s="24" t="s">
        <v>11</v>
      </c>
      <c r="N393" s="24" t="s">
        <v>698</v>
      </c>
      <c r="O393" s="24" t="s">
        <v>1211</v>
      </c>
      <c r="P393" s="24">
        <v>37</v>
      </c>
      <c r="Q393" s="31" t="s">
        <v>1223</v>
      </c>
      <c r="R393" s="74">
        <v>100</v>
      </c>
      <c r="S393" s="74">
        <f>100 - R393 - U393 - T393</f>
        <v>0</v>
      </c>
      <c r="T393" s="74">
        <v>0</v>
      </c>
      <c r="U393" s="93">
        <v>0</v>
      </c>
      <c r="V393" s="75">
        <f>INDEX(Chemical_analyses!$A:$L, MATCH($P393, Chemical_analyses!$A:$A), 9)/$AI$1/(INDEX(Chemical_analyses!$A:$L, MATCH($P393, Chemical_analyses!$A:$A), 9)/$AI$1+INDEX(Chemical_analyses!$A:$L, MATCH($P393, Chemical_analyses!$A:$A), 11)/$AJ$1)*100</f>
        <v>17.612682822477854</v>
      </c>
      <c r="W393" s="93">
        <f>IF($R393 &gt; 0, 100 - $V393, 0)</f>
        <v>82.387317177522149</v>
      </c>
      <c r="X393" s="75">
        <v>0</v>
      </c>
      <c r="Y393" s="75">
        <f>IF($S393 &gt; 0, 100 - $X393 - $Z393, 0)</f>
        <v>0</v>
      </c>
      <c r="Z393" s="94">
        <v>0</v>
      </c>
      <c r="AA393" s="75">
        <v>0</v>
      </c>
      <c r="AB393" s="75">
        <f>IF($T393 &gt; 0, 100 - $AA393 - $AC393, 0)</f>
        <v>0</v>
      </c>
      <c r="AC393" s="94">
        <v>0</v>
      </c>
      <c r="AD393" s="75">
        <v>0</v>
      </c>
      <c r="AE393" s="75">
        <f>IF($U393 &gt; 0, 100 - $AD393 - $AF393, 0)</f>
        <v>0</v>
      </c>
      <c r="AF393" s="94">
        <v>0</v>
      </c>
      <c r="AG393" s="24" t="s">
        <v>43</v>
      </c>
      <c r="AH393" s="27" t="str">
        <f>_xlfn.CONCAT("FeO: ", INDEX(Chemical_analyses!$A:$M, MATCH($P393, Chemical_analyses!$A:$A), 9), ", MgO: ", INDEX(Chemical_analyses!$A:$M, MATCH($P393, Chemical_analyses!$A:$A), 11), ", CaO: ", INDEX(Chemical_analyses!$A:$M, MATCH($P393, Chemical_analyses!$A:$A), 12), ", MnO: ", INDEX(Chemical_analyses!$A:$M, MATCH($P393, Chemical_analyses!$A:$A), 10), ", NaO2: ", INDEX(Chemical_analyses!$A:$M, MATCH($P393, Chemical_analyses!$A:$A), 13), ", Fe2O3: ", INDEX(Chemical_analyses!$A:$M, MATCH($P393, Chemical_analyses!$A:$A), 8), ", Al2O3: ", INDEX(Chemical_analyses!$A:$M, MATCH($P393, Chemical_analyses!$A:$A), 6))</f>
        <v>FeO: 16.63, MgO: 43.64, CaO: 0.16, MnO: 0.24, NaO2: 0.01, Fe2O3: 0, Al2O3: 0.04</v>
      </c>
      <c r="AI393" s="27"/>
      <c r="AJ393" s="27"/>
      <c r="AK393" s="24" t="s">
        <v>1225</v>
      </c>
      <c r="AN393" s="82"/>
      <c r="AO393" s="82"/>
      <c r="AP393" s="82"/>
      <c r="AQ393" s="82"/>
      <c r="AR393" s="82"/>
      <c r="AS393" s="82"/>
      <c r="AT393" s="82"/>
      <c r="AU393" s="82"/>
    </row>
    <row r="394" spans="1:47" s="24" customFormat="1" ht="12">
      <c r="A394" s="24" t="s">
        <v>1226</v>
      </c>
      <c r="B394" s="25" t="s">
        <v>1227</v>
      </c>
      <c r="C394" s="26" t="s">
        <v>129</v>
      </c>
      <c r="D394" s="26" t="s">
        <v>310</v>
      </c>
      <c r="E394" s="24" t="s">
        <v>311</v>
      </c>
      <c r="G394" s="24" t="s">
        <v>1164</v>
      </c>
      <c r="H394" s="24" t="s">
        <v>1078</v>
      </c>
      <c r="J394" s="24">
        <v>0</v>
      </c>
      <c r="K394" s="24">
        <v>25</v>
      </c>
      <c r="L394" s="24" t="s">
        <v>38</v>
      </c>
      <c r="M394" s="24" t="s">
        <v>11</v>
      </c>
      <c r="N394" s="24" t="s">
        <v>698</v>
      </c>
      <c r="O394" s="24" t="s">
        <v>450</v>
      </c>
      <c r="P394" s="24">
        <v>0</v>
      </c>
      <c r="Q394" s="31" t="s">
        <v>1228</v>
      </c>
      <c r="R394" s="74">
        <v>100</v>
      </c>
      <c r="S394" s="74">
        <f>100 - R394 - U394 - T394</f>
        <v>0</v>
      </c>
      <c r="T394" s="74">
        <v>0</v>
      </c>
      <c r="U394" s="93">
        <v>0</v>
      </c>
      <c r="V394" s="74">
        <v>11</v>
      </c>
      <c r="W394" s="93">
        <f>IF($R394 &gt; 0, 100 - $V394, 0)</f>
        <v>89</v>
      </c>
      <c r="X394" s="75">
        <v>0</v>
      </c>
      <c r="Y394" s="75">
        <f>IF($S394 &gt; 0, 100 - $X394 - $Z394, 0)</f>
        <v>0</v>
      </c>
      <c r="Z394" s="94">
        <v>0</v>
      </c>
      <c r="AA394" s="75">
        <v>0</v>
      </c>
      <c r="AB394" s="75">
        <f>IF($T394 &gt; 0, 100 - $AA394 - $AC394, 0)</f>
        <v>0</v>
      </c>
      <c r="AC394" s="94">
        <v>0</v>
      </c>
      <c r="AD394" s="75">
        <v>0</v>
      </c>
      <c r="AE394" s="75">
        <f>IF($U394 &gt; 0, 100 - $AD394 - $AF394, 0)</f>
        <v>0</v>
      </c>
      <c r="AF394" s="94">
        <v>0</v>
      </c>
      <c r="AG394" s="24" t="s">
        <v>43</v>
      </c>
      <c r="AH394" s="32" t="s">
        <v>1229</v>
      </c>
      <c r="AI394" s="27"/>
      <c r="AJ394" s="27"/>
      <c r="AN394" s="82"/>
      <c r="AO394" s="82"/>
      <c r="AP394" s="82"/>
      <c r="AQ394" s="82"/>
      <c r="AR394" s="82"/>
      <c r="AS394" s="82"/>
      <c r="AT394" s="82"/>
      <c r="AU394" s="82"/>
    </row>
    <row r="395" spans="1:47" s="24" customFormat="1" ht="12">
      <c r="A395" s="24" t="s">
        <v>1230</v>
      </c>
      <c r="B395" s="25" t="s">
        <v>1231</v>
      </c>
      <c r="C395" s="26" t="s">
        <v>129</v>
      </c>
      <c r="D395" s="26" t="s">
        <v>310</v>
      </c>
      <c r="E395" s="24" t="s">
        <v>311</v>
      </c>
      <c r="G395" s="24" t="s">
        <v>1164</v>
      </c>
      <c r="H395" s="24" t="s">
        <v>1078</v>
      </c>
      <c r="J395" s="24">
        <v>25</v>
      </c>
      <c r="K395" s="24">
        <v>75</v>
      </c>
      <c r="L395" s="24" t="s">
        <v>38</v>
      </c>
      <c r="M395" s="24" t="s">
        <v>11</v>
      </c>
      <c r="N395" s="24" t="s">
        <v>698</v>
      </c>
      <c r="O395" s="24" t="s">
        <v>450</v>
      </c>
      <c r="P395" s="24">
        <v>0</v>
      </c>
      <c r="Q395" s="31"/>
      <c r="R395" s="74">
        <v>100</v>
      </c>
      <c r="S395" s="74">
        <f>100 - R395 - U395 - T395</f>
        <v>0</v>
      </c>
      <c r="T395" s="74">
        <v>0</v>
      </c>
      <c r="U395" s="93">
        <v>0</v>
      </c>
      <c r="V395" s="74">
        <v>11</v>
      </c>
      <c r="W395" s="93">
        <f>IF($R395 &gt; 0, 100 - $V395, 0)</f>
        <v>89</v>
      </c>
      <c r="X395" s="75">
        <v>0</v>
      </c>
      <c r="Y395" s="75">
        <f>IF($S395 &gt; 0, 100 - $X395 - $Z395, 0)</f>
        <v>0</v>
      </c>
      <c r="Z395" s="94">
        <v>0</v>
      </c>
      <c r="AA395" s="75">
        <v>0</v>
      </c>
      <c r="AB395" s="75">
        <f>IF($T395 &gt; 0, 100 - $AA395 - $AC395, 0)</f>
        <v>0</v>
      </c>
      <c r="AC395" s="94">
        <v>0</v>
      </c>
      <c r="AD395" s="75">
        <v>0</v>
      </c>
      <c r="AE395" s="75">
        <f>IF($U395 &gt; 0, 100 - $AD395 - $AF395, 0)</f>
        <v>0</v>
      </c>
      <c r="AF395" s="94">
        <v>0</v>
      </c>
      <c r="AG395" s="24" t="s">
        <v>43</v>
      </c>
      <c r="AH395" s="32" t="s">
        <v>1229</v>
      </c>
      <c r="AI395" s="27"/>
      <c r="AJ395" s="27"/>
      <c r="AN395" s="82"/>
      <c r="AO395" s="82"/>
      <c r="AP395" s="82"/>
      <c r="AQ395" s="82"/>
      <c r="AR395" s="82"/>
      <c r="AS395" s="82"/>
      <c r="AT395" s="82"/>
      <c r="AU395" s="82"/>
    </row>
    <row r="396" spans="1:47" s="24" customFormat="1" ht="12">
      <c r="A396" s="24" t="s">
        <v>1232</v>
      </c>
      <c r="B396" s="25" t="s">
        <v>1233</v>
      </c>
      <c r="C396" s="26" t="s">
        <v>129</v>
      </c>
      <c r="D396" s="26" t="s">
        <v>310</v>
      </c>
      <c r="E396" s="24" t="s">
        <v>311</v>
      </c>
      <c r="G396" s="24" t="s">
        <v>1164</v>
      </c>
      <c r="H396" s="24" t="s">
        <v>1078</v>
      </c>
      <c r="J396" s="24">
        <v>75</v>
      </c>
      <c r="K396" s="24">
        <v>250</v>
      </c>
      <c r="L396" s="24" t="s">
        <v>38</v>
      </c>
      <c r="M396" s="24" t="s">
        <v>11</v>
      </c>
      <c r="N396" s="24" t="s">
        <v>698</v>
      </c>
      <c r="O396" s="24" t="s">
        <v>450</v>
      </c>
      <c r="P396" s="24">
        <v>0</v>
      </c>
      <c r="Q396" s="31"/>
      <c r="R396" s="74">
        <v>100</v>
      </c>
      <c r="S396" s="74">
        <f>100 - R396 - U396 - T396</f>
        <v>0</v>
      </c>
      <c r="T396" s="74">
        <v>0</v>
      </c>
      <c r="U396" s="93">
        <v>0</v>
      </c>
      <c r="V396" s="74">
        <v>11</v>
      </c>
      <c r="W396" s="93">
        <f>IF($R396 &gt; 0, 100 - $V396, 0)</f>
        <v>89</v>
      </c>
      <c r="X396" s="75">
        <v>0</v>
      </c>
      <c r="Y396" s="75">
        <f>IF($S396 &gt; 0, 100 - $X396 - $Z396, 0)</f>
        <v>0</v>
      </c>
      <c r="Z396" s="94">
        <v>0</v>
      </c>
      <c r="AA396" s="75">
        <v>0</v>
      </c>
      <c r="AB396" s="75">
        <f>IF($T396 &gt; 0, 100 - $AA396 - $AC396, 0)</f>
        <v>0</v>
      </c>
      <c r="AC396" s="94">
        <v>0</v>
      </c>
      <c r="AD396" s="75">
        <v>0</v>
      </c>
      <c r="AE396" s="75">
        <f>IF($U396 &gt; 0, 100 - $AD396 - $AF396, 0)</f>
        <v>0</v>
      </c>
      <c r="AF396" s="94">
        <v>0</v>
      </c>
      <c r="AG396" s="24" t="s">
        <v>43</v>
      </c>
      <c r="AH396" s="32" t="s">
        <v>1229</v>
      </c>
      <c r="AI396" s="27"/>
      <c r="AJ396" s="27"/>
      <c r="AN396" s="82"/>
      <c r="AO396" s="82"/>
      <c r="AP396" s="82"/>
      <c r="AQ396" s="82"/>
      <c r="AR396" s="82"/>
      <c r="AS396" s="82"/>
      <c r="AT396" s="82"/>
      <c r="AU396" s="82"/>
    </row>
    <row r="397" spans="1:47" s="24" customFormat="1" ht="12">
      <c r="A397" s="24" t="s">
        <v>1234</v>
      </c>
      <c r="B397" s="25" t="s">
        <v>1235</v>
      </c>
      <c r="C397" s="26" t="s">
        <v>129</v>
      </c>
      <c r="D397" s="26" t="s">
        <v>310</v>
      </c>
      <c r="E397" s="24" t="s">
        <v>311</v>
      </c>
      <c r="G397" s="24" t="s">
        <v>1164</v>
      </c>
      <c r="H397" s="24" t="s">
        <v>1078</v>
      </c>
      <c r="J397" s="24">
        <v>0</v>
      </c>
      <c r="K397" s="24">
        <v>25</v>
      </c>
      <c r="L397" s="24" t="s">
        <v>38</v>
      </c>
      <c r="M397" s="24" t="s">
        <v>11</v>
      </c>
      <c r="N397" s="24" t="s">
        <v>698</v>
      </c>
      <c r="O397" s="24" t="s">
        <v>450</v>
      </c>
      <c r="P397" s="24">
        <v>0</v>
      </c>
      <c r="Q397" s="31" t="s">
        <v>1236</v>
      </c>
      <c r="R397" s="74">
        <v>100</v>
      </c>
      <c r="S397" s="74">
        <f>100 - R397 - U397 - T397</f>
        <v>0</v>
      </c>
      <c r="T397" s="74">
        <v>0</v>
      </c>
      <c r="U397" s="93">
        <v>0</v>
      </c>
      <c r="V397" s="74">
        <v>11</v>
      </c>
      <c r="W397" s="93">
        <f>IF($R397 &gt; 0, 100 - $V397, 0)</f>
        <v>89</v>
      </c>
      <c r="X397" s="75">
        <v>0</v>
      </c>
      <c r="Y397" s="75">
        <f>IF($S397 &gt; 0, 100 - $X397 - $Z397, 0)</f>
        <v>0</v>
      </c>
      <c r="Z397" s="94">
        <v>0</v>
      </c>
      <c r="AA397" s="75">
        <v>0</v>
      </c>
      <c r="AB397" s="75">
        <f>IF($T397 &gt; 0, 100 - $AA397 - $AC397, 0)</f>
        <v>0</v>
      </c>
      <c r="AC397" s="94">
        <v>0</v>
      </c>
      <c r="AD397" s="75">
        <v>0</v>
      </c>
      <c r="AE397" s="75">
        <f>IF($U397 &gt; 0, 100 - $AD397 - $AF397, 0)</f>
        <v>0</v>
      </c>
      <c r="AF397" s="94">
        <v>0</v>
      </c>
      <c r="AG397" s="24" t="s">
        <v>43</v>
      </c>
      <c r="AH397" s="32" t="s">
        <v>1229</v>
      </c>
      <c r="AI397" s="27"/>
      <c r="AJ397" s="27"/>
      <c r="AN397" s="82"/>
      <c r="AO397" s="82"/>
      <c r="AP397" s="82"/>
      <c r="AQ397" s="82"/>
      <c r="AR397" s="82"/>
      <c r="AS397" s="82"/>
      <c r="AT397" s="82"/>
      <c r="AU397" s="82"/>
    </row>
    <row r="398" spans="1:47" s="24" customFormat="1" ht="12">
      <c r="A398" s="24" t="s">
        <v>1237</v>
      </c>
      <c r="B398" s="25" t="s">
        <v>1238</v>
      </c>
      <c r="C398" s="26" t="s">
        <v>129</v>
      </c>
      <c r="D398" s="26" t="s">
        <v>310</v>
      </c>
      <c r="E398" s="24" t="s">
        <v>311</v>
      </c>
      <c r="G398" s="24" t="s">
        <v>1164</v>
      </c>
      <c r="H398" s="24" t="s">
        <v>1078</v>
      </c>
      <c r="J398" s="24">
        <v>0</v>
      </c>
      <c r="K398" s="24">
        <v>0</v>
      </c>
      <c r="L398" s="24" t="s">
        <v>38</v>
      </c>
      <c r="M398" s="24" t="s">
        <v>11</v>
      </c>
      <c r="N398" s="24" t="s">
        <v>698</v>
      </c>
      <c r="O398" s="24" t="s">
        <v>450</v>
      </c>
      <c r="P398" s="24">
        <v>0</v>
      </c>
      <c r="Q398" s="31"/>
      <c r="R398" s="74">
        <v>100</v>
      </c>
      <c r="S398" s="74">
        <f>100 - R398 - U398 - T398</f>
        <v>0</v>
      </c>
      <c r="T398" s="74">
        <v>0</v>
      </c>
      <c r="U398" s="93">
        <v>0</v>
      </c>
      <c r="V398" s="74">
        <v>11</v>
      </c>
      <c r="W398" s="93">
        <f>IF($R398 &gt; 0, 100 - $V398, 0)</f>
        <v>89</v>
      </c>
      <c r="X398" s="75">
        <v>0</v>
      </c>
      <c r="Y398" s="75">
        <f>IF($S398 &gt; 0, 100 - $X398 - $Z398, 0)</f>
        <v>0</v>
      </c>
      <c r="Z398" s="94">
        <v>0</v>
      </c>
      <c r="AA398" s="75">
        <v>0</v>
      </c>
      <c r="AB398" s="75">
        <f>IF($T398 &gt; 0, 100 - $AA398 - $AC398, 0)</f>
        <v>0</v>
      </c>
      <c r="AC398" s="94">
        <v>0</v>
      </c>
      <c r="AD398" s="75">
        <v>0</v>
      </c>
      <c r="AE398" s="75">
        <f>IF($U398 &gt; 0, 100 - $AD398 - $AF398, 0)</f>
        <v>0</v>
      </c>
      <c r="AF398" s="94">
        <v>0</v>
      </c>
      <c r="AG398" s="24" t="s">
        <v>43</v>
      </c>
      <c r="AH398" s="32" t="s">
        <v>1229</v>
      </c>
      <c r="AI398" s="27"/>
      <c r="AJ398" s="27"/>
      <c r="AN398" s="82"/>
      <c r="AO398" s="82"/>
      <c r="AP398" s="82"/>
      <c r="AQ398" s="82"/>
      <c r="AR398" s="82"/>
      <c r="AS398" s="82"/>
      <c r="AT398" s="82"/>
      <c r="AU398" s="82"/>
    </row>
    <row r="399" spans="1:47" s="24" customFormat="1" ht="12">
      <c r="A399" s="24" t="s">
        <v>1239</v>
      </c>
      <c r="B399" s="25" t="s">
        <v>1240</v>
      </c>
      <c r="C399" s="26" t="s">
        <v>129</v>
      </c>
      <c r="D399" s="26" t="s">
        <v>310</v>
      </c>
      <c r="E399" s="24" t="s">
        <v>311</v>
      </c>
      <c r="G399" s="24" t="s">
        <v>1164</v>
      </c>
      <c r="H399" s="24" t="s">
        <v>1078</v>
      </c>
      <c r="J399" s="24">
        <v>0</v>
      </c>
      <c r="K399" s="24">
        <v>0</v>
      </c>
      <c r="L399" s="24" t="s">
        <v>38</v>
      </c>
      <c r="M399" s="24" t="s">
        <v>11</v>
      </c>
      <c r="N399" s="24" t="s">
        <v>698</v>
      </c>
      <c r="O399" s="24" t="s">
        <v>450</v>
      </c>
      <c r="P399" s="24">
        <v>0</v>
      </c>
      <c r="Q399" s="31"/>
      <c r="R399" s="74">
        <v>100</v>
      </c>
      <c r="S399" s="74">
        <f>100 - R399 - U399 - T399</f>
        <v>0</v>
      </c>
      <c r="T399" s="74">
        <v>0</v>
      </c>
      <c r="U399" s="93">
        <v>0</v>
      </c>
      <c r="V399" s="74">
        <v>11</v>
      </c>
      <c r="W399" s="93">
        <f>IF($R399 &gt; 0, 100 - $V399, 0)</f>
        <v>89</v>
      </c>
      <c r="X399" s="75">
        <v>0</v>
      </c>
      <c r="Y399" s="75">
        <f>IF($S399 &gt; 0, 100 - $X399 - $Z399, 0)</f>
        <v>0</v>
      </c>
      <c r="Z399" s="94">
        <v>0</v>
      </c>
      <c r="AA399" s="75">
        <v>0</v>
      </c>
      <c r="AB399" s="75">
        <f>IF($T399 &gt; 0, 100 - $AA399 - $AC399, 0)</f>
        <v>0</v>
      </c>
      <c r="AC399" s="94">
        <v>0</v>
      </c>
      <c r="AD399" s="75">
        <v>0</v>
      </c>
      <c r="AE399" s="75">
        <f>IF($U399 &gt; 0, 100 - $AD399 - $AF399, 0)</f>
        <v>0</v>
      </c>
      <c r="AF399" s="94">
        <v>0</v>
      </c>
      <c r="AG399" s="24" t="s">
        <v>43</v>
      </c>
      <c r="AH399" s="32" t="s">
        <v>1229</v>
      </c>
      <c r="AI399" s="27"/>
      <c r="AJ399" s="27"/>
      <c r="AN399" s="82"/>
      <c r="AO399" s="82"/>
      <c r="AP399" s="82"/>
      <c r="AQ399" s="82"/>
      <c r="AR399" s="82"/>
      <c r="AS399" s="82"/>
      <c r="AT399" s="82"/>
      <c r="AU399" s="82"/>
    </row>
    <row r="400" spans="1:47" s="24" customFormat="1" ht="12">
      <c r="A400" s="24" t="s">
        <v>1241</v>
      </c>
      <c r="B400" s="25" t="s">
        <v>1242</v>
      </c>
      <c r="C400" s="26" t="s">
        <v>129</v>
      </c>
      <c r="D400" s="26" t="s">
        <v>310</v>
      </c>
      <c r="E400" s="24" t="s">
        <v>311</v>
      </c>
      <c r="G400" s="24" t="s">
        <v>1164</v>
      </c>
      <c r="H400" s="24" t="s">
        <v>1078</v>
      </c>
      <c r="J400" s="24">
        <v>0</v>
      </c>
      <c r="K400" s="24">
        <v>0</v>
      </c>
      <c r="L400" s="24" t="s">
        <v>38</v>
      </c>
      <c r="M400" s="24" t="s">
        <v>11</v>
      </c>
      <c r="N400" s="24" t="s">
        <v>698</v>
      </c>
      <c r="O400" s="24" t="s">
        <v>450</v>
      </c>
      <c r="P400" s="24">
        <v>0</v>
      </c>
      <c r="Q400" s="31"/>
      <c r="R400" s="74">
        <v>100</v>
      </c>
      <c r="S400" s="74">
        <f>100 - R400 - U400 - T400</f>
        <v>0</v>
      </c>
      <c r="T400" s="74">
        <v>0</v>
      </c>
      <c r="U400" s="93">
        <v>0</v>
      </c>
      <c r="V400" s="74">
        <v>11</v>
      </c>
      <c r="W400" s="93">
        <f>IF($R400 &gt; 0, 100 - $V400, 0)</f>
        <v>89</v>
      </c>
      <c r="X400" s="75">
        <v>0</v>
      </c>
      <c r="Y400" s="75">
        <f>IF($S400 &gt; 0, 100 - $X400 - $Z400, 0)</f>
        <v>0</v>
      </c>
      <c r="Z400" s="94">
        <v>0</v>
      </c>
      <c r="AA400" s="75">
        <v>0</v>
      </c>
      <c r="AB400" s="75">
        <f>IF($T400 &gt; 0, 100 - $AA400 - $AC400, 0)</f>
        <v>0</v>
      </c>
      <c r="AC400" s="94">
        <v>0</v>
      </c>
      <c r="AD400" s="75">
        <v>0</v>
      </c>
      <c r="AE400" s="75">
        <f>IF($U400 &gt; 0, 100 - $AD400 - $AF400, 0)</f>
        <v>0</v>
      </c>
      <c r="AF400" s="94">
        <v>0</v>
      </c>
      <c r="AG400" s="24" t="s">
        <v>43</v>
      </c>
      <c r="AH400" s="32" t="s">
        <v>1229</v>
      </c>
      <c r="AI400" s="27"/>
      <c r="AJ400" s="27"/>
      <c r="AN400" s="82"/>
      <c r="AO400" s="82"/>
      <c r="AP400" s="82"/>
      <c r="AQ400" s="82"/>
      <c r="AR400" s="82"/>
      <c r="AS400" s="82"/>
      <c r="AT400" s="82"/>
      <c r="AU400" s="82"/>
    </row>
    <row r="401" spans="1:47" s="24" customFormat="1" ht="12">
      <c r="A401" s="24" t="s">
        <v>1243</v>
      </c>
      <c r="B401" s="25" t="s">
        <v>1244</v>
      </c>
      <c r="C401" s="26" t="s">
        <v>129</v>
      </c>
      <c r="D401" s="26" t="s">
        <v>310</v>
      </c>
      <c r="E401" s="24" t="s">
        <v>311</v>
      </c>
      <c r="G401" s="24" t="s">
        <v>1074</v>
      </c>
      <c r="H401" s="24" t="s">
        <v>1150</v>
      </c>
      <c r="J401" s="24">
        <v>0</v>
      </c>
      <c r="K401" s="24">
        <v>45</v>
      </c>
      <c r="L401" s="24" t="s">
        <v>38</v>
      </c>
      <c r="M401" s="24" t="s">
        <v>11</v>
      </c>
      <c r="N401" s="24" t="s">
        <v>1245</v>
      </c>
      <c r="O401" s="24" t="s">
        <v>1211</v>
      </c>
      <c r="P401" s="24">
        <v>0</v>
      </c>
      <c r="Q401" s="31" t="s">
        <v>1246</v>
      </c>
      <c r="R401" s="74">
        <v>100</v>
      </c>
      <c r="S401" s="74">
        <f>100 - R401 - U401 - T401</f>
        <v>0</v>
      </c>
      <c r="T401" s="74">
        <v>0</v>
      </c>
      <c r="U401" s="93">
        <v>0</v>
      </c>
      <c r="V401" s="74">
        <f>65.79/$AI$1/(65.79/$AI$1 + 0/$AJ$1)*100</f>
        <v>100</v>
      </c>
      <c r="W401" s="93">
        <f>IF($R401 &gt; 0, 100 - $V401, 0)</f>
        <v>0</v>
      </c>
      <c r="X401" s="75">
        <v>0</v>
      </c>
      <c r="Y401" s="75">
        <f>IF($S401 &gt; 0, 100 - $X401 - $Z401, 0)</f>
        <v>0</v>
      </c>
      <c r="Z401" s="94">
        <v>0</v>
      </c>
      <c r="AA401" s="75">
        <v>0</v>
      </c>
      <c r="AB401" s="75">
        <f>IF($T401 &gt; 0, 100 - $AA401 - $AC401, 0)</f>
        <v>0</v>
      </c>
      <c r="AC401" s="94">
        <v>0</v>
      </c>
      <c r="AD401" s="75">
        <v>0</v>
      </c>
      <c r="AE401" s="75">
        <f>IF($U401 &gt; 0, 100 - $AD401 - $AF401, 0)</f>
        <v>0</v>
      </c>
      <c r="AF401" s="94">
        <v>0</v>
      </c>
      <c r="AG401" s="24" t="s">
        <v>43</v>
      </c>
      <c r="AH401" s="32" t="s">
        <v>1247</v>
      </c>
      <c r="AI401" s="27"/>
      <c r="AJ401" s="27"/>
      <c r="AN401" s="82"/>
      <c r="AO401" s="82"/>
      <c r="AP401" s="82"/>
      <c r="AQ401" s="82"/>
      <c r="AR401" s="82"/>
      <c r="AS401" s="82"/>
      <c r="AT401" s="82"/>
      <c r="AU401" s="82"/>
    </row>
    <row r="402" spans="1:47" s="24" customFormat="1" ht="12">
      <c r="A402" s="44" t="s">
        <v>1248</v>
      </c>
      <c r="B402" s="45" t="s">
        <v>1244</v>
      </c>
      <c r="C402" s="46" t="s">
        <v>129</v>
      </c>
      <c r="D402" s="46" t="s">
        <v>310</v>
      </c>
      <c r="E402" s="44" t="s">
        <v>311</v>
      </c>
      <c r="F402" s="44"/>
      <c r="G402" s="44" t="s">
        <v>1074</v>
      </c>
      <c r="H402" s="44" t="s">
        <v>1150</v>
      </c>
      <c r="I402" s="44"/>
      <c r="J402" s="44">
        <v>45</v>
      </c>
      <c r="K402" s="44">
        <v>75</v>
      </c>
      <c r="L402" s="44" t="s">
        <v>38</v>
      </c>
      <c r="M402" s="44" t="s">
        <v>11</v>
      </c>
      <c r="N402" s="44" t="s">
        <v>1245</v>
      </c>
      <c r="O402" s="44" t="s">
        <v>1211</v>
      </c>
      <c r="P402" s="44">
        <v>0</v>
      </c>
      <c r="Q402" s="47" t="s">
        <v>1246</v>
      </c>
      <c r="R402" s="74">
        <v>100</v>
      </c>
      <c r="S402" s="74">
        <f>100 - R402 - U402 - T402</f>
        <v>0</v>
      </c>
      <c r="T402" s="74">
        <v>0</v>
      </c>
      <c r="U402" s="93">
        <v>0</v>
      </c>
      <c r="V402" s="74">
        <v>100</v>
      </c>
      <c r="W402" s="93">
        <f>IF($R402 &gt; 0, 100 - $V402, 0)</f>
        <v>0</v>
      </c>
      <c r="X402" s="75">
        <v>0</v>
      </c>
      <c r="Y402" s="75">
        <f>IF($S402 &gt; 0, 100 - $X402 - $Z402, 0)</f>
        <v>0</v>
      </c>
      <c r="Z402" s="94">
        <v>0</v>
      </c>
      <c r="AA402" s="75">
        <v>0</v>
      </c>
      <c r="AB402" s="75">
        <f>IF($T402 &gt; 0, 100 - $AA402 - $AC402, 0)</f>
        <v>0</v>
      </c>
      <c r="AC402" s="94">
        <v>0</v>
      </c>
      <c r="AD402" s="75">
        <v>0</v>
      </c>
      <c r="AE402" s="75">
        <f>IF($U402 &gt; 0, 100 - $AD402 - $AF402, 0)</f>
        <v>0</v>
      </c>
      <c r="AF402" s="94">
        <v>0</v>
      </c>
      <c r="AG402" s="24" t="s">
        <v>43</v>
      </c>
      <c r="AH402" s="24" t="s">
        <v>1249</v>
      </c>
      <c r="AI402" s="27"/>
      <c r="AJ402" s="27"/>
      <c r="AN402" s="82"/>
      <c r="AO402" s="82"/>
      <c r="AP402" s="82"/>
      <c r="AQ402" s="82"/>
      <c r="AR402" s="82"/>
      <c r="AS402" s="82"/>
      <c r="AT402" s="82"/>
      <c r="AU402" s="82"/>
    </row>
    <row r="403" spans="1:47" s="24" customFormat="1" ht="12">
      <c r="A403" s="44" t="s">
        <v>1250</v>
      </c>
      <c r="B403" s="45" t="s">
        <v>1251</v>
      </c>
      <c r="C403" s="46" t="s">
        <v>129</v>
      </c>
      <c r="D403" s="46" t="s">
        <v>310</v>
      </c>
      <c r="E403" s="44" t="s">
        <v>311</v>
      </c>
      <c r="F403" s="44"/>
      <c r="G403" s="44" t="s">
        <v>1074</v>
      </c>
      <c r="H403" s="44" t="s">
        <v>1150</v>
      </c>
      <c r="I403" s="44"/>
      <c r="J403" s="44">
        <v>0</v>
      </c>
      <c r="K403" s="44">
        <v>45</v>
      </c>
      <c r="L403" s="44" t="s">
        <v>38</v>
      </c>
      <c r="M403" s="44" t="s">
        <v>11</v>
      </c>
      <c r="N403" s="44" t="s">
        <v>1252</v>
      </c>
      <c r="O403" s="44" t="s">
        <v>1211</v>
      </c>
      <c r="P403" s="44">
        <v>0</v>
      </c>
      <c r="Q403" s="47" t="s">
        <v>1253</v>
      </c>
      <c r="R403" s="95">
        <v>100</v>
      </c>
      <c r="S403" s="74">
        <f>100 - R403 - U403 - T403</f>
        <v>0</v>
      </c>
      <c r="T403" s="95">
        <v>0</v>
      </c>
      <c r="U403" s="96">
        <v>0</v>
      </c>
      <c r="V403" s="74">
        <v>64</v>
      </c>
      <c r="W403" s="93">
        <f>IF($R403 &gt; 0, 100 - $V403, 0)</f>
        <v>36</v>
      </c>
      <c r="X403" s="75">
        <v>0</v>
      </c>
      <c r="Y403" s="75">
        <v>0</v>
      </c>
      <c r="Z403" s="94">
        <v>0</v>
      </c>
      <c r="AA403" s="75">
        <v>0</v>
      </c>
      <c r="AB403" s="75">
        <v>0</v>
      </c>
      <c r="AC403" s="94">
        <v>0</v>
      </c>
      <c r="AD403" s="75">
        <v>0</v>
      </c>
      <c r="AE403" s="75">
        <v>0</v>
      </c>
      <c r="AF403" s="94">
        <v>0</v>
      </c>
      <c r="AG403" s="24" t="s">
        <v>43</v>
      </c>
      <c r="AH403" s="52" t="s">
        <v>1220</v>
      </c>
      <c r="AI403" s="27"/>
      <c r="AJ403" s="27"/>
      <c r="AK403" s="24" t="s">
        <v>1254</v>
      </c>
      <c r="AN403" s="82"/>
      <c r="AO403" s="82"/>
      <c r="AP403" s="82"/>
      <c r="AQ403" s="82"/>
      <c r="AR403" s="82"/>
      <c r="AS403" s="82"/>
      <c r="AT403" s="82"/>
      <c r="AU403" s="82"/>
    </row>
    <row r="404" spans="1:47" s="24" customFormat="1" ht="12">
      <c r="A404" s="24" t="s">
        <v>1255</v>
      </c>
      <c r="B404" s="25" t="s">
        <v>1251</v>
      </c>
      <c r="C404" s="26" t="s">
        <v>129</v>
      </c>
      <c r="D404" s="26" t="s">
        <v>310</v>
      </c>
      <c r="E404" s="24" t="s">
        <v>311</v>
      </c>
      <c r="G404" s="24" t="s">
        <v>1074</v>
      </c>
      <c r="H404" s="24" t="s">
        <v>1150</v>
      </c>
      <c r="J404" s="24">
        <v>45</v>
      </c>
      <c r="K404" s="24">
        <v>75</v>
      </c>
      <c r="L404" s="24" t="s">
        <v>38</v>
      </c>
      <c r="M404" s="24" t="s">
        <v>11</v>
      </c>
      <c r="N404" s="24" t="s">
        <v>1252</v>
      </c>
      <c r="O404" s="24" t="s">
        <v>1211</v>
      </c>
      <c r="P404" s="24">
        <v>0</v>
      </c>
      <c r="Q404" s="31" t="s">
        <v>1253</v>
      </c>
      <c r="R404" s="74">
        <v>100</v>
      </c>
      <c r="S404" s="74">
        <f>100 - R404 - U404 - T404</f>
        <v>0</v>
      </c>
      <c r="T404" s="74">
        <v>0</v>
      </c>
      <c r="U404" s="93">
        <v>0</v>
      </c>
      <c r="V404" s="74">
        <v>64</v>
      </c>
      <c r="W404" s="93">
        <f>IF($R404 &gt; 0, 100 - $V404, 0)</f>
        <v>36</v>
      </c>
      <c r="X404" s="75">
        <v>0</v>
      </c>
      <c r="Y404" s="75">
        <f>IF($S404 &gt; 0, 100 - $X404 - $Z404, 0)</f>
        <v>0</v>
      </c>
      <c r="Z404" s="94">
        <v>0</v>
      </c>
      <c r="AA404" s="75">
        <v>0</v>
      </c>
      <c r="AB404" s="75">
        <f>IF($T404 &gt; 0, 100 - $AA404 - $AC404, 0)</f>
        <v>0</v>
      </c>
      <c r="AC404" s="94">
        <v>0</v>
      </c>
      <c r="AD404" s="75">
        <v>0</v>
      </c>
      <c r="AE404" s="75">
        <f>IF($U404 &gt; 0, 100 - $AD404 - $AF404, 0)</f>
        <v>0</v>
      </c>
      <c r="AF404" s="94">
        <v>0</v>
      </c>
      <c r="AG404" s="24" t="s">
        <v>43</v>
      </c>
      <c r="AH404" s="52" t="s">
        <v>1220</v>
      </c>
      <c r="AI404" s="27"/>
      <c r="AJ404" s="27"/>
      <c r="AN404" s="82"/>
      <c r="AO404" s="82"/>
      <c r="AP404" s="82"/>
      <c r="AQ404" s="82"/>
      <c r="AR404" s="82"/>
      <c r="AS404" s="82"/>
      <c r="AT404" s="82"/>
      <c r="AU404" s="82"/>
    </row>
    <row r="405" spans="1:47" s="24" customFormat="1" ht="12">
      <c r="A405" s="44" t="s">
        <v>1256</v>
      </c>
      <c r="B405" s="45" t="s">
        <v>1257</v>
      </c>
      <c r="C405" s="46" t="s">
        <v>129</v>
      </c>
      <c r="D405" s="46" t="s">
        <v>310</v>
      </c>
      <c r="E405" s="44" t="s">
        <v>311</v>
      </c>
      <c r="F405" s="44"/>
      <c r="G405" s="44" t="s">
        <v>1074</v>
      </c>
      <c r="H405" s="44" t="s">
        <v>1150</v>
      </c>
      <c r="I405" s="44"/>
      <c r="J405" s="44">
        <v>0</v>
      </c>
      <c r="K405" s="44">
        <v>45</v>
      </c>
      <c r="L405" s="44" t="s">
        <v>38</v>
      </c>
      <c r="M405" s="44" t="s">
        <v>11</v>
      </c>
      <c r="N405" s="44" t="s">
        <v>1258</v>
      </c>
      <c r="O405" s="44" t="s">
        <v>1211</v>
      </c>
      <c r="P405" s="44">
        <v>0</v>
      </c>
      <c r="Q405" s="47" t="s">
        <v>1259</v>
      </c>
      <c r="R405" s="95">
        <v>100</v>
      </c>
      <c r="S405" s="74">
        <f>100 - R405 - U405 - T405</f>
        <v>0</v>
      </c>
      <c r="T405" s="95">
        <v>0</v>
      </c>
      <c r="U405" s="96">
        <v>0</v>
      </c>
      <c r="V405" s="74">
        <v>58</v>
      </c>
      <c r="W405" s="93">
        <f>IF($R405 &gt; 0, 100 - $V405, 0)</f>
        <v>42</v>
      </c>
      <c r="X405" s="75">
        <v>0</v>
      </c>
      <c r="Y405" s="75">
        <v>0</v>
      </c>
      <c r="Z405" s="94">
        <v>0</v>
      </c>
      <c r="AA405" s="75">
        <v>0</v>
      </c>
      <c r="AB405" s="75">
        <v>0</v>
      </c>
      <c r="AC405" s="94">
        <v>0</v>
      </c>
      <c r="AD405" s="75">
        <v>0</v>
      </c>
      <c r="AE405" s="75">
        <v>0</v>
      </c>
      <c r="AF405" s="94">
        <v>0</v>
      </c>
      <c r="AG405" s="24" t="s">
        <v>43</v>
      </c>
      <c r="AH405" s="52" t="s">
        <v>1220</v>
      </c>
      <c r="AI405" s="27"/>
      <c r="AJ405" s="27"/>
      <c r="AK405" s="24" t="s">
        <v>1254</v>
      </c>
      <c r="AN405" s="82"/>
      <c r="AO405" s="82"/>
      <c r="AP405" s="82"/>
      <c r="AQ405" s="82"/>
      <c r="AR405" s="82"/>
      <c r="AS405" s="82"/>
      <c r="AT405" s="82"/>
      <c r="AU405" s="82"/>
    </row>
    <row r="406" spans="1:47" s="24" customFormat="1" ht="12">
      <c r="A406" s="24" t="s">
        <v>1260</v>
      </c>
      <c r="B406" s="25" t="s">
        <v>1261</v>
      </c>
      <c r="C406" s="26" t="s">
        <v>129</v>
      </c>
      <c r="D406" s="26" t="s">
        <v>310</v>
      </c>
      <c r="E406" s="24" t="s">
        <v>311</v>
      </c>
      <c r="G406" s="24" t="s">
        <v>1074</v>
      </c>
      <c r="H406" s="24" t="s">
        <v>1262</v>
      </c>
      <c r="J406" s="24">
        <v>0</v>
      </c>
      <c r="K406" s="24">
        <v>45</v>
      </c>
      <c r="L406" s="24" t="s">
        <v>38</v>
      </c>
      <c r="M406" s="24" t="s">
        <v>11</v>
      </c>
      <c r="N406" s="24" t="s">
        <v>1263</v>
      </c>
      <c r="O406" s="24" t="s">
        <v>1211</v>
      </c>
      <c r="P406" s="24">
        <v>0</v>
      </c>
      <c r="Q406" s="31" t="s">
        <v>1264</v>
      </c>
      <c r="R406" s="74">
        <v>100</v>
      </c>
      <c r="S406" s="74">
        <f>100 - R406 - U406 - T406</f>
        <v>0</v>
      </c>
      <c r="T406" s="74">
        <v>0</v>
      </c>
      <c r="U406" s="93">
        <v>0</v>
      </c>
      <c r="V406" s="74">
        <v>8</v>
      </c>
      <c r="W406" s="93">
        <f>IF($R406 &gt; 0, 100 - $V406, 0)</f>
        <v>92</v>
      </c>
      <c r="X406" s="75">
        <v>0</v>
      </c>
      <c r="Y406" s="75">
        <f>IF($S406 &gt; 0, 100 - $X406 - $Z406, 0)</f>
        <v>0</v>
      </c>
      <c r="Z406" s="94">
        <v>0</v>
      </c>
      <c r="AA406" s="75">
        <v>0</v>
      </c>
      <c r="AB406" s="75">
        <f>IF($T406 &gt; 0, 100 - $AA406 - $AC406, 0)</f>
        <v>0</v>
      </c>
      <c r="AC406" s="94">
        <v>0</v>
      </c>
      <c r="AD406" s="75">
        <v>0</v>
      </c>
      <c r="AE406" s="75">
        <f>IF($U406 &gt; 0, 100 - $AD406 - $AF406, 0)</f>
        <v>0</v>
      </c>
      <c r="AF406" s="94">
        <v>0</v>
      </c>
      <c r="AG406" s="24" t="s">
        <v>43</v>
      </c>
      <c r="AH406" s="24" t="s">
        <v>682</v>
      </c>
      <c r="AI406" s="27"/>
      <c r="AJ406" s="27"/>
      <c r="AK406" s="24" t="s">
        <v>1254</v>
      </c>
      <c r="AN406" s="82"/>
      <c r="AO406" s="82"/>
      <c r="AP406" s="82"/>
      <c r="AQ406" s="82"/>
      <c r="AR406" s="82"/>
      <c r="AS406" s="82"/>
      <c r="AT406" s="82"/>
      <c r="AU406" s="82"/>
    </row>
    <row r="407" spans="1:47" s="24" customFormat="1" ht="12">
      <c r="A407" s="24" t="s">
        <v>1265</v>
      </c>
      <c r="B407" s="25" t="s">
        <v>1261</v>
      </c>
      <c r="C407" s="26" t="s">
        <v>129</v>
      </c>
      <c r="D407" s="26" t="s">
        <v>310</v>
      </c>
      <c r="E407" s="24" t="s">
        <v>311</v>
      </c>
      <c r="G407" s="24" t="s">
        <v>1074</v>
      </c>
      <c r="H407" s="24" t="s">
        <v>1262</v>
      </c>
      <c r="J407" s="24">
        <v>45</v>
      </c>
      <c r="K407" s="24">
        <v>75</v>
      </c>
      <c r="L407" s="24" t="s">
        <v>38</v>
      </c>
      <c r="M407" s="24" t="s">
        <v>11</v>
      </c>
      <c r="N407" s="24" t="s">
        <v>1263</v>
      </c>
      <c r="O407" s="24" t="s">
        <v>1211</v>
      </c>
      <c r="P407" s="24">
        <v>0</v>
      </c>
      <c r="Q407" s="31" t="s">
        <v>1264</v>
      </c>
      <c r="R407" s="74">
        <v>100</v>
      </c>
      <c r="S407" s="74">
        <f>100 - R407 - U407 - T407</f>
        <v>0</v>
      </c>
      <c r="T407" s="74">
        <v>0</v>
      </c>
      <c r="U407" s="93">
        <v>0</v>
      </c>
      <c r="V407" s="74">
        <v>8</v>
      </c>
      <c r="W407" s="93">
        <f>IF($R407 &gt; 0, 100 - $V407, 0)</f>
        <v>92</v>
      </c>
      <c r="X407" s="75">
        <v>0</v>
      </c>
      <c r="Y407" s="75">
        <f>IF($S407 &gt; 0, 100 - $X407 - $Z407, 0)</f>
        <v>0</v>
      </c>
      <c r="Z407" s="94">
        <v>0</v>
      </c>
      <c r="AA407" s="75">
        <v>0</v>
      </c>
      <c r="AB407" s="75">
        <f>IF($T407 &gt; 0, 100 - $AA407 - $AC407, 0)</f>
        <v>0</v>
      </c>
      <c r="AC407" s="94">
        <v>0</v>
      </c>
      <c r="AD407" s="75">
        <v>0</v>
      </c>
      <c r="AE407" s="75">
        <f>IF($U407 &gt; 0, 100 - $AD407 - $AF407, 0)</f>
        <v>0</v>
      </c>
      <c r="AF407" s="94">
        <v>0</v>
      </c>
      <c r="AG407" s="24" t="s">
        <v>43</v>
      </c>
      <c r="AH407" s="24" t="s">
        <v>682</v>
      </c>
      <c r="AI407" s="27"/>
      <c r="AJ407" s="27"/>
      <c r="AN407" s="82"/>
      <c r="AO407" s="82"/>
      <c r="AP407" s="82"/>
      <c r="AQ407" s="82"/>
      <c r="AR407" s="82"/>
      <c r="AS407" s="82"/>
      <c r="AT407" s="82"/>
      <c r="AU407" s="82"/>
    </row>
    <row r="408" spans="1:47" s="24" customFormat="1" ht="12">
      <c r="A408" s="24" t="s">
        <v>1266</v>
      </c>
      <c r="B408" s="25" t="s">
        <v>1267</v>
      </c>
      <c r="C408" s="26" t="s">
        <v>737</v>
      </c>
      <c r="D408" s="26" t="s">
        <v>310</v>
      </c>
      <c r="E408" s="24" t="s">
        <v>311</v>
      </c>
      <c r="G408" s="24" t="s">
        <v>1164</v>
      </c>
      <c r="H408" s="24" t="s">
        <v>1262</v>
      </c>
      <c r="J408" s="24">
        <v>0</v>
      </c>
      <c r="K408" s="24">
        <v>45</v>
      </c>
      <c r="L408" s="24" t="s">
        <v>38</v>
      </c>
      <c r="M408" s="24" t="s">
        <v>11</v>
      </c>
      <c r="N408" s="24" t="s">
        <v>1268</v>
      </c>
      <c r="O408" s="24" t="s">
        <v>773</v>
      </c>
      <c r="P408" s="24">
        <v>458</v>
      </c>
      <c r="Q408" s="31" t="s">
        <v>1269</v>
      </c>
      <c r="R408" s="74">
        <v>100</v>
      </c>
      <c r="S408" s="74">
        <f>100 - R408 - U408 - T408</f>
        <v>0</v>
      </c>
      <c r="T408" s="74">
        <v>0</v>
      </c>
      <c r="U408" s="93">
        <v>0</v>
      </c>
      <c r="V408" s="75">
        <f>INDEX(Chemical_analyses!$A:$L, MATCH($P408, Chemical_analyses!$A:$A), 9)/$AI$1/(INDEX(Chemical_analyses!$A:$L, MATCH($P408, Chemical_analyses!$A:$A), 9)/$AI$1+INDEX(Chemical_analyses!$A:$L, MATCH($P408, Chemical_analyses!$A:$A), 11)/$AJ$1)*100</f>
        <v>9.9521286091870866</v>
      </c>
      <c r="W408" s="93">
        <f>IF($R408 &gt; 0, 100 - $V408, 0)</f>
        <v>90.047871390812915</v>
      </c>
      <c r="X408" s="75">
        <v>0</v>
      </c>
      <c r="Y408" s="75">
        <f>IF($S408 &gt; 0, 100 - $X408 - $Z408, 0)</f>
        <v>0</v>
      </c>
      <c r="Z408" s="94">
        <v>0</v>
      </c>
      <c r="AA408" s="75">
        <v>0</v>
      </c>
      <c r="AB408" s="75">
        <f>IF($T408 &gt; 0, 100 - $AA408 - $AC408, 0)</f>
        <v>0</v>
      </c>
      <c r="AC408" s="94">
        <v>0</v>
      </c>
      <c r="AD408" s="75">
        <v>0</v>
      </c>
      <c r="AE408" s="75">
        <f>IF($U408 &gt; 0, 100 - $AD408 - $AF408, 0)</f>
        <v>0</v>
      </c>
      <c r="AF408" s="94">
        <v>0</v>
      </c>
      <c r="AG408" s="24" t="s">
        <v>43</v>
      </c>
      <c r="AH408" s="27" t="str">
        <f>_xlfn.CONCAT("FeO: ", INDEX(Chemical_analyses!$A:$M, MATCH($P408, Chemical_analyses!$A:$A), 9), ", MgO: ", INDEX(Chemical_analyses!$A:$M, MATCH($P408, Chemical_analyses!$A:$A), 11), ", CaO: ", INDEX(Chemical_analyses!$A:$M, MATCH($P408, Chemical_analyses!$A:$A), 12), ", MnO: ", INDEX(Chemical_analyses!$A:$M, MATCH($P408, Chemical_analyses!$A:$A), 10), ", NaO2: ", INDEX(Chemical_analyses!$A:$M, MATCH($P408, Chemical_analyses!$A:$A), 13), ", Fe2O3: ", INDEX(Chemical_analyses!$A:$M, MATCH($P408, Chemical_analyses!$A:$A), 8), ", Al2O3: ", INDEX(Chemical_analyses!$A:$M, MATCH($P408, Chemical_analyses!$A:$A), 6))</f>
        <v>FeO: 10.01, MgO: 50.81, CaO: 0.06, MnO: 0.17, NaO2: 0, Fe2O3: 0, Al2O3: 0</v>
      </c>
      <c r="AI408" s="27"/>
      <c r="AJ408" s="27"/>
      <c r="AN408" s="82"/>
      <c r="AO408" s="82"/>
      <c r="AP408" s="82"/>
      <c r="AQ408" s="82"/>
      <c r="AR408" s="82"/>
      <c r="AS408" s="82"/>
      <c r="AT408" s="82"/>
      <c r="AU408" s="82"/>
    </row>
    <row r="409" spans="1:47" s="24" customFormat="1" ht="12">
      <c r="A409" s="24" t="s">
        <v>1270</v>
      </c>
      <c r="B409" s="25" t="s">
        <v>1271</v>
      </c>
      <c r="C409" s="26" t="s">
        <v>737</v>
      </c>
      <c r="D409" s="26" t="s">
        <v>310</v>
      </c>
      <c r="E409" s="24" t="s">
        <v>311</v>
      </c>
      <c r="G409" s="24" t="s">
        <v>1164</v>
      </c>
      <c r="H409" s="24" t="s">
        <v>1262</v>
      </c>
      <c r="J409" s="24">
        <v>0</v>
      </c>
      <c r="K409" s="24">
        <v>45</v>
      </c>
      <c r="L409" s="24" t="s">
        <v>38</v>
      </c>
      <c r="M409" s="24" t="s">
        <v>11</v>
      </c>
      <c r="N409" s="24" t="s">
        <v>1272</v>
      </c>
      <c r="O409" s="24" t="s">
        <v>739</v>
      </c>
      <c r="P409" s="24">
        <v>4</v>
      </c>
      <c r="Q409" s="31" t="s">
        <v>1273</v>
      </c>
      <c r="R409" s="74">
        <v>100</v>
      </c>
      <c r="S409" s="74">
        <f>100 - R409 - U409 - T409</f>
        <v>0</v>
      </c>
      <c r="T409" s="74">
        <v>0</v>
      </c>
      <c r="U409" s="93">
        <v>0</v>
      </c>
      <c r="V409" s="75">
        <f>INDEX(Chemical_analyses!$A:$L, MATCH($P409, Chemical_analyses!$A:$A), 9)/$AI$1/(INDEX(Chemical_analyses!$A:$L, MATCH($P409, Chemical_analyses!$A:$A), 9)/$AI$1+INDEX(Chemical_analyses!$A:$L, MATCH($P409, Chemical_analyses!$A:$A), 11)/$AJ$1)*100</f>
        <v>9.5531393337000239</v>
      </c>
      <c r="W409" s="93">
        <f>IF($R409 &gt; 0, 100 - $V409, 0)</f>
        <v>90.446860666299983</v>
      </c>
      <c r="X409" s="75">
        <v>0</v>
      </c>
      <c r="Y409" s="75">
        <f>IF($S409 &gt; 0, 100 - $X409 - $Z409, 0)</f>
        <v>0</v>
      </c>
      <c r="Z409" s="94">
        <v>0</v>
      </c>
      <c r="AA409" s="75">
        <v>0</v>
      </c>
      <c r="AB409" s="75">
        <f>IF($T409 &gt; 0, 100 - $AA409 - $AC409, 0)</f>
        <v>0</v>
      </c>
      <c r="AC409" s="94">
        <v>0</v>
      </c>
      <c r="AD409" s="75">
        <v>0</v>
      </c>
      <c r="AE409" s="75">
        <f>IF($U409 &gt; 0, 100 - $AD409 - $AF409, 0)</f>
        <v>0</v>
      </c>
      <c r="AF409" s="94">
        <v>0</v>
      </c>
      <c r="AG409" s="24" t="s">
        <v>43</v>
      </c>
      <c r="AH409" s="27" t="str">
        <f>_xlfn.CONCAT("FeO: ", INDEX(Chemical_analyses!$A:$M, MATCH($P409, Chemical_analyses!$A:$A), 9), ", MgO: ", INDEX(Chemical_analyses!$A:$M, MATCH($P409, Chemical_analyses!$A:$A), 11), ", CaO: ", INDEX(Chemical_analyses!$A:$M, MATCH($P409, Chemical_analyses!$A:$A), 12), ", MnO: ", INDEX(Chemical_analyses!$A:$M, MATCH($P409, Chemical_analyses!$A:$A), 10), ", NaO2: ", INDEX(Chemical_analyses!$A:$M, MATCH($P409, Chemical_analyses!$A:$A), 13), ", Fe2O3: ", INDEX(Chemical_analyses!$A:$M, MATCH($P409, Chemical_analyses!$A:$A), 8), ", Al2O3: ", INDEX(Chemical_analyses!$A:$M, MATCH($P409, Chemical_analyses!$A:$A), 6))</f>
        <v>FeO: 9.25, MgO: 49.13, CaO: 0.07, MnO: 0.09, NaO2: 0, Fe2O3: 0.59, Al2O3: 0</v>
      </c>
      <c r="AI409" s="27"/>
      <c r="AJ409" s="27"/>
      <c r="AN409" s="82"/>
      <c r="AO409" s="82"/>
      <c r="AP409" s="82"/>
      <c r="AQ409" s="82"/>
      <c r="AR409" s="82"/>
      <c r="AS409" s="82"/>
      <c r="AT409" s="82"/>
      <c r="AU409" s="82"/>
    </row>
    <row r="410" spans="1:47" s="24" customFormat="1" ht="12">
      <c r="A410" s="24" t="s">
        <v>1274</v>
      </c>
      <c r="B410" s="25" t="s">
        <v>1271</v>
      </c>
      <c r="C410" s="26" t="s">
        <v>737</v>
      </c>
      <c r="D410" s="26" t="s">
        <v>310</v>
      </c>
      <c r="E410" s="24" t="s">
        <v>311</v>
      </c>
      <c r="G410" s="24" t="s">
        <v>1164</v>
      </c>
      <c r="H410" s="24" t="s">
        <v>1262</v>
      </c>
      <c r="J410" s="24">
        <v>45</v>
      </c>
      <c r="K410" s="24">
        <v>75</v>
      </c>
      <c r="L410" s="24" t="s">
        <v>38</v>
      </c>
      <c r="M410" s="24" t="s">
        <v>11</v>
      </c>
      <c r="N410" s="24" t="s">
        <v>1272</v>
      </c>
      <c r="O410" s="24" t="s">
        <v>739</v>
      </c>
      <c r="P410" s="24">
        <v>4</v>
      </c>
      <c r="Q410" s="31" t="s">
        <v>1275</v>
      </c>
      <c r="R410" s="74">
        <v>100</v>
      </c>
      <c r="S410" s="74">
        <f>100 - R410 - U410 - T410</f>
        <v>0</v>
      </c>
      <c r="T410" s="74">
        <v>0</v>
      </c>
      <c r="U410" s="93">
        <v>0</v>
      </c>
      <c r="V410" s="75">
        <f>INDEX(Chemical_analyses!$A:$L, MATCH($P410, Chemical_analyses!$A:$A), 9)/$AI$1/(INDEX(Chemical_analyses!$A:$L, MATCH($P410, Chemical_analyses!$A:$A), 9)/$AI$1+INDEX(Chemical_analyses!$A:$L, MATCH($P410, Chemical_analyses!$A:$A), 11)/$AJ$1)*100</f>
        <v>9.5531393337000239</v>
      </c>
      <c r="W410" s="93">
        <f>IF($R410 &gt; 0, 100 - $V410, 0)</f>
        <v>90.446860666299983</v>
      </c>
      <c r="X410" s="75">
        <v>0</v>
      </c>
      <c r="Y410" s="75">
        <f>IF($S410 &gt; 0, 100 - $X410 - $Z410, 0)</f>
        <v>0</v>
      </c>
      <c r="Z410" s="94">
        <v>0</v>
      </c>
      <c r="AA410" s="75">
        <v>0</v>
      </c>
      <c r="AB410" s="75">
        <f>IF($T410 &gt; 0, 100 - $AA410 - $AC410, 0)</f>
        <v>0</v>
      </c>
      <c r="AC410" s="94">
        <v>0</v>
      </c>
      <c r="AD410" s="75">
        <v>0</v>
      </c>
      <c r="AE410" s="75">
        <f>IF($U410 &gt; 0, 100 - $AD410 - $AF410, 0)</f>
        <v>0</v>
      </c>
      <c r="AF410" s="94">
        <v>0</v>
      </c>
      <c r="AG410" s="24" t="s">
        <v>43</v>
      </c>
      <c r="AH410" s="27" t="str">
        <f>_xlfn.CONCAT("FeO: ", INDEX(Chemical_analyses!$A:$M, MATCH($P410, Chemical_analyses!$A:$A), 9), ", MgO: ", INDEX(Chemical_analyses!$A:$M, MATCH($P410, Chemical_analyses!$A:$A), 11), ", CaO: ", INDEX(Chemical_analyses!$A:$M, MATCH($P410, Chemical_analyses!$A:$A), 12), ", MnO: ", INDEX(Chemical_analyses!$A:$M, MATCH($P410, Chemical_analyses!$A:$A), 10), ", NaO2: ", INDEX(Chemical_analyses!$A:$M, MATCH($P410, Chemical_analyses!$A:$A), 13), ", Fe2O3: ", INDEX(Chemical_analyses!$A:$M, MATCH($P410, Chemical_analyses!$A:$A), 8), ", Al2O3: ", INDEX(Chemical_analyses!$A:$M, MATCH($P410, Chemical_analyses!$A:$A), 6))</f>
        <v>FeO: 9.25, MgO: 49.13, CaO: 0.07, MnO: 0.09, NaO2: 0, Fe2O3: 0.59, Al2O3: 0</v>
      </c>
      <c r="AI410" s="27"/>
      <c r="AJ410" s="27"/>
      <c r="AN410" s="82"/>
      <c r="AO410" s="82"/>
      <c r="AP410" s="82"/>
      <c r="AQ410" s="82"/>
      <c r="AR410" s="82"/>
      <c r="AS410" s="82"/>
      <c r="AT410" s="82"/>
      <c r="AU410" s="82"/>
    </row>
    <row r="411" spans="1:47" s="24" customFormat="1" ht="12">
      <c r="A411" s="24" t="s">
        <v>1276</v>
      </c>
      <c r="B411" s="25" t="s">
        <v>1277</v>
      </c>
      <c r="C411" s="26" t="s">
        <v>737</v>
      </c>
      <c r="D411" s="26" t="s">
        <v>310</v>
      </c>
      <c r="E411" s="24" t="s">
        <v>311</v>
      </c>
      <c r="G411" s="24" t="s">
        <v>1074</v>
      </c>
      <c r="H411" s="24" t="s">
        <v>1262</v>
      </c>
      <c r="J411" s="24">
        <v>0</v>
      </c>
      <c r="K411" s="24">
        <v>45</v>
      </c>
      <c r="L411" s="24" t="s">
        <v>38</v>
      </c>
      <c r="M411" s="24" t="s">
        <v>11</v>
      </c>
      <c r="N411" s="24" t="s">
        <v>1278</v>
      </c>
      <c r="O411" s="24" t="s">
        <v>739</v>
      </c>
      <c r="P411" s="24">
        <v>5</v>
      </c>
      <c r="Q411" s="31" t="s">
        <v>1279</v>
      </c>
      <c r="R411" s="74">
        <v>100</v>
      </c>
      <c r="S411" s="74">
        <f>100 - R411 - U411 - T411</f>
        <v>0</v>
      </c>
      <c r="T411" s="74">
        <v>0</v>
      </c>
      <c r="U411" s="93">
        <v>0</v>
      </c>
      <c r="V411" s="75">
        <f>INDEX(Chemical_analyses!$A:$L, MATCH($P411, Chemical_analyses!$A:$A), 9)/$AI$1/(INDEX(Chemical_analyses!$A:$L, MATCH($P411, Chemical_analyses!$A:$A), 9)/$AI$1+INDEX(Chemical_analyses!$A:$L, MATCH($P411, Chemical_analyses!$A:$A), 11)/$AJ$1)*100</f>
        <v>3.1033505366904288</v>
      </c>
      <c r="W411" s="93">
        <f>IF($R411 &gt; 0, 100 - $V411, 0)</f>
        <v>96.896649463309572</v>
      </c>
      <c r="X411" s="75">
        <v>0</v>
      </c>
      <c r="Y411" s="75">
        <f>IF($S411 &gt; 0, 100 - $X411 - $Z411, 0)</f>
        <v>0</v>
      </c>
      <c r="Z411" s="94">
        <v>0</v>
      </c>
      <c r="AA411" s="75">
        <v>0</v>
      </c>
      <c r="AB411" s="75">
        <f>IF($T411 &gt; 0, 100 - $AA411 - $AC411, 0)</f>
        <v>0</v>
      </c>
      <c r="AC411" s="94">
        <v>0</v>
      </c>
      <c r="AD411" s="75">
        <v>0</v>
      </c>
      <c r="AE411" s="75">
        <f>IF($U411 &gt; 0, 100 - $AD411 - $AF411, 0)</f>
        <v>0</v>
      </c>
      <c r="AF411" s="94">
        <v>0</v>
      </c>
      <c r="AG411" s="24" t="s">
        <v>43</v>
      </c>
      <c r="AH411" s="27" t="str">
        <f>_xlfn.CONCAT("FeO: ", INDEX(Chemical_analyses!$A:$M, MATCH($P411, Chemical_analyses!$A:$A), 9), ", MgO: ", INDEX(Chemical_analyses!$A:$M, MATCH($P411, Chemical_analyses!$A:$A), 11), ", CaO: ", INDEX(Chemical_analyses!$A:$M, MATCH($P411, Chemical_analyses!$A:$A), 12), ", MnO: ", INDEX(Chemical_analyses!$A:$M, MATCH($P411, Chemical_analyses!$A:$A), 10), ", NaO2: ", INDEX(Chemical_analyses!$A:$M, MATCH($P411, Chemical_analyses!$A:$A), 13), ", Fe2O3: ", INDEX(Chemical_analyses!$A:$M, MATCH($P411, Chemical_analyses!$A:$A), 8), ", Al2O3: ", INDEX(Chemical_analyses!$A:$M, MATCH($P411, Chemical_analyses!$A:$A), 6))</f>
        <v>FeO: 3.12, MgO: 54.65, CaO: 0.63, MnO: 0.19, NaO2: 0, Fe2O3: 0, Al2O3: 0</v>
      </c>
      <c r="AI411" s="27"/>
      <c r="AJ411" s="27"/>
      <c r="AN411" s="82"/>
      <c r="AO411" s="82"/>
      <c r="AP411" s="82"/>
      <c r="AQ411" s="82"/>
      <c r="AR411" s="82"/>
      <c r="AS411" s="82"/>
      <c r="AT411" s="82"/>
      <c r="AU411" s="82"/>
    </row>
    <row r="412" spans="1:47" s="24" customFormat="1" ht="12">
      <c r="A412" s="24" t="s">
        <v>1280</v>
      </c>
      <c r="B412" s="25" t="s">
        <v>1277</v>
      </c>
      <c r="C412" s="26" t="s">
        <v>737</v>
      </c>
      <c r="D412" s="26" t="s">
        <v>310</v>
      </c>
      <c r="E412" s="24" t="s">
        <v>311</v>
      </c>
      <c r="G412" s="24" t="s">
        <v>1074</v>
      </c>
      <c r="H412" s="24" t="s">
        <v>1262</v>
      </c>
      <c r="J412" s="24">
        <v>45</v>
      </c>
      <c r="K412" s="24">
        <v>90</v>
      </c>
      <c r="L412" s="24" t="s">
        <v>38</v>
      </c>
      <c r="M412" s="24" t="s">
        <v>11</v>
      </c>
      <c r="N412" s="24" t="s">
        <v>1278</v>
      </c>
      <c r="O412" s="24" t="s">
        <v>739</v>
      </c>
      <c r="P412" s="24">
        <v>5</v>
      </c>
      <c r="Q412" s="31" t="s">
        <v>1281</v>
      </c>
      <c r="R412" s="74">
        <v>100</v>
      </c>
      <c r="S412" s="74">
        <f>100 - R412 - U412 - T412</f>
        <v>0</v>
      </c>
      <c r="T412" s="74">
        <v>0</v>
      </c>
      <c r="U412" s="93">
        <v>0</v>
      </c>
      <c r="V412" s="75">
        <f>INDEX(Chemical_analyses!$A:$L, MATCH($P412, Chemical_analyses!$A:$A), 9)/$AI$1/(INDEX(Chemical_analyses!$A:$L, MATCH($P412, Chemical_analyses!$A:$A), 9)/$AI$1+INDEX(Chemical_analyses!$A:$L, MATCH($P412, Chemical_analyses!$A:$A), 11)/$AJ$1)*100</f>
        <v>3.1033505366904288</v>
      </c>
      <c r="W412" s="93">
        <f>IF($R412 &gt; 0, 100 - $V412, 0)</f>
        <v>96.896649463309572</v>
      </c>
      <c r="X412" s="75">
        <v>0</v>
      </c>
      <c r="Y412" s="75">
        <f>IF($S412 &gt; 0, 100 - $X412 - $Z412, 0)</f>
        <v>0</v>
      </c>
      <c r="Z412" s="94">
        <v>0</v>
      </c>
      <c r="AA412" s="75">
        <v>0</v>
      </c>
      <c r="AB412" s="75">
        <f>IF($T412 &gt; 0, 100 - $AA412 - $AC412, 0)</f>
        <v>0</v>
      </c>
      <c r="AC412" s="94">
        <v>0</v>
      </c>
      <c r="AD412" s="75">
        <v>0</v>
      </c>
      <c r="AE412" s="75">
        <f>IF($U412 &gt; 0, 100 - $AD412 - $AF412, 0)</f>
        <v>0</v>
      </c>
      <c r="AF412" s="94">
        <v>0</v>
      </c>
      <c r="AG412" s="24" t="s">
        <v>43</v>
      </c>
      <c r="AH412" s="27" t="str">
        <f>_xlfn.CONCAT("FeO: ", INDEX(Chemical_analyses!$A:$M, MATCH($P412, Chemical_analyses!$A:$A), 9), ", MgO: ", INDEX(Chemical_analyses!$A:$M, MATCH($P412, Chemical_analyses!$A:$A), 11), ", CaO: ", INDEX(Chemical_analyses!$A:$M, MATCH($P412, Chemical_analyses!$A:$A), 12), ", MnO: ", INDEX(Chemical_analyses!$A:$M, MATCH($P412, Chemical_analyses!$A:$A), 10), ", NaO2: ", INDEX(Chemical_analyses!$A:$M, MATCH($P412, Chemical_analyses!$A:$A), 13), ", Fe2O3: ", INDEX(Chemical_analyses!$A:$M, MATCH($P412, Chemical_analyses!$A:$A), 8), ", Al2O3: ", INDEX(Chemical_analyses!$A:$M, MATCH($P412, Chemical_analyses!$A:$A), 6))</f>
        <v>FeO: 3.12, MgO: 54.65, CaO: 0.63, MnO: 0.19, NaO2: 0, Fe2O3: 0, Al2O3: 0</v>
      </c>
      <c r="AI412" s="27"/>
      <c r="AJ412" s="27"/>
      <c r="AN412" s="82"/>
      <c r="AO412" s="82"/>
      <c r="AP412" s="82"/>
      <c r="AQ412" s="82"/>
      <c r="AR412" s="82"/>
      <c r="AS412" s="82"/>
      <c r="AT412" s="82"/>
      <c r="AU412" s="82"/>
    </row>
    <row r="413" spans="1:47" s="24" customFormat="1" ht="12">
      <c r="A413" s="24" t="s">
        <v>1282</v>
      </c>
      <c r="B413" s="25" t="s">
        <v>1283</v>
      </c>
      <c r="C413" s="26" t="s">
        <v>737</v>
      </c>
      <c r="D413" s="26" t="s">
        <v>310</v>
      </c>
      <c r="E413" s="24" t="s">
        <v>311</v>
      </c>
      <c r="G413" s="24" t="s">
        <v>1164</v>
      </c>
      <c r="H413" s="24" t="s">
        <v>1284</v>
      </c>
      <c r="J413" s="24">
        <v>0</v>
      </c>
      <c r="K413" s="24">
        <v>45</v>
      </c>
      <c r="L413" s="24" t="s">
        <v>38</v>
      </c>
      <c r="M413" s="24" t="s">
        <v>11</v>
      </c>
      <c r="N413" s="24" t="s">
        <v>1285</v>
      </c>
      <c r="O413" s="24" t="s">
        <v>739</v>
      </c>
      <c r="P413" s="24">
        <v>6</v>
      </c>
      <c r="Q413" s="31" t="s">
        <v>1286</v>
      </c>
      <c r="R413" s="74">
        <v>100</v>
      </c>
      <c r="S413" s="74">
        <f>100 - R413 - U413 - T413</f>
        <v>0</v>
      </c>
      <c r="T413" s="74">
        <v>0</v>
      </c>
      <c r="U413" s="93">
        <v>0</v>
      </c>
      <c r="V413" s="75">
        <f>INDEX(Chemical_analyses!$A:$L, MATCH($P413, Chemical_analyses!$A:$A), 9)/$AI$1/(INDEX(Chemical_analyses!$A:$L, MATCH($P413, Chemical_analyses!$A:$A), 9)/$AI$1+INDEX(Chemical_analyses!$A:$L, MATCH($P413, Chemical_analyses!$A:$A), 11)/$AJ$1)*100</f>
        <v>11.439672725693045</v>
      </c>
      <c r="W413" s="93">
        <f>IF($R413 &gt; 0, 100 - $V413, 0)</f>
        <v>88.560327274306957</v>
      </c>
      <c r="X413" s="75">
        <v>0</v>
      </c>
      <c r="Y413" s="75">
        <f>IF($S413 &gt; 0, 100 - $X413 - $Z413, 0)</f>
        <v>0</v>
      </c>
      <c r="Z413" s="94">
        <v>0</v>
      </c>
      <c r="AA413" s="75">
        <v>0</v>
      </c>
      <c r="AB413" s="75">
        <f>IF($T413 &gt; 0, 100 - $AA413 - $AC413, 0)</f>
        <v>0</v>
      </c>
      <c r="AC413" s="94">
        <v>0</v>
      </c>
      <c r="AD413" s="75">
        <v>0</v>
      </c>
      <c r="AE413" s="75">
        <f>IF($U413 &gt; 0, 100 - $AD413 - $AF413, 0)</f>
        <v>0</v>
      </c>
      <c r="AF413" s="94">
        <v>0</v>
      </c>
      <c r="AG413" s="24" t="s">
        <v>43</v>
      </c>
      <c r="AH413" s="27" t="str">
        <f>_xlfn.CONCAT("FeO: ", INDEX(Chemical_analyses!$A:$M, MATCH($P413, Chemical_analyses!$A:$A), 9), ", MgO: ", INDEX(Chemical_analyses!$A:$M, MATCH($P413, Chemical_analyses!$A:$A), 11), ", CaO: ", INDEX(Chemical_analyses!$A:$M, MATCH($P413, Chemical_analyses!$A:$A), 12), ", MnO: ", INDEX(Chemical_analyses!$A:$M, MATCH($P413, Chemical_analyses!$A:$A), 10), ", NaO2: ", INDEX(Chemical_analyses!$A:$M, MATCH($P413, Chemical_analyses!$A:$A), 13), ", Fe2O3: ", INDEX(Chemical_analyses!$A:$M, MATCH($P413, Chemical_analyses!$A:$A), 8), ", Al2O3: ", INDEX(Chemical_analyses!$A:$M, MATCH($P413, Chemical_analyses!$A:$A), 6))</f>
        <v>FeO: 11.11, MgO: 48.25, CaO: 0.19, MnO: 0.15, NaO2: 0, Fe2O3: 0, Al2O3: 0.03</v>
      </c>
      <c r="AI413" s="27"/>
      <c r="AJ413" s="27"/>
      <c r="AN413" s="82"/>
      <c r="AO413" s="82"/>
      <c r="AP413" s="82"/>
      <c r="AQ413" s="82"/>
      <c r="AR413" s="82"/>
      <c r="AS413" s="82"/>
      <c r="AT413" s="82"/>
      <c r="AU413" s="82"/>
    </row>
    <row r="414" spans="1:47" s="24" customFormat="1" ht="12">
      <c r="A414" s="24" t="s">
        <v>1287</v>
      </c>
      <c r="B414" s="25" t="s">
        <v>1283</v>
      </c>
      <c r="C414" s="26" t="s">
        <v>737</v>
      </c>
      <c r="D414" s="26" t="s">
        <v>310</v>
      </c>
      <c r="E414" s="24" t="s">
        <v>311</v>
      </c>
      <c r="G414" s="24" t="s">
        <v>1164</v>
      </c>
      <c r="H414" s="24" t="s">
        <v>1284</v>
      </c>
      <c r="J414" s="24">
        <v>45</v>
      </c>
      <c r="K414" s="24">
        <v>90</v>
      </c>
      <c r="L414" s="24" t="s">
        <v>38</v>
      </c>
      <c r="M414" s="24" t="s">
        <v>11</v>
      </c>
      <c r="N414" s="24" t="s">
        <v>1285</v>
      </c>
      <c r="O414" s="24" t="s">
        <v>739</v>
      </c>
      <c r="P414" s="24">
        <v>6</v>
      </c>
      <c r="Q414" s="31" t="s">
        <v>1286</v>
      </c>
      <c r="R414" s="74">
        <v>100</v>
      </c>
      <c r="S414" s="74">
        <f>100 - R414 - U414 - T414</f>
        <v>0</v>
      </c>
      <c r="T414" s="74">
        <v>0</v>
      </c>
      <c r="U414" s="93">
        <v>0</v>
      </c>
      <c r="V414" s="75">
        <f>INDEX(Chemical_analyses!$A:$L, MATCH($P414, Chemical_analyses!$A:$A), 9)/$AI$1/(INDEX(Chemical_analyses!$A:$L, MATCH($P414, Chemical_analyses!$A:$A), 9)/$AI$1+INDEX(Chemical_analyses!$A:$L, MATCH($P414, Chemical_analyses!$A:$A), 11)/$AJ$1)*100</f>
        <v>11.439672725693045</v>
      </c>
      <c r="W414" s="93">
        <f>IF($R414 &gt; 0, 100 - $V414, 0)</f>
        <v>88.560327274306957</v>
      </c>
      <c r="X414" s="75">
        <v>0</v>
      </c>
      <c r="Y414" s="75">
        <f>IF($S414 &gt; 0, 100 - $X414 - $Z414, 0)</f>
        <v>0</v>
      </c>
      <c r="Z414" s="94">
        <v>0</v>
      </c>
      <c r="AA414" s="75">
        <v>0</v>
      </c>
      <c r="AB414" s="75">
        <f>IF($T414 &gt; 0, 100 - $AA414 - $AC414, 0)</f>
        <v>0</v>
      </c>
      <c r="AC414" s="94">
        <v>0</v>
      </c>
      <c r="AD414" s="75">
        <v>0</v>
      </c>
      <c r="AE414" s="75">
        <f>IF($U414 &gt; 0, 100 - $AD414 - $AF414, 0)</f>
        <v>0</v>
      </c>
      <c r="AF414" s="94">
        <v>0</v>
      </c>
      <c r="AG414" s="24" t="s">
        <v>43</v>
      </c>
      <c r="AH414" s="27" t="str">
        <f>_xlfn.CONCAT("FeO: ", INDEX(Chemical_analyses!$A:$M, MATCH($P414, Chemical_analyses!$A:$A), 9), ", MgO: ", INDEX(Chemical_analyses!$A:$M, MATCH($P414, Chemical_analyses!$A:$A), 11), ", CaO: ", INDEX(Chemical_analyses!$A:$M, MATCH($P414, Chemical_analyses!$A:$A), 12), ", MnO: ", INDEX(Chemical_analyses!$A:$M, MATCH($P414, Chemical_analyses!$A:$A), 10), ", NaO2: ", INDEX(Chemical_analyses!$A:$M, MATCH($P414, Chemical_analyses!$A:$A), 13), ", Fe2O3: ", INDEX(Chemical_analyses!$A:$M, MATCH($P414, Chemical_analyses!$A:$A), 8), ", Al2O3: ", INDEX(Chemical_analyses!$A:$M, MATCH($P414, Chemical_analyses!$A:$A), 6))</f>
        <v>FeO: 11.11, MgO: 48.25, CaO: 0.19, MnO: 0.15, NaO2: 0, Fe2O3: 0, Al2O3: 0.03</v>
      </c>
      <c r="AI414" s="27"/>
      <c r="AJ414" s="27"/>
      <c r="AN414" s="82"/>
      <c r="AO414" s="82"/>
      <c r="AP414" s="82"/>
      <c r="AQ414" s="82"/>
      <c r="AR414" s="82"/>
      <c r="AS414" s="82"/>
      <c r="AT414" s="82"/>
      <c r="AU414" s="82"/>
    </row>
    <row r="415" spans="1:47" s="24" customFormat="1" ht="12">
      <c r="A415" s="24" t="s">
        <v>1288</v>
      </c>
      <c r="B415" s="25" t="s">
        <v>1289</v>
      </c>
      <c r="C415" s="26" t="s">
        <v>737</v>
      </c>
      <c r="D415" s="26" t="s">
        <v>310</v>
      </c>
      <c r="E415" s="24" t="s">
        <v>311</v>
      </c>
      <c r="G415" s="24" t="s">
        <v>1074</v>
      </c>
      <c r="H415" s="24" t="s">
        <v>1150</v>
      </c>
      <c r="J415" s="24">
        <v>0</v>
      </c>
      <c r="K415" s="24">
        <v>45</v>
      </c>
      <c r="L415" s="24" t="s">
        <v>38</v>
      </c>
      <c r="M415" s="24" t="s">
        <v>11</v>
      </c>
      <c r="N415" s="24" t="s">
        <v>1290</v>
      </c>
      <c r="O415" s="24" t="s">
        <v>739</v>
      </c>
      <c r="P415" s="24">
        <v>7</v>
      </c>
      <c r="Q415" s="31" t="s">
        <v>1291</v>
      </c>
      <c r="R415" s="74">
        <v>100</v>
      </c>
      <c r="S415" s="74">
        <f>100 - R415 - U415 - T415</f>
        <v>0</v>
      </c>
      <c r="T415" s="74">
        <v>0</v>
      </c>
      <c r="U415" s="93">
        <v>0</v>
      </c>
      <c r="V415" s="75">
        <f>INDEX(Chemical_analyses!$A:$L, MATCH($P415, Chemical_analyses!$A:$A), 9)/$AI$1/(INDEX(Chemical_analyses!$A:$L, MATCH($P415, Chemical_analyses!$A:$A), 9)/$AI$1+INDEX(Chemical_analyses!$A:$L, MATCH($P415, Chemical_analyses!$A:$A), 11)/$AJ$1)*100</f>
        <v>99.866112666358987</v>
      </c>
      <c r="W415" s="93">
        <f>IF($R415 &gt; 0, 100 - $V415, 0)</f>
        <v>0.13388733364101313</v>
      </c>
      <c r="X415" s="75">
        <v>0</v>
      </c>
      <c r="Y415" s="75">
        <f>IF($S415 &gt; 0, 100 - $X415 - $Z415, 0)</f>
        <v>0</v>
      </c>
      <c r="Z415" s="94">
        <v>0</v>
      </c>
      <c r="AA415" s="75">
        <v>0</v>
      </c>
      <c r="AB415" s="75">
        <f>IF($T415 &gt; 0, 100 - $AA415 - $AC415, 0)</f>
        <v>0</v>
      </c>
      <c r="AC415" s="94">
        <v>0</v>
      </c>
      <c r="AD415" s="75">
        <v>0</v>
      </c>
      <c r="AE415" s="75">
        <f>IF($U415 &gt; 0, 100 - $AD415 - $AF415, 0)</f>
        <v>0</v>
      </c>
      <c r="AF415" s="94">
        <v>0</v>
      </c>
      <c r="AG415" s="24" t="s">
        <v>43</v>
      </c>
      <c r="AH415" s="27" t="str">
        <f>_xlfn.CONCAT("FeO: ", INDEX(Chemical_analyses!$A:$M, MATCH($P415, Chemical_analyses!$A:$A), 9), ", MgO: ", INDEX(Chemical_analyses!$A:$M, MATCH($P415, Chemical_analyses!$A:$A), 11), ", CaO: ", INDEX(Chemical_analyses!$A:$M, MATCH($P415, Chemical_analyses!$A:$A), 12), ", MnO: ", INDEX(Chemical_analyses!$A:$M, MATCH($P415, Chemical_analyses!$A:$A), 10), ", NaO2: ", INDEX(Chemical_analyses!$A:$M, MATCH($P415, Chemical_analyses!$A:$A), 13), ", Fe2O3: ", INDEX(Chemical_analyses!$A:$M, MATCH($P415, Chemical_analyses!$A:$A), 8), ", Al2O3: ", INDEX(Chemical_analyses!$A:$M, MATCH($P415, Chemical_analyses!$A:$A), 6))</f>
        <v>FeO: 66.48, MgO: 0.05, CaO: 0.05, MnO: 2.14, NaO2: 0, Fe2O3: 0, Al2O3: 0</v>
      </c>
      <c r="AI415" s="27"/>
      <c r="AJ415" s="27"/>
      <c r="AN415" s="82"/>
      <c r="AO415" s="82"/>
      <c r="AP415" s="82"/>
      <c r="AQ415" s="82"/>
      <c r="AR415" s="82"/>
      <c r="AS415" s="82"/>
      <c r="AT415" s="82"/>
      <c r="AU415" s="82"/>
    </row>
    <row r="416" spans="1:47" s="24" customFormat="1" ht="12">
      <c r="A416" s="24" t="s">
        <v>1292</v>
      </c>
      <c r="B416" s="25" t="s">
        <v>1289</v>
      </c>
      <c r="C416" s="26" t="s">
        <v>737</v>
      </c>
      <c r="D416" s="26" t="s">
        <v>310</v>
      </c>
      <c r="E416" s="24" t="s">
        <v>311</v>
      </c>
      <c r="G416" s="24" t="s">
        <v>1074</v>
      </c>
      <c r="H416" s="24" t="s">
        <v>1150</v>
      </c>
      <c r="J416" s="24">
        <v>45</v>
      </c>
      <c r="K416" s="24">
        <v>90</v>
      </c>
      <c r="L416" s="24" t="s">
        <v>38</v>
      </c>
      <c r="M416" s="24" t="s">
        <v>11</v>
      </c>
      <c r="N416" s="24" t="s">
        <v>1293</v>
      </c>
      <c r="O416" s="24" t="s">
        <v>739</v>
      </c>
      <c r="P416" s="24">
        <v>7</v>
      </c>
      <c r="Q416" s="31" t="s">
        <v>1294</v>
      </c>
      <c r="R416" s="74">
        <v>100</v>
      </c>
      <c r="S416" s="74">
        <f>100 - R416 - U416 - T416</f>
        <v>0</v>
      </c>
      <c r="T416" s="74">
        <v>0</v>
      </c>
      <c r="U416" s="93">
        <v>0</v>
      </c>
      <c r="V416" s="75">
        <f>INDEX(Chemical_analyses!$A:$L, MATCH($P416, Chemical_analyses!$A:$A), 9)/$AI$1/(INDEX(Chemical_analyses!$A:$L, MATCH($P416, Chemical_analyses!$A:$A), 9)/$AI$1+INDEX(Chemical_analyses!$A:$L, MATCH($P416, Chemical_analyses!$A:$A), 11)/$AJ$1)*100</f>
        <v>99.866112666358987</v>
      </c>
      <c r="W416" s="93">
        <f>IF($R416 &gt; 0, 100 - $V416, 0)</f>
        <v>0.13388733364101313</v>
      </c>
      <c r="X416" s="75">
        <v>0</v>
      </c>
      <c r="Y416" s="75">
        <f>IF($S416 &gt; 0, 100 - $X416 - $Z416, 0)</f>
        <v>0</v>
      </c>
      <c r="Z416" s="94">
        <v>0</v>
      </c>
      <c r="AA416" s="75">
        <v>0</v>
      </c>
      <c r="AB416" s="75">
        <f>IF($T416 &gt; 0, 100 - $AA416 - $AC416, 0)</f>
        <v>0</v>
      </c>
      <c r="AC416" s="94">
        <v>0</v>
      </c>
      <c r="AD416" s="75">
        <v>0</v>
      </c>
      <c r="AE416" s="75">
        <f>IF($U416 &gt; 0, 100 - $AD416 - $AF416, 0)</f>
        <v>0</v>
      </c>
      <c r="AF416" s="94">
        <v>0</v>
      </c>
      <c r="AG416" s="24" t="s">
        <v>43</v>
      </c>
      <c r="AH416" s="27" t="str">
        <f>_xlfn.CONCAT("FeO: ", INDEX(Chemical_analyses!$A:$M, MATCH($P416, Chemical_analyses!$A:$A), 9), ", MgO: ", INDEX(Chemical_analyses!$A:$M, MATCH($P416, Chemical_analyses!$A:$A), 11), ", CaO: ", INDEX(Chemical_analyses!$A:$M, MATCH($P416, Chemical_analyses!$A:$A), 12), ", MnO: ", INDEX(Chemical_analyses!$A:$M, MATCH($P416, Chemical_analyses!$A:$A), 10), ", NaO2: ", INDEX(Chemical_analyses!$A:$M, MATCH($P416, Chemical_analyses!$A:$A), 13), ", Fe2O3: ", INDEX(Chemical_analyses!$A:$M, MATCH($P416, Chemical_analyses!$A:$A), 8), ", Al2O3: ", INDEX(Chemical_analyses!$A:$M, MATCH($P416, Chemical_analyses!$A:$A), 6))</f>
        <v>FeO: 66.48, MgO: 0.05, CaO: 0.05, MnO: 2.14, NaO2: 0, Fe2O3: 0, Al2O3: 0</v>
      </c>
      <c r="AI416" s="27"/>
      <c r="AJ416" s="27"/>
      <c r="AN416" s="82"/>
      <c r="AO416" s="82"/>
      <c r="AP416" s="82"/>
      <c r="AQ416" s="82"/>
      <c r="AR416" s="82"/>
      <c r="AS416" s="82"/>
      <c r="AT416" s="82"/>
      <c r="AU416" s="82"/>
    </row>
    <row r="417" spans="1:47" s="24" customFormat="1" ht="12">
      <c r="A417" s="24" t="s">
        <v>1295</v>
      </c>
      <c r="B417" s="25" t="s">
        <v>1296</v>
      </c>
      <c r="C417" s="26" t="s">
        <v>737</v>
      </c>
      <c r="D417" s="26" t="s">
        <v>310</v>
      </c>
      <c r="E417" s="24" t="s">
        <v>311</v>
      </c>
      <c r="G417" s="24" t="s">
        <v>1074</v>
      </c>
      <c r="H417" s="24" t="s">
        <v>1262</v>
      </c>
      <c r="J417" s="24">
        <v>0</v>
      </c>
      <c r="K417" s="24">
        <v>45</v>
      </c>
      <c r="L417" s="24" t="s">
        <v>38</v>
      </c>
      <c r="M417" s="24" t="s">
        <v>11</v>
      </c>
      <c r="N417" s="24" t="s">
        <v>1297</v>
      </c>
      <c r="O417" s="24" t="s">
        <v>739</v>
      </c>
      <c r="P417" s="24">
        <v>8</v>
      </c>
      <c r="Q417" s="31" t="s">
        <v>1298</v>
      </c>
      <c r="R417" s="74">
        <v>100</v>
      </c>
      <c r="S417" s="74">
        <f>100 - R417 - U417 - T417</f>
        <v>0</v>
      </c>
      <c r="T417" s="74">
        <v>0</v>
      </c>
      <c r="U417" s="93">
        <v>0</v>
      </c>
      <c r="V417" s="75">
        <f>INDEX(Chemical_analyses!$A:$L, MATCH($P417, Chemical_analyses!$A:$A), 9)/$AI$1/(INDEX(Chemical_analyses!$A:$L, MATCH($P417, Chemical_analyses!$A:$A), 9)/$AI$1+INDEX(Chemical_analyses!$A:$L, MATCH($P417, Chemical_analyses!$A:$A), 11)/$AJ$1)*100</f>
        <v>8.1595709064305506</v>
      </c>
      <c r="W417" s="93">
        <f>IF($R417 &gt; 0, 100 - $V417, 0)</f>
        <v>91.840429093569455</v>
      </c>
      <c r="X417" s="75">
        <v>0</v>
      </c>
      <c r="Y417" s="75">
        <f>IF($S417 &gt; 0, 100 - $X417 - $Z417, 0)</f>
        <v>0</v>
      </c>
      <c r="Z417" s="94">
        <v>0</v>
      </c>
      <c r="AA417" s="75">
        <v>0</v>
      </c>
      <c r="AB417" s="75">
        <f>IF($T417 &gt; 0, 100 - $AA417 - $AC417, 0)</f>
        <v>0</v>
      </c>
      <c r="AC417" s="94">
        <v>0</v>
      </c>
      <c r="AD417" s="75">
        <v>0</v>
      </c>
      <c r="AE417" s="75">
        <f>IF($U417 &gt; 0, 100 - $AD417 - $AF417, 0)</f>
        <v>0</v>
      </c>
      <c r="AF417" s="94">
        <v>0</v>
      </c>
      <c r="AG417" s="24" t="s">
        <v>43</v>
      </c>
      <c r="AH417" s="27" t="str">
        <f>_xlfn.CONCAT("FeO: ", INDEX(Chemical_analyses!$A:$M, MATCH($P417, Chemical_analyses!$A:$A), 9), ", MgO: ", INDEX(Chemical_analyses!$A:$M, MATCH($P417, Chemical_analyses!$A:$A), 11), ", CaO: ", INDEX(Chemical_analyses!$A:$M, MATCH($P417, Chemical_analyses!$A:$A), 12), ", MnO: ", INDEX(Chemical_analyses!$A:$M, MATCH($P417, Chemical_analyses!$A:$A), 10), ", NaO2: ", INDEX(Chemical_analyses!$A:$M, MATCH($P417, Chemical_analyses!$A:$A), 13), ", Fe2O3: ", INDEX(Chemical_analyses!$A:$M, MATCH($P417, Chemical_analyses!$A:$A), 8), ", Al2O3: ", INDEX(Chemical_analyses!$A:$M, MATCH($P417, Chemical_analyses!$A:$A), 6))</f>
        <v>FeO: 8.05, MgO: 50.83, CaO: 0, MnO: 0.1, NaO2: 0, Fe2O3: 0, Al2O3: 0</v>
      </c>
      <c r="AI417" s="27"/>
      <c r="AJ417" s="27"/>
      <c r="AN417" s="82"/>
      <c r="AO417" s="82"/>
      <c r="AP417" s="82"/>
      <c r="AQ417" s="82"/>
      <c r="AR417" s="82"/>
      <c r="AS417" s="82"/>
      <c r="AT417" s="82"/>
      <c r="AU417" s="82"/>
    </row>
    <row r="418" spans="1:47" s="24" customFormat="1" ht="12">
      <c r="A418" s="24" t="s">
        <v>1299</v>
      </c>
      <c r="B418" s="25" t="s">
        <v>1296</v>
      </c>
      <c r="C418" s="26" t="s">
        <v>737</v>
      </c>
      <c r="D418" s="26" t="s">
        <v>310</v>
      </c>
      <c r="E418" s="24" t="s">
        <v>311</v>
      </c>
      <c r="G418" s="24" t="s">
        <v>1164</v>
      </c>
      <c r="H418" s="24" t="s">
        <v>1262</v>
      </c>
      <c r="J418" s="24">
        <v>45</v>
      </c>
      <c r="K418" s="24">
        <v>90</v>
      </c>
      <c r="L418" s="24" t="s">
        <v>38</v>
      </c>
      <c r="M418" s="24" t="s">
        <v>11</v>
      </c>
      <c r="N418" s="24" t="s">
        <v>1297</v>
      </c>
      <c r="O418" s="24" t="s">
        <v>739</v>
      </c>
      <c r="P418" s="24">
        <v>8</v>
      </c>
      <c r="Q418" s="31" t="s">
        <v>1300</v>
      </c>
      <c r="R418" s="74">
        <v>100</v>
      </c>
      <c r="S418" s="74">
        <f>100 - R418 - U418 - T418</f>
        <v>0</v>
      </c>
      <c r="T418" s="74">
        <v>0</v>
      </c>
      <c r="U418" s="93">
        <v>0</v>
      </c>
      <c r="V418" s="75">
        <f>INDEX(Chemical_analyses!$A:$L, MATCH($P418, Chemical_analyses!$A:$A), 9)/$AI$1/(INDEX(Chemical_analyses!$A:$L, MATCH($P418, Chemical_analyses!$A:$A), 9)/$AI$1+INDEX(Chemical_analyses!$A:$L, MATCH($P418, Chemical_analyses!$A:$A), 11)/$AJ$1)*100</f>
        <v>8.1595709064305506</v>
      </c>
      <c r="W418" s="93">
        <f>IF($R418 &gt; 0, 100 - $V418, 0)</f>
        <v>91.840429093569455</v>
      </c>
      <c r="X418" s="75">
        <v>0</v>
      </c>
      <c r="Y418" s="75">
        <f>IF($S418 &gt; 0, 100 - $X418 - $Z418, 0)</f>
        <v>0</v>
      </c>
      <c r="Z418" s="94">
        <v>0</v>
      </c>
      <c r="AA418" s="75">
        <v>0</v>
      </c>
      <c r="AB418" s="75">
        <f>IF($T418 &gt; 0, 100 - $AA418 - $AC418, 0)</f>
        <v>0</v>
      </c>
      <c r="AC418" s="94">
        <v>0</v>
      </c>
      <c r="AD418" s="75">
        <v>0</v>
      </c>
      <c r="AE418" s="75">
        <f>IF($U418 &gt; 0, 100 - $AD418 - $AF418, 0)</f>
        <v>0</v>
      </c>
      <c r="AF418" s="94">
        <v>0</v>
      </c>
      <c r="AG418" s="24" t="s">
        <v>43</v>
      </c>
      <c r="AH418" s="27" t="str">
        <f>_xlfn.CONCAT("FeO: ", INDEX(Chemical_analyses!$A:$M, MATCH($P418, Chemical_analyses!$A:$A), 9), ", MgO: ", INDEX(Chemical_analyses!$A:$M, MATCH($P418, Chemical_analyses!$A:$A), 11), ", CaO: ", INDEX(Chemical_analyses!$A:$M, MATCH($P418, Chemical_analyses!$A:$A), 12), ", MnO: ", INDEX(Chemical_analyses!$A:$M, MATCH($P418, Chemical_analyses!$A:$A), 10), ", NaO2: ", INDEX(Chemical_analyses!$A:$M, MATCH($P418, Chemical_analyses!$A:$A), 13), ", Fe2O3: ", INDEX(Chemical_analyses!$A:$M, MATCH($P418, Chemical_analyses!$A:$A), 8), ", Al2O3: ", INDEX(Chemical_analyses!$A:$M, MATCH($P418, Chemical_analyses!$A:$A), 6))</f>
        <v>FeO: 8.05, MgO: 50.83, CaO: 0, MnO: 0.1, NaO2: 0, Fe2O3: 0, Al2O3: 0</v>
      </c>
      <c r="AI418" s="27"/>
      <c r="AJ418" s="27"/>
      <c r="AN418" s="82"/>
      <c r="AO418" s="82"/>
      <c r="AP418" s="82"/>
      <c r="AQ418" s="82"/>
      <c r="AR418" s="82"/>
      <c r="AS418" s="82"/>
      <c r="AT418" s="82"/>
      <c r="AU418" s="82"/>
    </row>
    <row r="419" spans="1:47" s="24" customFormat="1" ht="12">
      <c r="A419" s="24" t="s">
        <v>1301</v>
      </c>
      <c r="B419" s="25" t="s">
        <v>1302</v>
      </c>
      <c r="C419" s="26" t="s">
        <v>737</v>
      </c>
      <c r="D419" s="26" t="s">
        <v>310</v>
      </c>
      <c r="E419" s="24" t="s">
        <v>311</v>
      </c>
      <c r="G419" s="24" t="s">
        <v>1074</v>
      </c>
      <c r="H419" s="24" t="s">
        <v>1303</v>
      </c>
      <c r="J419" s="24">
        <v>0</v>
      </c>
      <c r="K419" s="24">
        <v>45</v>
      </c>
      <c r="L419" s="24" t="s">
        <v>38</v>
      </c>
      <c r="M419" s="24" t="s">
        <v>11</v>
      </c>
      <c r="N419" s="24" t="s">
        <v>761</v>
      </c>
      <c r="O419" s="24" t="s">
        <v>739</v>
      </c>
      <c r="P419" s="24">
        <v>9</v>
      </c>
      <c r="Q419" s="31" t="s">
        <v>1304</v>
      </c>
      <c r="R419" s="74">
        <v>100</v>
      </c>
      <c r="S419" s="74">
        <f>100 - R419 - U419 - T419</f>
        <v>0</v>
      </c>
      <c r="T419" s="74">
        <v>0</v>
      </c>
      <c r="U419" s="93">
        <v>0</v>
      </c>
      <c r="V419" s="75">
        <f>INDEX(Chemical_analyses!$A:$L, MATCH($P419, Chemical_analyses!$A:$A), 9)/$AI$1/(INDEX(Chemical_analyses!$A:$L, MATCH($P419, Chemical_analyses!$A:$A), 9)/$AI$1+INDEX(Chemical_analyses!$A:$L, MATCH($P419, Chemical_analyses!$A:$A), 11)/$AJ$1)*100</f>
        <v>40.467760540572662</v>
      </c>
      <c r="W419" s="93">
        <f>IF($R419 &gt; 0, 100 - $V419, 0)</f>
        <v>59.532239459427338</v>
      </c>
      <c r="X419" s="75">
        <v>0</v>
      </c>
      <c r="Y419" s="75">
        <f>IF($S419 &gt; 0, 100 - $X419 - $Z419, 0)</f>
        <v>0</v>
      </c>
      <c r="Z419" s="94">
        <v>0</v>
      </c>
      <c r="AA419" s="75">
        <v>0</v>
      </c>
      <c r="AB419" s="75">
        <f>IF($T419 &gt; 0, 100 - $AA419 - $AC419, 0)</f>
        <v>0</v>
      </c>
      <c r="AC419" s="94">
        <v>0</v>
      </c>
      <c r="AD419" s="75">
        <v>0</v>
      </c>
      <c r="AE419" s="75">
        <f>IF($U419 &gt; 0, 100 - $AD419 - $AF419, 0)</f>
        <v>0</v>
      </c>
      <c r="AF419" s="94">
        <v>0</v>
      </c>
      <c r="AG419" s="24" t="s">
        <v>43</v>
      </c>
      <c r="AH419" s="27" t="str">
        <f>_xlfn.CONCAT("FeO: ", INDEX(Chemical_analyses!$A:$M, MATCH($P419, Chemical_analyses!$A:$A), 9), ", MgO: ", INDEX(Chemical_analyses!$A:$M, MATCH($P419, Chemical_analyses!$A:$A), 11), ", CaO: ", INDEX(Chemical_analyses!$A:$M, MATCH($P419, Chemical_analyses!$A:$A), 12), ", MnO: ", INDEX(Chemical_analyses!$A:$M, MATCH($P419, Chemical_analyses!$A:$A), 10), ", NaO2: ", INDEX(Chemical_analyses!$A:$M, MATCH($P419, Chemical_analyses!$A:$A), 13), ", Fe2O3: ", INDEX(Chemical_analyses!$A:$M, MATCH($P419, Chemical_analyses!$A:$A), 8), ", Al2O3: ", INDEX(Chemical_analyses!$A:$M, MATCH($P419, Chemical_analyses!$A:$A), 6))</f>
        <v>FeO: 34.97, MgO: 28.86, CaO: 0.03, MnO: 0.47, NaO2: 0, Fe2O3: 0, Al2O3: 0</v>
      </c>
      <c r="AI419" s="27"/>
      <c r="AJ419" s="27"/>
      <c r="AN419" s="82"/>
      <c r="AO419" s="82"/>
      <c r="AP419" s="82"/>
      <c r="AQ419" s="82"/>
      <c r="AR419" s="82"/>
      <c r="AS419" s="82"/>
      <c r="AT419" s="82"/>
      <c r="AU419" s="82"/>
    </row>
    <row r="420" spans="1:47" s="24" customFormat="1" ht="12">
      <c r="A420" s="24" t="s">
        <v>1305</v>
      </c>
      <c r="B420" s="25" t="s">
        <v>1302</v>
      </c>
      <c r="C420" s="26" t="s">
        <v>737</v>
      </c>
      <c r="D420" s="26" t="s">
        <v>310</v>
      </c>
      <c r="E420" s="24" t="s">
        <v>311</v>
      </c>
      <c r="G420" s="24" t="s">
        <v>1074</v>
      </c>
      <c r="H420" s="24" t="s">
        <v>1303</v>
      </c>
      <c r="J420" s="24">
        <v>45</v>
      </c>
      <c r="K420" s="24">
        <v>90</v>
      </c>
      <c r="L420" s="24" t="s">
        <v>38</v>
      </c>
      <c r="M420" s="24" t="s">
        <v>11</v>
      </c>
      <c r="N420" s="24" t="s">
        <v>761</v>
      </c>
      <c r="O420" s="24" t="s">
        <v>739</v>
      </c>
      <c r="P420" s="24">
        <v>9</v>
      </c>
      <c r="Q420" s="31" t="s">
        <v>1306</v>
      </c>
      <c r="R420" s="74">
        <v>100</v>
      </c>
      <c r="S420" s="74">
        <f>100 - R420 - U420 - T420</f>
        <v>0</v>
      </c>
      <c r="T420" s="74">
        <v>0</v>
      </c>
      <c r="U420" s="93">
        <v>0</v>
      </c>
      <c r="V420" s="75">
        <f>INDEX(Chemical_analyses!$A:$L, MATCH($P420, Chemical_analyses!$A:$A), 9)/$AI$1/(INDEX(Chemical_analyses!$A:$L, MATCH($P420, Chemical_analyses!$A:$A), 9)/$AI$1+INDEX(Chemical_analyses!$A:$L, MATCH($P420, Chemical_analyses!$A:$A), 11)/$AJ$1)*100</f>
        <v>40.467760540572662</v>
      </c>
      <c r="W420" s="93">
        <f>IF($R420 &gt; 0, 100 - $V420, 0)</f>
        <v>59.532239459427338</v>
      </c>
      <c r="X420" s="75">
        <v>0</v>
      </c>
      <c r="Y420" s="75">
        <f>IF($S420 &gt; 0, 100 - $X420 - $Z420, 0)</f>
        <v>0</v>
      </c>
      <c r="Z420" s="94">
        <v>0</v>
      </c>
      <c r="AA420" s="75">
        <v>0</v>
      </c>
      <c r="AB420" s="75">
        <f>IF($T420 &gt; 0, 100 - $AA420 - $AC420, 0)</f>
        <v>0</v>
      </c>
      <c r="AC420" s="94">
        <v>0</v>
      </c>
      <c r="AD420" s="75">
        <v>0</v>
      </c>
      <c r="AE420" s="75">
        <f>IF($U420 &gt; 0, 100 - $AD420 - $AF420, 0)</f>
        <v>0</v>
      </c>
      <c r="AF420" s="94">
        <v>0</v>
      </c>
      <c r="AG420" s="24" t="s">
        <v>43</v>
      </c>
      <c r="AH420" s="27" t="str">
        <f>_xlfn.CONCAT("FeO: ", INDEX(Chemical_analyses!$A:$M, MATCH($P420, Chemical_analyses!$A:$A), 9), ", MgO: ", INDEX(Chemical_analyses!$A:$M, MATCH($P420, Chemical_analyses!$A:$A), 11), ", CaO: ", INDEX(Chemical_analyses!$A:$M, MATCH($P420, Chemical_analyses!$A:$A), 12), ", MnO: ", INDEX(Chemical_analyses!$A:$M, MATCH($P420, Chemical_analyses!$A:$A), 10), ", NaO2: ", INDEX(Chemical_analyses!$A:$M, MATCH($P420, Chemical_analyses!$A:$A), 13), ", Fe2O3: ", INDEX(Chemical_analyses!$A:$M, MATCH($P420, Chemical_analyses!$A:$A), 8), ", Al2O3: ", INDEX(Chemical_analyses!$A:$M, MATCH($P420, Chemical_analyses!$A:$A), 6))</f>
        <v>FeO: 34.97, MgO: 28.86, CaO: 0.03, MnO: 0.47, NaO2: 0, Fe2O3: 0, Al2O3: 0</v>
      </c>
      <c r="AI420" s="27"/>
      <c r="AJ420" s="27"/>
      <c r="AN420" s="82"/>
      <c r="AO420" s="82"/>
      <c r="AP420" s="82"/>
      <c r="AQ420" s="82"/>
      <c r="AR420" s="82"/>
      <c r="AS420" s="82"/>
      <c r="AT420" s="82"/>
      <c r="AU420" s="82"/>
    </row>
    <row r="421" spans="1:47" s="24" customFormat="1" ht="12">
      <c r="A421" s="24" t="s">
        <v>1307</v>
      </c>
      <c r="B421" s="25" t="s">
        <v>1308</v>
      </c>
      <c r="C421" s="26" t="s">
        <v>737</v>
      </c>
      <c r="D421" s="26" t="s">
        <v>310</v>
      </c>
      <c r="E421" s="24" t="s">
        <v>311</v>
      </c>
      <c r="G421" s="24" t="s">
        <v>1164</v>
      </c>
      <c r="H421" s="24" t="s">
        <v>1284</v>
      </c>
      <c r="J421" s="24">
        <v>0</v>
      </c>
      <c r="K421" s="24">
        <v>45</v>
      </c>
      <c r="L421" s="24" t="s">
        <v>38</v>
      </c>
      <c r="M421" s="24" t="s">
        <v>11</v>
      </c>
      <c r="N421" s="24" t="s">
        <v>1192</v>
      </c>
      <c r="O421" s="24" t="s">
        <v>739</v>
      </c>
      <c r="P421" s="24">
        <v>10</v>
      </c>
      <c r="Q421" s="31" t="s">
        <v>1309</v>
      </c>
      <c r="R421" s="74">
        <v>100</v>
      </c>
      <c r="S421" s="74">
        <f>100 - R421 - U421 - T421</f>
        <v>0</v>
      </c>
      <c r="T421" s="74">
        <v>0</v>
      </c>
      <c r="U421" s="93">
        <v>0</v>
      </c>
      <c r="V421" s="75">
        <f>INDEX(Chemical_analyses!$A:$L, MATCH($P421, Chemical_analyses!$A:$A), 9)/$AI$1/(INDEX(Chemical_analyses!$A:$L, MATCH($P421, Chemical_analyses!$A:$A), 9)/$AI$1+INDEX(Chemical_analyses!$A:$L, MATCH($P421, Chemical_analyses!$A:$A), 11)/$AJ$1)*100</f>
        <v>14.129302224047931</v>
      </c>
      <c r="W421" s="93">
        <f>IF($R421 &gt; 0, 100 - $V421, 0)</f>
        <v>85.870697775952067</v>
      </c>
      <c r="X421" s="75">
        <v>0</v>
      </c>
      <c r="Y421" s="75">
        <f>IF($S421 &gt; 0, 100 - $X421 - $Z421, 0)</f>
        <v>0</v>
      </c>
      <c r="Z421" s="94">
        <v>0</v>
      </c>
      <c r="AA421" s="75">
        <v>0</v>
      </c>
      <c r="AB421" s="75">
        <f>IF($T421 &gt; 0, 100 - $AA421 - $AC421, 0)</f>
        <v>0</v>
      </c>
      <c r="AC421" s="94">
        <v>0</v>
      </c>
      <c r="AD421" s="75">
        <v>0</v>
      </c>
      <c r="AE421" s="75">
        <f>IF($U421 &gt; 0, 100 - $AD421 - $AF421, 0)</f>
        <v>0</v>
      </c>
      <c r="AF421" s="94">
        <v>0</v>
      </c>
      <c r="AG421" s="24" t="s">
        <v>43</v>
      </c>
      <c r="AH421" s="27" t="str">
        <f>_xlfn.CONCAT("FeO: ", INDEX(Chemical_analyses!$A:$M, MATCH($P421, Chemical_analyses!$A:$A), 9), ", MgO: ", INDEX(Chemical_analyses!$A:$M, MATCH($P421, Chemical_analyses!$A:$A), 11), ", CaO: ", INDEX(Chemical_analyses!$A:$M, MATCH($P421, Chemical_analyses!$A:$A), 12), ", MnO: ", INDEX(Chemical_analyses!$A:$M, MATCH($P421, Chemical_analyses!$A:$A), 10), ", NaO2: ", INDEX(Chemical_analyses!$A:$M, MATCH($P421, Chemical_analyses!$A:$A), 13), ", Fe2O3: ", INDEX(Chemical_analyses!$A:$M, MATCH($P421, Chemical_analyses!$A:$A), 8), ", Al2O3: ", INDEX(Chemical_analyses!$A:$M, MATCH($P421, Chemical_analyses!$A:$A), 6))</f>
        <v>FeO: 13.36, MgO: 45.55, CaO: 0.03, MnO: 0.19, NaO2: 0, Fe2O3: 0, Al2O3: 0</v>
      </c>
      <c r="AI421" s="27"/>
      <c r="AJ421" s="27"/>
      <c r="AN421" s="82"/>
      <c r="AO421" s="82"/>
      <c r="AP421" s="82"/>
      <c r="AQ421" s="82"/>
      <c r="AR421" s="82"/>
      <c r="AS421" s="82"/>
      <c r="AT421" s="82"/>
      <c r="AU421" s="82"/>
    </row>
    <row r="422" spans="1:47" s="24" customFormat="1" ht="12">
      <c r="A422" s="24" t="s">
        <v>1310</v>
      </c>
      <c r="B422" s="25" t="s">
        <v>1308</v>
      </c>
      <c r="C422" s="26" t="s">
        <v>737</v>
      </c>
      <c r="D422" s="26" t="s">
        <v>310</v>
      </c>
      <c r="E422" s="24" t="s">
        <v>311</v>
      </c>
      <c r="G422" s="24" t="s">
        <v>1164</v>
      </c>
      <c r="H422" s="24" t="s">
        <v>1284</v>
      </c>
      <c r="J422" s="24">
        <v>45</v>
      </c>
      <c r="K422" s="24">
        <v>90</v>
      </c>
      <c r="L422" s="24" t="s">
        <v>38</v>
      </c>
      <c r="M422" s="24" t="s">
        <v>11</v>
      </c>
      <c r="N422" s="24" t="s">
        <v>1192</v>
      </c>
      <c r="O422" s="24" t="s">
        <v>739</v>
      </c>
      <c r="P422" s="24">
        <v>10</v>
      </c>
      <c r="Q422" s="31" t="s">
        <v>1311</v>
      </c>
      <c r="R422" s="74">
        <v>100</v>
      </c>
      <c r="S422" s="74">
        <f>100 - R422 - U422 - T422</f>
        <v>0</v>
      </c>
      <c r="T422" s="74">
        <v>0</v>
      </c>
      <c r="U422" s="93">
        <v>0</v>
      </c>
      <c r="V422" s="75">
        <f>INDEX(Chemical_analyses!$A:$L, MATCH($P422, Chemical_analyses!$A:$A), 9)/$AI$1/(INDEX(Chemical_analyses!$A:$L, MATCH($P422, Chemical_analyses!$A:$A), 9)/$AI$1+INDEX(Chemical_analyses!$A:$L, MATCH($P422, Chemical_analyses!$A:$A), 11)/$AJ$1)*100</f>
        <v>14.129302224047931</v>
      </c>
      <c r="W422" s="93">
        <f>IF($R422 &gt; 0, 100 - $V422, 0)</f>
        <v>85.870697775952067</v>
      </c>
      <c r="X422" s="75">
        <v>0</v>
      </c>
      <c r="Y422" s="75">
        <f>IF($S422 &gt; 0, 100 - $X422 - $Z422, 0)</f>
        <v>0</v>
      </c>
      <c r="Z422" s="94">
        <v>0</v>
      </c>
      <c r="AA422" s="75">
        <v>0</v>
      </c>
      <c r="AB422" s="75">
        <f>IF($T422 &gt; 0, 100 - $AA422 - $AC422, 0)</f>
        <v>0</v>
      </c>
      <c r="AC422" s="94">
        <v>0</v>
      </c>
      <c r="AD422" s="75">
        <v>0</v>
      </c>
      <c r="AE422" s="75">
        <f>IF($U422 &gt; 0, 100 - $AD422 - $AF422, 0)</f>
        <v>0</v>
      </c>
      <c r="AF422" s="94">
        <v>0</v>
      </c>
      <c r="AG422" s="24" t="s">
        <v>43</v>
      </c>
      <c r="AH422" s="27" t="str">
        <f>_xlfn.CONCAT("FeO: ", INDEX(Chemical_analyses!$A:$M, MATCH($P422, Chemical_analyses!$A:$A), 9), ", MgO: ", INDEX(Chemical_analyses!$A:$M, MATCH($P422, Chemical_analyses!$A:$A), 11), ", CaO: ", INDEX(Chemical_analyses!$A:$M, MATCH($P422, Chemical_analyses!$A:$A), 12), ", MnO: ", INDEX(Chemical_analyses!$A:$M, MATCH($P422, Chemical_analyses!$A:$A), 10), ", NaO2: ", INDEX(Chemical_analyses!$A:$M, MATCH($P422, Chemical_analyses!$A:$A), 13), ", Fe2O3: ", INDEX(Chemical_analyses!$A:$M, MATCH($P422, Chemical_analyses!$A:$A), 8), ", Al2O3: ", INDEX(Chemical_analyses!$A:$M, MATCH($P422, Chemical_analyses!$A:$A), 6))</f>
        <v>FeO: 13.36, MgO: 45.55, CaO: 0.03, MnO: 0.19, NaO2: 0, Fe2O3: 0, Al2O3: 0</v>
      </c>
      <c r="AI422" s="27"/>
      <c r="AJ422" s="27"/>
      <c r="AN422" s="82"/>
      <c r="AO422" s="82"/>
      <c r="AP422" s="82"/>
      <c r="AQ422" s="82"/>
      <c r="AR422" s="82"/>
      <c r="AS422" s="82"/>
      <c r="AT422" s="82"/>
      <c r="AU422" s="82"/>
    </row>
    <row r="423" spans="1:47" s="24" customFormat="1" ht="12">
      <c r="A423" s="24" t="s">
        <v>1312</v>
      </c>
      <c r="B423" s="25" t="s">
        <v>1313</v>
      </c>
      <c r="C423" s="26" t="s">
        <v>690</v>
      </c>
      <c r="D423" s="26" t="s">
        <v>310</v>
      </c>
      <c r="E423" s="24" t="s">
        <v>311</v>
      </c>
      <c r="G423" s="24" t="s">
        <v>1074</v>
      </c>
      <c r="H423" s="24" t="s">
        <v>1078</v>
      </c>
      <c r="J423" s="24">
        <v>45</v>
      </c>
      <c r="K423" s="24">
        <v>0</v>
      </c>
      <c r="L423" s="24" t="s">
        <v>38</v>
      </c>
      <c r="M423" s="24" t="s">
        <v>11</v>
      </c>
      <c r="N423" s="24" t="s">
        <v>1314</v>
      </c>
      <c r="O423" s="24" t="s">
        <v>427</v>
      </c>
      <c r="P423" s="24">
        <v>0</v>
      </c>
      <c r="Q423" s="31"/>
      <c r="R423" s="74">
        <v>100</v>
      </c>
      <c r="S423" s="74">
        <f>100 - R423 - U423 - T423</f>
        <v>0</v>
      </c>
      <c r="T423" s="74">
        <v>0</v>
      </c>
      <c r="U423" s="93">
        <v>0</v>
      </c>
      <c r="V423" s="74">
        <v>6</v>
      </c>
      <c r="W423" s="93">
        <f>IF($R423 &gt; 0, 100 - $V423, 0)</f>
        <v>94</v>
      </c>
      <c r="X423" s="75">
        <v>0</v>
      </c>
      <c r="Y423" s="75">
        <f>IF($S423 &gt; 0, 100 - $X423 - $Z423, 0)</f>
        <v>0</v>
      </c>
      <c r="Z423" s="94">
        <v>0</v>
      </c>
      <c r="AA423" s="75">
        <v>0</v>
      </c>
      <c r="AB423" s="75">
        <f>IF($T423 &gt; 0, 100 - $AA423 - $AC423, 0)</f>
        <v>0</v>
      </c>
      <c r="AC423" s="94">
        <v>0</v>
      </c>
      <c r="AD423" s="75">
        <v>0</v>
      </c>
      <c r="AE423" s="75">
        <f>IF($U423 &gt; 0, 100 - $AD423 - $AF423, 0)</f>
        <v>0</v>
      </c>
      <c r="AF423" s="94">
        <v>0</v>
      </c>
      <c r="AG423" s="24" t="s">
        <v>43</v>
      </c>
      <c r="AH423" s="52" t="s">
        <v>1315</v>
      </c>
      <c r="AI423" s="27"/>
      <c r="AJ423" s="27"/>
      <c r="AN423" s="82"/>
      <c r="AO423" s="82"/>
      <c r="AP423" s="82"/>
      <c r="AQ423" s="82"/>
      <c r="AR423" s="82"/>
      <c r="AS423" s="82"/>
      <c r="AT423" s="82"/>
      <c r="AU423" s="82"/>
    </row>
    <row r="424" spans="1:47" s="24" customFormat="1" ht="12">
      <c r="A424" s="24" t="s">
        <v>1316</v>
      </c>
      <c r="B424" s="25" t="s">
        <v>1317</v>
      </c>
      <c r="C424" s="26" t="s">
        <v>690</v>
      </c>
      <c r="D424" s="26" t="s">
        <v>310</v>
      </c>
      <c r="E424" s="24" t="s">
        <v>311</v>
      </c>
      <c r="G424" s="24" t="s">
        <v>1074</v>
      </c>
      <c r="H424" s="24" t="s">
        <v>1078</v>
      </c>
      <c r="J424" s="24">
        <v>45</v>
      </c>
      <c r="K424" s="24">
        <v>75</v>
      </c>
      <c r="L424" s="24" t="s">
        <v>38</v>
      </c>
      <c r="M424" s="24" t="s">
        <v>11</v>
      </c>
      <c r="N424" s="24" t="s">
        <v>1314</v>
      </c>
      <c r="O424" s="24" t="s">
        <v>427</v>
      </c>
      <c r="P424" s="24">
        <v>0</v>
      </c>
      <c r="Q424" s="31"/>
      <c r="R424" s="74">
        <v>100</v>
      </c>
      <c r="S424" s="74">
        <f>100 - R424 - U424 - T424</f>
        <v>0</v>
      </c>
      <c r="T424" s="74">
        <v>0</v>
      </c>
      <c r="U424" s="93">
        <v>0</v>
      </c>
      <c r="V424" s="74">
        <v>6</v>
      </c>
      <c r="W424" s="93">
        <f>IF($R424 &gt; 0, 100 - $V424, 0)</f>
        <v>94</v>
      </c>
      <c r="X424" s="75">
        <v>0</v>
      </c>
      <c r="Y424" s="75">
        <f>IF($S424 &gt; 0, 100 - $X424 - $Z424, 0)</f>
        <v>0</v>
      </c>
      <c r="Z424" s="94">
        <v>0</v>
      </c>
      <c r="AA424" s="75">
        <v>0</v>
      </c>
      <c r="AB424" s="75">
        <f>IF($T424 &gt; 0, 100 - $AA424 - $AC424, 0)</f>
        <v>0</v>
      </c>
      <c r="AC424" s="94">
        <v>0</v>
      </c>
      <c r="AD424" s="75">
        <v>0</v>
      </c>
      <c r="AE424" s="75">
        <f>IF($U424 &gt; 0, 100 - $AD424 - $AF424, 0)</f>
        <v>0</v>
      </c>
      <c r="AF424" s="94">
        <v>0</v>
      </c>
      <c r="AG424" s="24" t="s">
        <v>43</v>
      </c>
      <c r="AH424" s="32" t="s">
        <v>1315</v>
      </c>
      <c r="AI424" s="27"/>
      <c r="AJ424" s="27"/>
      <c r="AN424" s="82"/>
      <c r="AO424" s="82"/>
      <c r="AP424" s="82"/>
      <c r="AQ424" s="82"/>
      <c r="AR424" s="82"/>
      <c r="AS424" s="82"/>
      <c r="AT424" s="82"/>
      <c r="AU424" s="82"/>
    </row>
    <row r="425" spans="1:47" s="24" customFormat="1" ht="12">
      <c r="A425" s="24" t="s">
        <v>1318</v>
      </c>
      <c r="B425" s="25" t="s">
        <v>1319</v>
      </c>
      <c r="C425" s="26" t="s">
        <v>690</v>
      </c>
      <c r="D425" s="26" t="s">
        <v>310</v>
      </c>
      <c r="E425" s="24" t="s">
        <v>311</v>
      </c>
      <c r="G425" s="24" t="s">
        <v>1074</v>
      </c>
      <c r="H425" s="24" t="s">
        <v>1078</v>
      </c>
      <c r="J425" s="24">
        <v>5</v>
      </c>
      <c r="K425" s="24">
        <v>10</v>
      </c>
      <c r="L425" s="24" t="s">
        <v>38</v>
      </c>
      <c r="M425" s="24" t="s">
        <v>11</v>
      </c>
      <c r="N425" s="24" t="s">
        <v>1314</v>
      </c>
      <c r="O425" s="24" t="s">
        <v>427</v>
      </c>
      <c r="P425" s="24">
        <v>0</v>
      </c>
      <c r="Q425" s="31"/>
      <c r="R425" s="74">
        <v>100</v>
      </c>
      <c r="S425" s="74">
        <f>100 - R425 - U425 - T425</f>
        <v>0</v>
      </c>
      <c r="T425" s="74">
        <v>0</v>
      </c>
      <c r="U425" s="93">
        <v>0</v>
      </c>
      <c r="V425" s="74">
        <v>6</v>
      </c>
      <c r="W425" s="93">
        <f>IF($R425 &gt; 0, 100 - $V425, 0)</f>
        <v>94</v>
      </c>
      <c r="X425" s="75">
        <v>0</v>
      </c>
      <c r="Y425" s="75">
        <f>IF($S425 &gt; 0, 100 - $X425 - $Z425, 0)</f>
        <v>0</v>
      </c>
      <c r="Z425" s="94">
        <v>0</v>
      </c>
      <c r="AA425" s="75">
        <v>0</v>
      </c>
      <c r="AB425" s="75">
        <f>IF($T425 &gt; 0, 100 - $AA425 - $AC425, 0)</f>
        <v>0</v>
      </c>
      <c r="AC425" s="94">
        <v>0</v>
      </c>
      <c r="AD425" s="75">
        <v>0</v>
      </c>
      <c r="AE425" s="75">
        <f>IF($U425 &gt; 0, 100 - $AD425 - $AF425, 0)</f>
        <v>0</v>
      </c>
      <c r="AF425" s="94">
        <v>0</v>
      </c>
      <c r="AG425" s="24" t="s">
        <v>43</v>
      </c>
      <c r="AH425" s="32" t="s">
        <v>1315</v>
      </c>
      <c r="AI425" s="27"/>
      <c r="AJ425" s="27"/>
      <c r="AN425" s="82"/>
      <c r="AO425" s="82"/>
      <c r="AP425" s="82"/>
      <c r="AQ425" s="82"/>
      <c r="AR425" s="82"/>
      <c r="AS425" s="82"/>
      <c r="AT425" s="82"/>
      <c r="AU425" s="82"/>
    </row>
    <row r="426" spans="1:47" s="24" customFormat="1" ht="12">
      <c r="A426" s="24" t="s">
        <v>1320</v>
      </c>
      <c r="B426" s="25" t="s">
        <v>1321</v>
      </c>
      <c r="C426" s="26" t="s">
        <v>690</v>
      </c>
      <c r="D426" s="26" t="s">
        <v>310</v>
      </c>
      <c r="E426" s="24" t="s">
        <v>311</v>
      </c>
      <c r="G426" s="24" t="s">
        <v>1074</v>
      </c>
      <c r="H426" s="24" t="s">
        <v>1078</v>
      </c>
      <c r="J426" s="24">
        <v>0</v>
      </c>
      <c r="K426" s="24">
        <v>5</v>
      </c>
      <c r="L426" s="24" t="s">
        <v>38</v>
      </c>
      <c r="M426" s="24" t="s">
        <v>11</v>
      </c>
      <c r="N426" s="24" t="s">
        <v>1314</v>
      </c>
      <c r="O426" s="24" t="s">
        <v>427</v>
      </c>
      <c r="P426" s="24">
        <v>0</v>
      </c>
      <c r="Q426" s="31"/>
      <c r="R426" s="74">
        <v>100</v>
      </c>
      <c r="S426" s="74">
        <f>100 - R426 - U426 - T426</f>
        <v>0</v>
      </c>
      <c r="T426" s="74">
        <v>0</v>
      </c>
      <c r="U426" s="93">
        <v>0</v>
      </c>
      <c r="V426" s="74">
        <v>6</v>
      </c>
      <c r="W426" s="93">
        <f>IF($R426 &gt; 0, 100 - $V426, 0)</f>
        <v>94</v>
      </c>
      <c r="X426" s="75">
        <v>0</v>
      </c>
      <c r="Y426" s="75">
        <f>IF($S426 &gt; 0, 100 - $X426 - $Z426, 0)</f>
        <v>0</v>
      </c>
      <c r="Z426" s="94">
        <v>0</v>
      </c>
      <c r="AA426" s="75">
        <v>0</v>
      </c>
      <c r="AB426" s="75">
        <f>IF($T426 &gt; 0, 100 - $AA426 - $AC426, 0)</f>
        <v>0</v>
      </c>
      <c r="AC426" s="94">
        <v>0</v>
      </c>
      <c r="AD426" s="75">
        <v>0</v>
      </c>
      <c r="AE426" s="75">
        <f>IF($U426 &gt; 0, 100 - $AD426 - $AF426, 0)</f>
        <v>0</v>
      </c>
      <c r="AF426" s="94">
        <v>0</v>
      </c>
      <c r="AG426" s="24" t="s">
        <v>43</v>
      </c>
      <c r="AH426" s="32" t="s">
        <v>1315</v>
      </c>
      <c r="AI426" s="27"/>
      <c r="AJ426" s="27"/>
      <c r="AN426" s="82"/>
      <c r="AO426" s="82"/>
      <c r="AP426" s="82"/>
      <c r="AQ426" s="82"/>
      <c r="AR426" s="82"/>
      <c r="AS426" s="82"/>
      <c r="AT426" s="82"/>
      <c r="AU426" s="82"/>
    </row>
    <row r="427" spans="1:47" s="24" customFormat="1" ht="12">
      <c r="A427" s="24" t="s">
        <v>1322</v>
      </c>
      <c r="B427" s="25" t="s">
        <v>1323</v>
      </c>
      <c r="C427" s="26" t="s">
        <v>795</v>
      </c>
      <c r="D427" s="26" t="s">
        <v>310</v>
      </c>
      <c r="E427" s="24" t="s">
        <v>311</v>
      </c>
      <c r="G427" s="24" t="s">
        <v>1074</v>
      </c>
      <c r="H427" s="24" t="s">
        <v>1262</v>
      </c>
      <c r="J427" s="24">
        <v>0</v>
      </c>
      <c r="K427" s="24">
        <v>100</v>
      </c>
      <c r="L427" s="24" t="s">
        <v>38</v>
      </c>
      <c r="M427" s="24" t="s">
        <v>11</v>
      </c>
      <c r="N427" s="24" t="s">
        <v>1324</v>
      </c>
      <c r="O427" s="24" t="s">
        <v>797</v>
      </c>
      <c r="P427" s="24">
        <v>0</v>
      </c>
      <c r="Q427" s="31" t="s">
        <v>1325</v>
      </c>
      <c r="R427" s="74">
        <v>100</v>
      </c>
      <c r="S427" s="74">
        <f>100 - R427 - U427 - T427</f>
        <v>0</v>
      </c>
      <c r="T427" s="74">
        <v>0</v>
      </c>
      <c r="U427" s="93">
        <v>0</v>
      </c>
      <c r="V427" s="74">
        <v>12</v>
      </c>
      <c r="W427" s="93">
        <f>IF($R427 &gt; 0, 100 - $V427, 0)</f>
        <v>88</v>
      </c>
      <c r="X427" s="75">
        <v>0</v>
      </c>
      <c r="Y427" s="75">
        <f>IF($S427 &gt; 0, 100 - $X427 - $Z427, 0)</f>
        <v>0</v>
      </c>
      <c r="Z427" s="94">
        <v>0</v>
      </c>
      <c r="AA427" s="75">
        <v>0</v>
      </c>
      <c r="AB427" s="75">
        <f>IF($T427 &gt; 0, 100 - $AA427 - $AC427, 0)</f>
        <v>0</v>
      </c>
      <c r="AC427" s="94">
        <v>0</v>
      </c>
      <c r="AD427" s="75">
        <v>0</v>
      </c>
      <c r="AE427" s="75">
        <f>IF($U427 &gt; 0, 100 - $AD427 - $AF427, 0)</f>
        <v>0</v>
      </c>
      <c r="AF427" s="94">
        <v>0</v>
      </c>
      <c r="AG427" s="24" t="s">
        <v>43</v>
      </c>
      <c r="AH427" s="24" t="s">
        <v>682</v>
      </c>
      <c r="AI427" s="27"/>
      <c r="AJ427" s="27"/>
      <c r="AK427" s="24" t="s">
        <v>1254</v>
      </c>
      <c r="AN427" s="82"/>
      <c r="AO427" s="82"/>
      <c r="AP427" s="82"/>
      <c r="AQ427" s="82"/>
      <c r="AR427" s="82"/>
      <c r="AS427" s="82"/>
      <c r="AT427" s="82"/>
      <c r="AU427" s="82"/>
    </row>
    <row r="428" spans="1:47" s="24" customFormat="1" ht="12">
      <c r="A428" s="24" t="s">
        <v>1326</v>
      </c>
      <c r="B428" s="25" t="s">
        <v>1327</v>
      </c>
      <c r="C428" s="26" t="s">
        <v>795</v>
      </c>
      <c r="D428" s="26" t="s">
        <v>310</v>
      </c>
      <c r="E428" s="24" t="s">
        <v>311</v>
      </c>
      <c r="G428" s="24" t="s">
        <v>1074</v>
      </c>
      <c r="H428" s="24" t="s">
        <v>1284</v>
      </c>
      <c r="J428" s="24">
        <v>0</v>
      </c>
      <c r="K428" s="24">
        <v>0</v>
      </c>
      <c r="L428" s="24" t="s">
        <v>38</v>
      </c>
      <c r="M428" s="24" t="s">
        <v>11</v>
      </c>
      <c r="N428" s="24" t="s">
        <v>1328</v>
      </c>
      <c r="P428" s="24">
        <v>163</v>
      </c>
      <c r="Q428" s="31" t="s">
        <v>1329</v>
      </c>
      <c r="R428" s="74">
        <v>100</v>
      </c>
      <c r="S428" s="74">
        <f>100 - R428 - U428 - T428</f>
        <v>0</v>
      </c>
      <c r="T428" s="74">
        <v>0</v>
      </c>
      <c r="U428" s="93">
        <v>0</v>
      </c>
      <c r="V428" s="75">
        <f>INDEX(Chemical_analyses!$A:$L, MATCH($P428, Chemical_analyses!$A:$A), 9)/$AI$1/(INDEX(Chemical_analyses!$A:$L, MATCH($P428, Chemical_analyses!$A:$A), 9)/$AI$1+INDEX(Chemical_analyses!$A:$L, MATCH($P428, Chemical_analyses!$A:$A), 11)/$AJ$1)*100</f>
        <v>21.167328720899221</v>
      </c>
      <c r="W428" s="93">
        <f>IF($R428 &gt; 0, 100 - $V428, 0)</f>
        <v>78.832671279100779</v>
      </c>
      <c r="X428" s="75">
        <v>0</v>
      </c>
      <c r="Y428" s="75">
        <f>IF($S428 &gt; 0, 100 - $X428 - $Z428, 0)</f>
        <v>0</v>
      </c>
      <c r="Z428" s="94">
        <v>0</v>
      </c>
      <c r="AA428" s="75">
        <v>0</v>
      </c>
      <c r="AB428" s="75">
        <f>IF($T428 &gt; 0, 100 - $AA428 - $AC428, 0)</f>
        <v>0</v>
      </c>
      <c r="AC428" s="94">
        <v>0</v>
      </c>
      <c r="AD428" s="75">
        <v>0</v>
      </c>
      <c r="AE428" s="75">
        <f>IF($U428 &gt; 0, 100 - $AD428 - $AF428, 0)</f>
        <v>0</v>
      </c>
      <c r="AF428" s="94">
        <v>0</v>
      </c>
      <c r="AG428" s="24" t="s">
        <v>43</v>
      </c>
      <c r="AH428" s="27" t="str">
        <f>_xlfn.CONCAT("FeO: ", INDEX(Chemical_analyses!$A:$M, MATCH($P428, Chemical_analyses!$A:$A), 9), ", MgO: ", INDEX(Chemical_analyses!$A:$M, MATCH($P428, Chemical_analyses!$A:$A), 11), ", CaO: ", INDEX(Chemical_analyses!$A:$M, MATCH($P428, Chemical_analyses!$A:$A), 12), ", MnO: ", INDEX(Chemical_analyses!$A:$M, MATCH($P428, Chemical_analyses!$A:$A), 10), ", NaO2: ", INDEX(Chemical_analyses!$A:$M, MATCH($P428, Chemical_analyses!$A:$A), 13), ", Fe2O3: ", INDEX(Chemical_analyses!$A:$M, MATCH($P428, Chemical_analyses!$A:$A), 8), ", Al2O3: ", INDEX(Chemical_analyses!$A:$M, MATCH($P428, Chemical_analyses!$A:$A), 6))</f>
        <v>FeO: 19.6, MgO: 40.95, CaO: 0.07, MnO: 0.27, NaO2: 0, Fe2O3: 0, Al2O3: 0</v>
      </c>
      <c r="AI428" s="27"/>
      <c r="AJ428" s="27"/>
      <c r="AN428" s="82"/>
      <c r="AO428" s="82"/>
      <c r="AP428" s="82"/>
      <c r="AQ428" s="82"/>
      <c r="AR428" s="82"/>
      <c r="AS428" s="82"/>
      <c r="AT428" s="82"/>
      <c r="AU428" s="82"/>
    </row>
    <row r="429" spans="1:47" s="24" customFormat="1" ht="12">
      <c r="A429" s="24" t="s">
        <v>1330</v>
      </c>
      <c r="B429" s="25" t="s">
        <v>1331</v>
      </c>
      <c r="C429" s="26" t="s">
        <v>795</v>
      </c>
      <c r="D429" s="26" t="s">
        <v>310</v>
      </c>
      <c r="E429" s="24" t="s">
        <v>311</v>
      </c>
      <c r="G429" s="24" t="s">
        <v>1074</v>
      </c>
      <c r="H429" s="24" t="s">
        <v>1303</v>
      </c>
      <c r="J429" s="24">
        <v>0</v>
      </c>
      <c r="K429" s="24">
        <v>0</v>
      </c>
      <c r="L429" s="24" t="s">
        <v>38</v>
      </c>
      <c r="M429" s="24" t="s">
        <v>11</v>
      </c>
      <c r="N429" s="24" t="s">
        <v>1332</v>
      </c>
      <c r="P429" s="24">
        <v>164</v>
      </c>
      <c r="Q429" s="31" t="s">
        <v>1333</v>
      </c>
      <c r="R429" s="74">
        <v>100</v>
      </c>
      <c r="S429" s="74">
        <f>100 - R429 - U429 - T429</f>
        <v>0</v>
      </c>
      <c r="T429" s="74">
        <v>0</v>
      </c>
      <c r="U429" s="93">
        <v>0</v>
      </c>
      <c r="V429" s="75">
        <f>INDEX(Chemical_analyses!$A:$L, MATCH($P429, Chemical_analyses!$A:$A), 9)/$AI$1/(INDEX(Chemical_analyses!$A:$L, MATCH($P429, Chemical_analyses!$A:$A), 9)/$AI$1+INDEX(Chemical_analyses!$A:$L, MATCH($P429, Chemical_analyses!$A:$A), 11)/$AJ$1)*100</f>
        <v>40.108488965620154</v>
      </c>
      <c r="W429" s="93">
        <f>IF($R429 &gt; 0, 100 - $V429, 0)</f>
        <v>59.891511034379846</v>
      </c>
      <c r="X429" s="75">
        <v>0</v>
      </c>
      <c r="Y429" s="75">
        <f>IF($S429 &gt; 0, 100 - $X429 - $Z429, 0)</f>
        <v>0</v>
      </c>
      <c r="Z429" s="94">
        <v>0</v>
      </c>
      <c r="AA429" s="75">
        <v>0</v>
      </c>
      <c r="AB429" s="75">
        <f>IF($T429 &gt; 0, 100 - $AA429 - $AC429, 0)</f>
        <v>0</v>
      </c>
      <c r="AC429" s="94">
        <v>0</v>
      </c>
      <c r="AD429" s="75">
        <v>0</v>
      </c>
      <c r="AE429" s="75">
        <f>IF($U429 &gt; 0, 100 - $AD429 - $AF429, 0)</f>
        <v>0</v>
      </c>
      <c r="AF429" s="94">
        <v>0</v>
      </c>
      <c r="AG429" s="24" t="s">
        <v>43</v>
      </c>
      <c r="AH429" s="27" t="str">
        <f>_xlfn.CONCAT("FeO: ", INDEX(Chemical_analyses!$A:$M, MATCH($P429, Chemical_analyses!$A:$A), 9), ", MgO: ", INDEX(Chemical_analyses!$A:$M, MATCH($P429, Chemical_analyses!$A:$A), 11), ", CaO: ", INDEX(Chemical_analyses!$A:$M, MATCH($P429, Chemical_analyses!$A:$A), 12), ", MnO: ", INDEX(Chemical_analyses!$A:$M, MATCH($P429, Chemical_analyses!$A:$A), 10), ", NaO2: ", INDEX(Chemical_analyses!$A:$M, MATCH($P429, Chemical_analyses!$A:$A), 13), ", Fe2O3: ", INDEX(Chemical_analyses!$A:$M, MATCH($P429, Chemical_analyses!$A:$A), 8), ", Al2O3: ", INDEX(Chemical_analyses!$A:$M, MATCH($P429, Chemical_analyses!$A:$A), 6))</f>
        <v>FeO: 34.38, MgO: 28.8, CaO: 0.08, MnO: 0.47, NaO2: 0, Fe2O3: 0, Al2O3: 0.06</v>
      </c>
      <c r="AI429" s="27"/>
      <c r="AJ429" s="27"/>
      <c r="AN429" s="82"/>
      <c r="AO429" s="82"/>
      <c r="AP429" s="82"/>
      <c r="AQ429" s="82"/>
      <c r="AR429" s="82"/>
      <c r="AS429" s="82"/>
      <c r="AT429" s="82"/>
      <c r="AU429" s="82"/>
    </row>
    <row r="430" spans="1:47" s="24" customFormat="1" ht="12">
      <c r="A430" s="24" t="s">
        <v>1334</v>
      </c>
      <c r="B430" s="25" t="s">
        <v>1335</v>
      </c>
      <c r="C430" s="26" t="s">
        <v>795</v>
      </c>
      <c r="D430" s="26" t="s">
        <v>310</v>
      </c>
      <c r="E430" s="24" t="s">
        <v>311</v>
      </c>
      <c r="G430" s="24" t="s">
        <v>1074</v>
      </c>
      <c r="H430" s="24" t="s">
        <v>1303</v>
      </c>
      <c r="J430" s="24">
        <v>0</v>
      </c>
      <c r="K430" s="24">
        <v>0</v>
      </c>
      <c r="L430" s="24" t="s">
        <v>38</v>
      </c>
      <c r="M430" s="24" t="s">
        <v>11</v>
      </c>
      <c r="N430" s="24" t="s">
        <v>1336</v>
      </c>
      <c r="P430" s="24">
        <v>166</v>
      </c>
      <c r="Q430" s="31"/>
      <c r="R430" s="74">
        <v>100</v>
      </c>
      <c r="S430" s="74">
        <f>100 - R430 - U430 - T430</f>
        <v>0</v>
      </c>
      <c r="T430" s="74">
        <v>0</v>
      </c>
      <c r="U430" s="93">
        <v>0</v>
      </c>
      <c r="V430" s="75">
        <f>INDEX(Chemical_analyses!$A:$L, MATCH($P430, Chemical_analyses!$A:$A), 9)/$AI$1/(INDEX(Chemical_analyses!$A:$L, MATCH($P430, Chemical_analyses!$A:$A), 9)/$AI$1+INDEX(Chemical_analyses!$A:$L, MATCH($P430, Chemical_analyses!$A:$A), 11)/$AJ$1)*100</f>
        <v>40.736938959909537</v>
      </c>
      <c r="W430" s="93">
        <f>IF($R430 &gt; 0, 100 - $V430, 0)</f>
        <v>59.263061040090463</v>
      </c>
      <c r="X430" s="75">
        <v>0</v>
      </c>
      <c r="Y430" s="75">
        <f>IF($S430 &gt; 0, 100 - $X430 - $Z430, 0)</f>
        <v>0</v>
      </c>
      <c r="Z430" s="94">
        <v>0</v>
      </c>
      <c r="AA430" s="75">
        <v>0</v>
      </c>
      <c r="AB430" s="75">
        <f>IF($T430 &gt; 0, 100 - $AA430 - $AC430, 0)</f>
        <v>0</v>
      </c>
      <c r="AC430" s="94">
        <v>0</v>
      </c>
      <c r="AD430" s="75">
        <v>0</v>
      </c>
      <c r="AE430" s="75">
        <f>IF($U430 &gt; 0, 100 - $AD430 - $AF430, 0)</f>
        <v>0</v>
      </c>
      <c r="AF430" s="94">
        <v>0</v>
      </c>
      <c r="AG430" s="24" t="s">
        <v>43</v>
      </c>
      <c r="AH430" s="27" t="str">
        <f>_xlfn.CONCAT("FeO: ", INDEX(Chemical_analyses!$A:$M, MATCH($P430, Chemical_analyses!$A:$A), 9), ", MgO: ", INDEX(Chemical_analyses!$A:$M, MATCH($P430, Chemical_analyses!$A:$A), 11), ", CaO: ", INDEX(Chemical_analyses!$A:$M, MATCH($P430, Chemical_analyses!$A:$A), 12), ", MnO: ", INDEX(Chemical_analyses!$A:$M, MATCH($P430, Chemical_analyses!$A:$A), 10), ", NaO2: ", INDEX(Chemical_analyses!$A:$M, MATCH($P430, Chemical_analyses!$A:$A), 13), ", Fe2O3: ", INDEX(Chemical_analyses!$A:$M, MATCH($P430, Chemical_analyses!$A:$A), 8), ", Al2O3: ", INDEX(Chemical_analyses!$A:$M, MATCH($P430, Chemical_analyses!$A:$A), 6))</f>
        <v>FeO: 34.37, MgO: 28.05, CaO: 0.1, MnO: 0.48, NaO2: 0, Fe2O3: 0, Al2O3: 0.06</v>
      </c>
      <c r="AI430" s="27"/>
      <c r="AJ430" s="27"/>
      <c r="AN430" s="82"/>
      <c r="AO430" s="82"/>
      <c r="AP430" s="82"/>
      <c r="AQ430" s="82"/>
      <c r="AR430" s="82"/>
      <c r="AS430" s="82"/>
      <c r="AT430" s="82"/>
      <c r="AU430" s="82"/>
    </row>
    <row r="431" spans="1:47" s="24" customFormat="1" ht="12">
      <c r="A431" s="24" t="s">
        <v>1337</v>
      </c>
      <c r="B431" s="25" t="s">
        <v>1338</v>
      </c>
      <c r="C431" s="26" t="s">
        <v>795</v>
      </c>
      <c r="D431" s="26" t="s">
        <v>310</v>
      </c>
      <c r="E431" s="24" t="s">
        <v>311</v>
      </c>
      <c r="G431" s="24" t="s">
        <v>1074</v>
      </c>
      <c r="H431" s="24" t="s">
        <v>1339</v>
      </c>
      <c r="J431" s="24">
        <v>0</v>
      </c>
      <c r="K431" s="24">
        <v>0</v>
      </c>
      <c r="L431" s="24" t="s">
        <v>38</v>
      </c>
      <c r="M431" s="24" t="s">
        <v>11</v>
      </c>
      <c r="P431" s="24">
        <v>162</v>
      </c>
      <c r="Q431" s="31" t="s">
        <v>1340</v>
      </c>
      <c r="R431" s="74">
        <v>100</v>
      </c>
      <c r="S431" s="74">
        <f>100 - R431 - U431 - T431</f>
        <v>0</v>
      </c>
      <c r="T431" s="74">
        <v>0</v>
      </c>
      <c r="U431" s="93">
        <v>0</v>
      </c>
      <c r="V431" s="75">
        <f>INDEX(Chemical_analyses!$A:$L, MATCH($P431, Chemical_analyses!$A:$A), 9)/$AI$1/(INDEX(Chemical_analyses!$A:$L, MATCH($P431, Chemical_analyses!$A:$A), 9)/$AI$1+INDEX(Chemical_analyses!$A:$L, MATCH($P431, Chemical_analyses!$A:$A), 11)/$AJ$1)*100</f>
        <v>49.554439890767533</v>
      </c>
      <c r="W431" s="93">
        <f>IF($R431 &gt; 0, 100 - $V431, 0)</f>
        <v>50.445560109232467</v>
      </c>
      <c r="X431" s="75">
        <v>0</v>
      </c>
      <c r="Y431" s="75">
        <f>IF($S431 &gt; 0, 100 - $X431 - $Z431, 0)</f>
        <v>0</v>
      </c>
      <c r="Z431" s="94">
        <v>0</v>
      </c>
      <c r="AA431" s="75">
        <v>0</v>
      </c>
      <c r="AB431" s="75">
        <f>IF($T431 &gt; 0, 100 - $AA431 - $AC431, 0)</f>
        <v>0</v>
      </c>
      <c r="AC431" s="94">
        <v>0</v>
      </c>
      <c r="AD431" s="75">
        <v>0</v>
      </c>
      <c r="AE431" s="75">
        <f>IF($U431 &gt; 0, 100 - $AD431 - $AF431, 0)</f>
        <v>0</v>
      </c>
      <c r="AF431" s="94">
        <v>0</v>
      </c>
      <c r="AG431" s="24" t="s">
        <v>43</v>
      </c>
      <c r="AH431" s="27" t="str">
        <f>_xlfn.CONCAT("FeO: ", INDEX(Chemical_analyses!$A:$M, MATCH($P431, Chemical_analyses!$A:$A), 9), ", MgO: ", INDEX(Chemical_analyses!$A:$M, MATCH($P431, Chemical_analyses!$A:$A), 11), ", CaO: ", INDEX(Chemical_analyses!$A:$M, MATCH($P431, Chemical_analyses!$A:$A), 12), ", MnO: ", INDEX(Chemical_analyses!$A:$M, MATCH($P431, Chemical_analyses!$A:$A), 10), ", NaO2: ", INDEX(Chemical_analyses!$A:$M, MATCH($P431, Chemical_analyses!$A:$A), 13), ", Fe2O3: ", INDEX(Chemical_analyses!$A:$M, MATCH($P431, Chemical_analyses!$A:$A), 8), ", Al2O3: ", INDEX(Chemical_analyses!$A:$M, MATCH($P431, Chemical_analyses!$A:$A), 6))</f>
        <v>FeO: 41.15, MgO: 23.5, CaO: 0.03, MnO: 0.54, NaO2: 0, Fe2O3: 0, Al2O3: 0.02</v>
      </c>
      <c r="AI431" s="27"/>
      <c r="AJ431" s="27"/>
      <c r="AN431" s="82"/>
      <c r="AO431" s="82"/>
      <c r="AP431" s="82"/>
      <c r="AQ431" s="82"/>
      <c r="AR431" s="82"/>
      <c r="AS431" s="82"/>
      <c r="AT431" s="82"/>
      <c r="AU431" s="82"/>
    </row>
    <row r="432" spans="1:47" s="24" customFormat="1" ht="12">
      <c r="A432" s="24" t="s">
        <v>1341</v>
      </c>
      <c r="B432" s="25" t="s">
        <v>1271</v>
      </c>
      <c r="C432" s="26" t="s">
        <v>737</v>
      </c>
      <c r="D432" s="26" t="s">
        <v>310</v>
      </c>
      <c r="E432" s="24" t="s">
        <v>311</v>
      </c>
      <c r="G432" s="24" t="s">
        <v>1074</v>
      </c>
      <c r="H432" s="24" t="s">
        <v>1078</v>
      </c>
      <c r="J432" s="24">
        <v>45</v>
      </c>
      <c r="K432" s="24">
        <v>90</v>
      </c>
      <c r="L432" s="24" t="s">
        <v>38</v>
      </c>
      <c r="M432" s="24" t="s">
        <v>11</v>
      </c>
      <c r="N432" s="24" t="s">
        <v>1342</v>
      </c>
      <c r="O432" s="24" t="s">
        <v>739</v>
      </c>
      <c r="P432" s="24">
        <v>4</v>
      </c>
      <c r="Q432" s="31" t="s">
        <v>1343</v>
      </c>
      <c r="R432" s="74">
        <v>100</v>
      </c>
      <c r="S432" s="74">
        <f>100 - R432 - U432 - T432</f>
        <v>0</v>
      </c>
      <c r="T432" s="74">
        <v>0</v>
      </c>
      <c r="U432" s="93">
        <v>0</v>
      </c>
      <c r="V432" s="75">
        <f>INDEX(Chemical_analyses!$A:$L, MATCH($P432, Chemical_analyses!$A:$A), 9)/$AI$1/(INDEX(Chemical_analyses!$A:$L, MATCH($P432, Chemical_analyses!$A:$A), 9)/$AI$1+INDEX(Chemical_analyses!$A:$L, MATCH($P432, Chemical_analyses!$A:$A), 11)/$AJ$1)*100</f>
        <v>9.5531393337000239</v>
      </c>
      <c r="W432" s="93">
        <f>IF($R432 &gt; 0, 100 - $V432, 0)</f>
        <v>90.446860666299983</v>
      </c>
      <c r="X432" s="75">
        <v>0</v>
      </c>
      <c r="Y432" s="75">
        <f>IF($S432 &gt; 0, 100 - $X432 - $Z432, 0)</f>
        <v>0</v>
      </c>
      <c r="Z432" s="94">
        <v>0</v>
      </c>
      <c r="AA432" s="75">
        <v>0</v>
      </c>
      <c r="AB432" s="75">
        <f>IF($T432 &gt; 0, 100 - $AA432 - $AC432, 0)</f>
        <v>0</v>
      </c>
      <c r="AC432" s="94">
        <v>0</v>
      </c>
      <c r="AD432" s="75">
        <v>0</v>
      </c>
      <c r="AE432" s="75">
        <f>IF($U432 &gt; 0, 100 - $AD432 - $AF432, 0)</f>
        <v>0</v>
      </c>
      <c r="AF432" s="94">
        <v>0</v>
      </c>
      <c r="AG432" s="24" t="s">
        <v>43</v>
      </c>
      <c r="AH432" s="27" t="str">
        <f>_xlfn.CONCAT("FeO: ", INDEX(Chemical_analyses!$A:$M, MATCH($P432, Chemical_analyses!$A:$A), 9), ", MgO: ", INDEX(Chemical_analyses!$A:$M, MATCH($P432, Chemical_analyses!$A:$A), 11), ", CaO: ", INDEX(Chemical_analyses!$A:$M, MATCH($P432, Chemical_analyses!$A:$A), 12), ", MnO: ", INDEX(Chemical_analyses!$A:$M, MATCH($P432, Chemical_analyses!$A:$A), 10), ", NaO2: ", INDEX(Chemical_analyses!$A:$M, MATCH($P432, Chemical_analyses!$A:$A), 13), ", Fe2O3: ", INDEX(Chemical_analyses!$A:$M, MATCH($P432, Chemical_analyses!$A:$A), 8), ", Al2O3: ", INDEX(Chemical_analyses!$A:$M, MATCH($P432, Chemical_analyses!$A:$A), 6))</f>
        <v>FeO: 9.25, MgO: 49.13, CaO: 0.07, MnO: 0.09, NaO2: 0, Fe2O3: 0.59, Al2O3: 0</v>
      </c>
      <c r="AI432" s="27"/>
      <c r="AJ432" s="27"/>
      <c r="AN432" s="82"/>
      <c r="AO432" s="82"/>
      <c r="AP432" s="82"/>
      <c r="AQ432" s="82"/>
      <c r="AR432" s="82"/>
      <c r="AS432" s="82"/>
      <c r="AT432" s="82"/>
      <c r="AU432" s="82"/>
    </row>
    <row r="433" spans="1:47" s="24" customFormat="1" ht="12">
      <c r="A433" s="24" t="s">
        <v>1344</v>
      </c>
      <c r="B433" s="25" t="s">
        <v>1345</v>
      </c>
      <c r="C433" s="26" t="s">
        <v>129</v>
      </c>
      <c r="D433" s="26" t="s">
        <v>310</v>
      </c>
      <c r="E433" s="24" t="s">
        <v>311</v>
      </c>
      <c r="G433" s="24" t="s">
        <v>1164</v>
      </c>
      <c r="H433" s="24" t="s">
        <v>1078</v>
      </c>
      <c r="J433" s="24">
        <v>0</v>
      </c>
      <c r="K433" s="24">
        <v>25</v>
      </c>
      <c r="L433" s="24" t="s">
        <v>38</v>
      </c>
      <c r="M433" s="24" t="s">
        <v>11</v>
      </c>
      <c r="N433" s="24" t="s">
        <v>1346</v>
      </c>
      <c r="O433" s="24" t="s">
        <v>428</v>
      </c>
      <c r="P433" s="24">
        <v>0</v>
      </c>
      <c r="Q433" s="31"/>
      <c r="R433" s="74">
        <v>100</v>
      </c>
      <c r="S433" s="74">
        <f>100 - R433 - U433 - T433</f>
        <v>0</v>
      </c>
      <c r="T433" s="74">
        <v>0</v>
      </c>
      <c r="U433" s="93">
        <v>0</v>
      </c>
      <c r="V433" s="74">
        <f>(22+7)/2</f>
        <v>14.5</v>
      </c>
      <c r="W433" s="93">
        <f>IF($R433 &gt; 0, 100 - $V433, 0)</f>
        <v>85.5</v>
      </c>
      <c r="X433" s="75">
        <v>0</v>
      </c>
      <c r="Y433" s="75">
        <f>IF($S433 &gt; 0, 100 - $X433 - $Z433, 0)</f>
        <v>0</v>
      </c>
      <c r="Z433" s="94">
        <v>0</v>
      </c>
      <c r="AA433" s="75">
        <v>0</v>
      </c>
      <c r="AB433" s="75">
        <f>IF($T433 &gt; 0, 100 - $AA433 - $AC433, 0)</f>
        <v>0</v>
      </c>
      <c r="AC433" s="94">
        <v>0</v>
      </c>
      <c r="AD433" s="75">
        <v>0</v>
      </c>
      <c r="AE433" s="75">
        <f>IF($U433 &gt; 0, 100 - $AD433 - $AF433, 0)</f>
        <v>0</v>
      </c>
      <c r="AF433" s="94">
        <v>0</v>
      </c>
      <c r="AG433" s="24" t="s">
        <v>43</v>
      </c>
      <c r="AH433" s="32" t="s">
        <v>1347</v>
      </c>
      <c r="AI433" s="27"/>
      <c r="AJ433" s="27"/>
      <c r="AN433" s="82"/>
      <c r="AO433" s="82"/>
      <c r="AP433" s="82"/>
      <c r="AQ433" s="82"/>
      <c r="AR433" s="82"/>
      <c r="AS433" s="82"/>
      <c r="AT433" s="82"/>
      <c r="AU433" s="82"/>
    </row>
    <row r="434" spans="1:47" s="24" customFormat="1" ht="12">
      <c r="A434" s="24" t="s">
        <v>1348</v>
      </c>
      <c r="B434" s="25" t="s">
        <v>1345</v>
      </c>
      <c r="C434" s="26" t="s">
        <v>129</v>
      </c>
      <c r="D434" s="26" t="s">
        <v>310</v>
      </c>
      <c r="E434" s="24" t="s">
        <v>311</v>
      </c>
      <c r="G434" s="24" t="s">
        <v>1164</v>
      </c>
      <c r="H434" s="24" t="s">
        <v>1078</v>
      </c>
      <c r="J434" s="24">
        <v>25</v>
      </c>
      <c r="K434" s="24">
        <v>45</v>
      </c>
      <c r="L434" s="24" t="s">
        <v>38</v>
      </c>
      <c r="M434" s="24" t="s">
        <v>11</v>
      </c>
      <c r="N434" s="24" t="s">
        <v>1346</v>
      </c>
      <c r="O434" s="24" t="s">
        <v>428</v>
      </c>
      <c r="P434" s="24">
        <v>0</v>
      </c>
      <c r="Q434" s="31"/>
      <c r="R434" s="74">
        <v>100</v>
      </c>
      <c r="S434" s="74">
        <f>100 - R434 - U434 - T434</f>
        <v>0</v>
      </c>
      <c r="T434" s="74">
        <v>0</v>
      </c>
      <c r="U434" s="93">
        <v>0</v>
      </c>
      <c r="V434" s="74">
        <f>(22+7)/2</f>
        <v>14.5</v>
      </c>
      <c r="W434" s="93">
        <f>IF($R434 &gt; 0, 100 - $V434, 0)</f>
        <v>85.5</v>
      </c>
      <c r="X434" s="75">
        <v>0</v>
      </c>
      <c r="Y434" s="75">
        <f>IF($S434 &gt; 0, 100 - $X434 - $Z434, 0)</f>
        <v>0</v>
      </c>
      <c r="Z434" s="94">
        <v>0</v>
      </c>
      <c r="AA434" s="75">
        <v>0</v>
      </c>
      <c r="AB434" s="75">
        <f>IF($T434 &gt; 0, 100 - $AA434 - $AC434, 0)</f>
        <v>0</v>
      </c>
      <c r="AC434" s="94">
        <v>0</v>
      </c>
      <c r="AD434" s="75">
        <v>0</v>
      </c>
      <c r="AE434" s="75">
        <f>IF($U434 &gt; 0, 100 - $AD434 - $AF434, 0)</f>
        <v>0</v>
      </c>
      <c r="AF434" s="94">
        <v>0</v>
      </c>
      <c r="AG434" s="24" t="s">
        <v>43</v>
      </c>
      <c r="AH434" s="32" t="s">
        <v>1347</v>
      </c>
      <c r="AI434" s="27"/>
      <c r="AJ434" s="27"/>
      <c r="AN434" s="82"/>
      <c r="AO434" s="82"/>
      <c r="AP434" s="82"/>
      <c r="AQ434" s="82"/>
      <c r="AR434" s="82"/>
      <c r="AS434" s="82"/>
      <c r="AT434" s="82"/>
      <c r="AU434" s="82"/>
    </row>
    <row r="435" spans="1:47" s="24" customFormat="1" ht="12">
      <c r="A435" s="24" t="s">
        <v>1349</v>
      </c>
      <c r="B435" s="25" t="s">
        <v>1345</v>
      </c>
      <c r="C435" s="26" t="s">
        <v>129</v>
      </c>
      <c r="D435" s="26" t="s">
        <v>310</v>
      </c>
      <c r="E435" s="24" t="s">
        <v>311</v>
      </c>
      <c r="G435" s="24" t="s">
        <v>1164</v>
      </c>
      <c r="H435" s="24" t="s">
        <v>1078</v>
      </c>
      <c r="J435" s="24">
        <v>45</v>
      </c>
      <c r="K435" s="24">
        <v>75</v>
      </c>
      <c r="L435" s="24" t="s">
        <v>38</v>
      </c>
      <c r="M435" s="24" t="s">
        <v>11</v>
      </c>
      <c r="N435" s="24" t="s">
        <v>1346</v>
      </c>
      <c r="O435" s="24" t="s">
        <v>428</v>
      </c>
      <c r="P435" s="24">
        <v>0</v>
      </c>
      <c r="Q435" s="31"/>
      <c r="R435" s="74">
        <v>100</v>
      </c>
      <c r="S435" s="74">
        <f>100 - R435 - U435 - T435</f>
        <v>0</v>
      </c>
      <c r="T435" s="74">
        <v>0</v>
      </c>
      <c r="U435" s="93">
        <v>0</v>
      </c>
      <c r="V435" s="74">
        <f>(22+7)/2</f>
        <v>14.5</v>
      </c>
      <c r="W435" s="93">
        <f>IF($R435 &gt; 0, 100 - $V435, 0)</f>
        <v>85.5</v>
      </c>
      <c r="X435" s="75">
        <v>0</v>
      </c>
      <c r="Y435" s="75">
        <f>IF($S435 &gt; 0, 100 - $X435 - $Z435, 0)</f>
        <v>0</v>
      </c>
      <c r="Z435" s="94">
        <v>0</v>
      </c>
      <c r="AA435" s="75">
        <v>0</v>
      </c>
      <c r="AB435" s="75">
        <f>IF($T435 &gt; 0, 100 - $AA435 - $AC435, 0)</f>
        <v>0</v>
      </c>
      <c r="AC435" s="94">
        <v>0</v>
      </c>
      <c r="AD435" s="75">
        <v>0</v>
      </c>
      <c r="AE435" s="75">
        <f>IF($U435 &gt; 0, 100 - $AD435 - $AF435, 0)</f>
        <v>0</v>
      </c>
      <c r="AF435" s="94">
        <v>0</v>
      </c>
      <c r="AG435" s="24" t="s">
        <v>43</v>
      </c>
      <c r="AH435" s="32" t="s">
        <v>1347</v>
      </c>
      <c r="AI435" s="27"/>
      <c r="AJ435" s="27"/>
      <c r="AK435" s="24" t="s">
        <v>1350</v>
      </c>
      <c r="AN435" s="82"/>
      <c r="AO435" s="82"/>
      <c r="AP435" s="82"/>
      <c r="AQ435" s="82"/>
      <c r="AR435" s="82"/>
      <c r="AS435" s="82"/>
      <c r="AT435" s="82"/>
      <c r="AU435" s="82"/>
    </row>
    <row r="436" spans="1:47" s="24" customFormat="1" ht="12">
      <c r="A436" s="24" t="s">
        <v>1351</v>
      </c>
      <c r="B436" s="25" t="s">
        <v>1345</v>
      </c>
      <c r="C436" s="26" t="s">
        <v>129</v>
      </c>
      <c r="D436" s="26" t="s">
        <v>310</v>
      </c>
      <c r="E436" s="24" t="s">
        <v>311</v>
      </c>
      <c r="G436" s="24" t="s">
        <v>1164</v>
      </c>
      <c r="H436" s="24" t="s">
        <v>1078</v>
      </c>
      <c r="J436" s="24">
        <v>75</v>
      </c>
      <c r="K436" s="24">
        <v>125</v>
      </c>
      <c r="L436" s="24" t="s">
        <v>38</v>
      </c>
      <c r="M436" s="24" t="s">
        <v>11</v>
      </c>
      <c r="N436" s="24" t="s">
        <v>1346</v>
      </c>
      <c r="O436" s="24" t="s">
        <v>428</v>
      </c>
      <c r="P436" s="24">
        <v>0</v>
      </c>
      <c r="Q436" s="31"/>
      <c r="R436" s="74">
        <v>100</v>
      </c>
      <c r="S436" s="74">
        <f>100 - R436 - U436 - T436</f>
        <v>0</v>
      </c>
      <c r="T436" s="74">
        <v>0</v>
      </c>
      <c r="U436" s="93">
        <v>0</v>
      </c>
      <c r="V436" s="74">
        <f>(22+7)/2</f>
        <v>14.5</v>
      </c>
      <c r="W436" s="93">
        <f>IF($R436 &gt; 0, 100 - $V436, 0)</f>
        <v>85.5</v>
      </c>
      <c r="X436" s="75">
        <v>0</v>
      </c>
      <c r="Y436" s="75">
        <f>IF($S436 &gt; 0, 100 - $X436 - $Z436, 0)</f>
        <v>0</v>
      </c>
      <c r="Z436" s="94">
        <v>0</v>
      </c>
      <c r="AA436" s="75">
        <v>0</v>
      </c>
      <c r="AB436" s="75">
        <f>IF($T436 &gt; 0, 100 - $AA436 - $AC436, 0)</f>
        <v>0</v>
      </c>
      <c r="AC436" s="94">
        <v>0</v>
      </c>
      <c r="AD436" s="75">
        <v>0</v>
      </c>
      <c r="AE436" s="75">
        <f>IF($U436 &gt; 0, 100 - $AD436 - $AF436, 0)</f>
        <v>0</v>
      </c>
      <c r="AF436" s="94">
        <v>0</v>
      </c>
      <c r="AG436" s="24" t="s">
        <v>43</v>
      </c>
      <c r="AH436" s="32" t="s">
        <v>1347</v>
      </c>
      <c r="AI436" s="27"/>
      <c r="AJ436" s="27"/>
      <c r="AN436" s="82"/>
      <c r="AO436" s="82"/>
      <c r="AP436" s="82"/>
      <c r="AQ436" s="82"/>
      <c r="AR436" s="82"/>
      <c r="AS436" s="82"/>
      <c r="AT436" s="82"/>
      <c r="AU436" s="82"/>
    </row>
    <row r="437" spans="1:47" s="162" customFormat="1" ht="12.75">
      <c r="A437" s="170" t="s">
        <v>1352</v>
      </c>
      <c r="B437" s="160" t="s">
        <v>1353</v>
      </c>
      <c r="C437" s="161"/>
      <c r="D437" s="161" t="s">
        <v>310</v>
      </c>
      <c r="E437" s="162" t="s">
        <v>311</v>
      </c>
      <c r="G437" s="162" t="s">
        <v>1354</v>
      </c>
      <c r="H437" s="162" t="s">
        <v>1355</v>
      </c>
      <c r="J437" s="162">
        <v>0</v>
      </c>
      <c r="K437" s="162">
        <v>38</v>
      </c>
      <c r="Q437" s="163" t="s">
        <v>1356</v>
      </c>
      <c r="R437" s="164">
        <v>89.7</v>
      </c>
      <c r="S437" s="164">
        <f>100 - R437 - U437 - T437</f>
        <v>10.299999999999997</v>
      </c>
      <c r="T437" s="164">
        <v>0</v>
      </c>
      <c r="U437" s="165">
        <v>0</v>
      </c>
      <c r="V437" s="164">
        <v>10</v>
      </c>
      <c r="W437" s="165">
        <f>IF($R437 &gt; 0, 100 - $V437, 0)</f>
        <v>90</v>
      </c>
      <c r="X437" s="167">
        <v>13</v>
      </c>
      <c r="Y437" s="167">
        <f>IF($S437 &gt; 0, 100 - $X437 - $Z437, 0)</f>
        <v>87</v>
      </c>
      <c r="Z437" s="187">
        <v>0</v>
      </c>
      <c r="AA437" s="167">
        <v>0</v>
      </c>
      <c r="AB437" s="167">
        <f>IF($T437 &gt; 0, 100 - $AA437 - $AC437, 0)</f>
        <v>0</v>
      </c>
      <c r="AC437" s="187">
        <v>0</v>
      </c>
      <c r="AD437" s="167">
        <v>0</v>
      </c>
      <c r="AE437" s="167">
        <f>IF($U437 &gt; 0, 100 - $AD437 - $AF437, 0)</f>
        <v>0</v>
      </c>
      <c r="AF437" s="187">
        <v>0</v>
      </c>
      <c r="AI437" s="166"/>
      <c r="AJ437" s="166"/>
      <c r="AN437" s="169"/>
      <c r="AO437" s="169"/>
      <c r="AP437" s="169"/>
      <c r="AQ437" s="169"/>
      <c r="AR437" s="169"/>
      <c r="AS437" s="169"/>
      <c r="AT437" s="169"/>
      <c r="AU437" s="169"/>
    </row>
    <row r="438" spans="1:47" s="162" customFormat="1" ht="12.75">
      <c r="A438" s="170" t="s">
        <v>1357</v>
      </c>
      <c r="B438" s="160" t="s">
        <v>1358</v>
      </c>
      <c r="C438" s="161"/>
      <c r="D438" s="161" t="s">
        <v>310</v>
      </c>
      <c r="E438" s="162" t="s">
        <v>311</v>
      </c>
      <c r="G438" s="162" t="s">
        <v>1354</v>
      </c>
      <c r="H438" s="162" t="s">
        <v>1355</v>
      </c>
      <c r="J438" s="162">
        <v>0</v>
      </c>
      <c r="K438" s="162">
        <v>38</v>
      </c>
      <c r="Q438" s="163" t="s">
        <v>1356</v>
      </c>
      <c r="R438" s="164">
        <v>79.5</v>
      </c>
      <c r="S438" s="164">
        <f>100 - R438 - U438 - T438</f>
        <v>20.5</v>
      </c>
      <c r="T438" s="164">
        <v>0</v>
      </c>
      <c r="U438" s="165">
        <v>0</v>
      </c>
      <c r="V438" s="164">
        <v>10</v>
      </c>
      <c r="W438" s="165">
        <f>IF($R438 &gt; 0, 100 - $V438, 0)</f>
        <v>90</v>
      </c>
      <c r="X438" s="167">
        <v>13</v>
      </c>
      <c r="Y438" s="167">
        <f>IF($S438 &gt; 0, 100 - $X438 - $Z438, 0)</f>
        <v>87</v>
      </c>
      <c r="Z438" s="187">
        <v>0</v>
      </c>
      <c r="AA438" s="167">
        <v>0</v>
      </c>
      <c r="AB438" s="167">
        <f t="shared" ref="AB438:AB500" si="0">IF($T438 &gt; 0, 100 - $AA438 - $AC438, 0)</f>
        <v>0</v>
      </c>
      <c r="AC438" s="187">
        <v>0</v>
      </c>
      <c r="AD438" s="167">
        <v>0</v>
      </c>
      <c r="AE438" s="167">
        <f t="shared" ref="AE438:AE500" si="1">IF($U438 &gt; 0, 100 - $AD438 - $AF438, 0)</f>
        <v>0</v>
      </c>
      <c r="AF438" s="187">
        <v>0</v>
      </c>
      <c r="AI438" s="166"/>
      <c r="AJ438" s="166"/>
      <c r="AN438" s="169"/>
      <c r="AO438" s="169"/>
      <c r="AP438" s="169"/>
      <c r="AQ438" s="169"/>
      <c r="AR438" s="169"/>
      <c r="AS438" s="169"/>
      <c r="AT438" s="169"/>
      <c r="AU438" s="169"/>
    </row>
    <row r="439" spans="1:47" s="162" customFormat="1" ht="12.75">
      <c r="A439" s="170" t="s">
        <v>1359</v>
      </c>
      <c r="B439" s="160" t="s">
        <v>1360</v>
      </c>
      <c r="C439" s="161"/>
      <c r="D439" s="161" t="s">
        <v>310</v>
      </c>
      <c r="E439" s="162" t="s">
        <v>311</v>
      </c>
      <c r="G439" s="162" t="s">
        <v>1354</v>
      </c>
      <c r="H439" s="162" t="s">
        <v>1355</v>
      </c>
      <c r="J439" s="162">
        <v>0</v>
      </c>
      <c r="K439" s="162">
        <v>38</v>
      </c>
      <c r="Q439" s="163" t="s">
        <v>1356</v>
      </c>
      <c r="R439" s="164">
        <v>69.400000000000006</v>
      </c>
      <c r="S439" s="164">
        <f>100 - R439 - U439 - T439</f>
        <v>30.599999999999994</v>
      </c>
      <c r="T439" s="164">
        <v>0</v>
      </c>
      <c r="U439" s="165">
        <v>0</v>
      </c>
      <c r="V439" s="164">
        <v>10</v>
      </c>
      <c r="W439" s="165">
        <f>IF($R439 &gt; 0, 100 - $V439, 0)</f>
        <v>90</v>
      </c>
      <c r="X439" s="167">
        <v>13</v>
      </c>
      <c r="Y439" s="167">
        <f>IF($S439 &gt; 0, 100 - $X439 - $Z439, 0)</f>
        <v>87</v>
      </c>
      <c r="Z439" s="187">
        <v>0</v>
      </c>
      <c r="AA439" s="167">
        <v>0</v>
      </c>
      <c r="AB439" s="167">
        <f t="shared" si="0"/>
        <v>0</v>
      </c>
      <c r="AC439" s="187">
        <v>0</v>
      </c>
      <c r="AD439" s="167">
        <v>0</v>
      </c>
      <c r="AE439" s="167">
        <f t="shared" si="1"/>
        <v>0</v>
      </c>
      <c r="AF439" s="187">
        <v>0</v>
      </c>
      <c r="AI439" s="166"/>
      <c r="AJ439" s="166"/>
      <c r="AN439" s="169"/>
      <c r="AO439" s="169"/>
      <c r="AP439" s="169"/>
      <c r="AQ439" s="169"/>
      <c r="AR439" s="169"/>
      <c r="AS439" s="169"/>
      <c r="AT439" s="169"/>
      <c r="AU439" s="169"/>
    </row>
    <row r="440" spans="1:47" s="162" customFormat="1" ht="12.75">
      <c r="A440" s="170" t="s">
        <v>1361</v>
      </c>
      <c r="B440" s="160" t="s">
        <v>1362</v>
      </c>
      <c r="C440" s="161"/>
      <c r="D440" s="161" t="s">
        <v>310</v>
      </c>
      <c r="E440" s="162" t="s">
        <v>311</v>
      </c>
      <c r="G440" s="162" t="s">
        <v>1354</v>
      </c>
      <c r="H440" s="162" t="s">
        <v>1355</v>
      </c>
      <c r="J440" s="162">
        <v>0</v>
      </c>
      <c r="K440" s="162">
        <v>38</v>
      </c>
      <c r="Q440" s="163" t="s">
        <v>1356</v>
      </c>
      <c r="R440" s="164">
        <v>59.3</v>
      </c>
      <c r="S440" s="164">
        <f>100 - R440 - U440 - T440</f>
        <v>40.700000000000003</v>
      </c>
      <c r="T440" s="164">
        <v>0</v>
      </c>
      <c r="U440" s="165">
        <v>0</v>
      </c>
      <c r="V440" s="164">
        <v>10</v>
      </c>
      <c r="W440" s="165">
        <f>IF($R440 &gt; 0, 100 - $V440, 0)</f>
        <v>90</v>
      </c>
      <c r="X440" s="167">
        <v>13</v>
      </c>
      <c r="Y440" s="167">
        <f>IF($S440 &gt; 0, 100 - $X440 - $Z440, 0)</f>
        <v>87</v>
      </c>
      <c r="Z440" s="187">
        <v>0</v>
      </c>
      <c r="AA440" s="167">
        <v>0</v>
      </c>
      <c r="AB440" s="167">
        <f t="shared" si="0"/>
        <v>0</v>
      </c>
      <c r="AC440" s="187">
        <v>0</v>
      </c>
      <c r="AD440" s="167">
        <v>0</v>
      </c>
      <c r="AE440" s="167">
        <f t="shared" si="1"/>
        <v>0</v>
      </c>
      <c r="AF440" s="187">
        <v>0</v>
      </c>
      <c r="AI440" s="166"/>
      <c r="AJ440" s="166"/>
      <c r="AN440" s="169"/>
      <c r="AO440" s="169"/>
      <c r="AP440" s="169"/>
      <c r="AQ440" s="169"/>
      <c r="AR440" s="169"/>
      <c r="AS440" s="169"/>
      <c r="AT440" s="169"/>
      <c r="AU440" s="169"/>
    </row>
    <row r="441" spans="1:47" s="162" customFormat="1" ht="12.75">
      <c r="A441" s="170" t="s">
        <v>1363</v>
      </c>
      <c r="B441" s="160" t="s">
        <v>1364</v>
      </c>
      <c r="C441" s="161"/>
      <c r="D441" s="161" t="s">
        <v>310</v>
      </c>
      <c r="E441" s="162" t="s">
        <v>311</v>
      </c>
      <c r="G441" s="162" t="s">
        <v>1354</v>
      </c>
      <c r="H441" s="162" t="s">
        <v>1355</v>
      </c>
      <c r="J441" s="162">
        <v>0</v>
      </c>
      <c r="K441" s="162">
        <v>38</v>
      </c>
      <c r="Q441" s="163" t="s">
        <v>1356</v>
      </c>
      <c r="R441" s="164">
        <v>49.3</v>
      </c>
      <c r="S441" s="164">
        <f>100 - R441 - U441 - T441</f>
        <v>50.7</v>
      </c>
      <c r="T441" s="164">
        <v>0</v>
      </c>
      <c r="U441" s="165">
        <v>0</v>
      </c>
      <c r="V441" s="164">
        <v>10</v>
      </c>
      <c r="W441" s="165">
        <f>IF($R441 &gt; 0, 100 - $V441, 0)</f>
        <v>90</v>
      </c>
      <c r="X441" s="167">
        <v>13</v>
      </c>
      <c r="Y441" s="167">
        <f>IF($S441 &gt; 0, 100 - $X441 - $Z441, 0)</f>
        <v>87</v>
      </c>
      <c r="Z441" s="187">
        <v>0</v>
      </c>
      <c r="AA441" s="167">
        <v>0</v>
      </c>
      <c r="AB441" s="167">
        <f t="shared" si="0"/>
        <v>0</v>
      </c>
      <c r="AC441" s="187">
        <v>0</v>
      </c>
      <c r="AD441" s="167">
        <v>0</v>
      </c>
      <c r="AE441" s="167">
        <f t="shared" si="1"/>
        <v>0</v>
      </c>
      <c r="AF441" s="187">
        <v>0</v>
      </c>
      <c r="AI441" s="166"/>
      <c r="AJ441" s="166"/>
      <c r="AN441" s="169"/>
      <c r="AO441" s="169"/>
      <c r="AP441" s="169"/>
      <c r="AQ441" s="169"/>
      <c r="AR441" s="169"/>
      <c r="AS441" s="169"/>
      <c r="AT441" s="169"/>
      <c r="AU441" s="169"/>
    </row>
    <row r="442" spans="1:47" s="162" customFormat="1" ht="12.75">
      <c r="A442" s="170" t="s">
        <v>1365</v>
      </c>
      <c r="B442" s="160" t="s">
        <v>1366</v>
      </c>
      <c r="C442" s="161"/>
      <c r="D442" s="161" t="s">
        <v>310</v>
      </c>
      <c r="E442" s="162" t="s">
        <v>311</v>
      </c>
      <c r="G442" s="162" t="s">
        <v>1354</v>
      </c>
      <c r="H442" s="162" t="s">
        <v>1355</v>
      </c>
      <c r="J442" s="162">
        <v>0</v>
      </c>
      <c r="K442" s="162">
        <v>38</v>
      </c>
      <c r="Q442" s="163" t="s">
        <v>1356</v>
      </c>
      <c r="R442" s="164">
        <v>39.299999999999997</v>
      </c>
      <c r="S442" s="164">
        <f>100 - R442 - U442 - T442</f>
        <v>60.7</v>
      </c>
      <c r="T442" s="164">
        <v>0</v>
      </c>
      <c r="U442" s="165">
        <v>0</v>
      </c>
      <c r="V442" s="164">
        <v>10</v>
      </c>
      <c r="W442" s="165">
        <f>IF($R442 &gt; 0, 100 - $V442, 0)</f>
        <v>90</v>
      </c>
      <c r="X442" s="167">
        <v>13</v>
      </c>
      <c r="Y442" s="167">
        <f>IF($S442 &gt; 0, 100 - $X442 - $Z442, 0)</f>
        <v>87</v>
      </c>
      <c r="Z442" s="187">
        <v>0</v>
      </c>
      <c r="AA442" s="167">
        <v>0</v>
      </c>
      <c r="AB442" s="167">
        <f t="shared" si="0"/>
        <v>0</v>
      </c>
      <c r="AC442" s="187">
        <v>0</v>
      </c>
      <c r="AD442" s="167">
        <v>0</v>
      </c>
      <c r="AE442" s="167">
        <f t="shared" si="1"/>
        <v>0</v>
      </c>
      <c r="AF442" s="187">
        <v>0</v>
      </c>
      <c r="AI442" s="166"/>
      <c r="AJ442" s="166"/>
      <c r="AN442" s="169"/>
      <c r="AO442" s="169"/>
      <c r="AP442" s="169"/>
      <c r="AQ442" s="169"/>
      <c r="AR442" s="169"/>
      <c r="AS442" s="169"/>
      <c r="AT442" s="169"/>
      <c r="AU442" s="169"/>
    </row>
    <row r="443" spans="1:47" s="162" customFormat="1" ht="12.75">
      <c r="A443" s="170" t="s">
        <v>1367</v>
      </c>
      <c r="B443" s="160" t="s">
        <v>1368</v>
      </c>
      <c r="C443" s="161"/>
      <c r="D443" s="161" t="s">
        <v>310</v>
      </c>
      <c r="E443" s="162" t="s">
        <v>311</v>
      </c>
      <c r="G443" s="162" t="s">
        <v>1354</v>
      </c>
      <c r="H443" s="162" t="s">
        <v>1355</v>
      </c>
      <c r="J443" s="162">
        <v>0</v>
      </c>
      <c r="K443" s="162">
        <v>38</v>
      </c>
      <c r="Q443" s="163" t="s">
        <v>1356</v>
      </c>
      <c r="R443" s="164">
        <v>29.4</v>
      </c>
      <c r="S443" s="164">
        <f>100 - R443 - U443 - T443</f>
        <v>70.599999999999994</v>
      </c>
      <c r="T443" s="164">
        <v>0</v>
      </c>
      <c r="U443" s="165">
        <v>0</v>
      </c>
      <c r="V443" s="164">
        <v>10</v>
      </c>
      <c r="W443" s="165">
        <f>IF($R443 &gt; 0, 100 - $V443, 0)</f>
        <v>90</v>
      </c>
      <c r="X443" s="167">
        <v>13</v>
      </c>
      <c r="Y443" s="167">
        <f>IF($S443 &gt; 0, 100 - $X443 - $Z443, 0)</f>
        <v>87</v>
      </c>
      <c r="Z443" s="187">
        <v>0</v>
      </c>
      <c r="AA443" s="167">
        <v>0</v>
      </c>
      <c r="AB443" s="167">
        <f t="shared" si="0"/>
        <v>0</v>
      </c>
      <c r="AC443" s="187">
        <v>0</v>
      </c>
      <c r="AD443" s="167">
        <v>0</v>
      </c>
      <c r="AE443" s="167">
        <f t="shared" si="1"/>
        <v>0</v>
      </c>
      <c r="AF443" s="187">
        <v>0</v>
      </c>
      <c r="AI443" s="166"/>
      <c r="AJ443" s="166"/>
      <c r="AN443" s="169"/>
      <c r="AO443" s="169"/>
      <c r="AP443" s="169"/>
      <c r="AQ443" s="169"/>
      <c r="AR443" s="169"/>
      <c r="AS443" s="169"/>
      <c r="AT443" s="169"/>
      <c r="AU443" s="169"/>
    </row>
    <row r="444" spans="1:47" s="162" customFormat="1" ht="12.75">
      <c r="A444" s="170" t="s">
        <v>1369</v>
      </c>
      <c r="B444" s="160" t="s">
        <v>1370</v>
      </c>
      <c r="C444" s="161"/>
      <c r="D444" s="161" t="s">
        <v>310</v>
      </c>
      <c r="E444" s="162" t="s">
        <v>311</v>
      </c>
      <c r="G444" s="162" t="s">
        <v>1354</v>
      </c>
      <c r="H444" s="162" t="s">
        <v>1355</v>
      </c>
      <c r="J444" s="162">
        <v>0</v>
      </c>
      <c r="K444" s="162">
        <v>38</v>
      </c>
      <c r="Q444" s="163" t="s">
        <v>1356</v>
      </c>
      <c r="R444" s="164">
        <v>19.600000000000001</v>
      </c>
      <c r="S444" s="164">
        <f>100 - R444 - U444 - T444</f>
        <v>80.400000000000006</v>
      </c>
      <c r="T444" s="164">
        <v>0</v>
      </c>
      <c r="U444" s="165">
        <v>0</v>
      </c>
      <c r="V444" s="164">
        <v>10</v>
      </c>
      <c r="W444" s="165">
        <f>IF($R444 &gt; 0, 100 - $V444, 0)</f>
        <v>90</v>
      </c>
      <c r="X444" s="167">
        <v>13</v>
      </c>
      <c r="Y444" s="167">
        <f>IF($S444 &gt; 0, 100 - $X444 - $Z444, 0)</f>
        <v>87</v>
      </c>
      <c r="Z444" s="187">
        <v>0</v>
      </c>
      <c r="AA444" s="167">
        <v>0</v>
      </c>
      <c r="AB444" s="167">
        <f t="shared" si="0"/>
        <v>0</v>
      </c>
      <c r="AC444" s="187">
        <v>0</v>
      </c>
      <c r="AD444" s="167">
        <v>0</v>
      </c>
      <c r="AE444" s="167">
        <f t="shared" si="1"/>
        <v>0</v>
      </c>
      <c r="AF444" s="187">
        <v>0</v>
      </c>
      <c r="AI444" s="166"/>
      <c r="AJ444" s="166"/>
      <c r="AN444" s="169"/>
      <c r="AO444" s="169"/>
      <c r="AP444" s="169"/>
      <c r="AQ444" s="169"/>
      <c r="AR444" s="169"/>
      <c r="AS444" s="169"/>
      <c r="AT444" s="169"/>
      <c r="AU444" s="169"/>
    </row>
    <row r="445" spans="1:47" s="162" customFormat="1" ht="12.75">
      <c r="A445" s="170" t="s">
        <v>1371</v>
      </c>
      <c r="B445" s="160" t="s">
        <v>1372</v>
      </c>
      <c r="C445" s="161"/>
      <c r="D445" s="161" t="s">
        <v>310</v>
      </c>
      <c r="E445" s="162" t="s">
        <v>311</v>
      </c>
      <c r="G445" s="162" t="s">
        <v>1354</v>
      </c>
      <c r="H445" s="162" t="s">
        <v>1355</v>
      </c>
      <c r="J445" s="162">
        <v>0</v>
      </c>
      <c r="K445" s="162">
        <v>38</v>
      </c>
      <c r="Q445" s="163" t="s">
        <v>1356</v>
      </c>
      <c r="R445" s="164">
        <v>9.6999999999999993</v>
      </c>
      <c r="S445" s="164">
        <f>100 - R445 - U445 - T445</f>
        <v>90.3</v>
      </c>
      <c r="T445" s="164">
        <v>0</v>
      </c>
      <c r="U445" s="165">
        <v>0</v>
      </c>
      <c r="V445" s="164">
        <v>10</v>
      </c>
      <c r="W445" s="165">
        <f>IF($R445 &gt; 0, 100 - $V445, 0)</f>
        <v>90</v>
      </c>
      <c r="X445" s="167">
        <v>13</v>
      </c>
      <c r="Y445" s="167">
        <f>IF($S445 &gt; 0, 100 - $X445 - $Z445, 0)</f>
        <v>87</v>
      </c>
      <c r="Z445" s="187">
        <v>0</v>
      </c>
      <c r="AA445" s="167">
        <v>0</v>
      </c>
      <c r="AB445" s="167">
        <f t="shared" si="0"/>
        <v>0</v>
      </c>
      <c r="AC445" s="187">
        <v>0</v>
      </c>
      <c r="AD445" s="167">
        <v>0</v>
      </c>
      <c r="AE445" s="167">
        <f t="shared" si="1"/>
        <v>0</v>
      </c>
      <c r="AF445" s="187">
        <v>0</v>
      </c>
      <c r="AI445" s="166"/>
      <c r="AJ445" s="166"/>
      <c r="AN445" s="169"/>
      <c r="AO445" s="169"/>
      <c r="AP445" s="169"/>
      <c r="AQ445" s="169"/>
      <c r="AR445" s="169"/>
      <c r="AS445" s="169"/>
      <c r="AT445" s="169"/>
      <c r="AU445" s="169"/>
    </row>
    <row r="446" spans="1:47" s="162" customFormat="1" ht="12.75">
      <c r="A446" s="170" t="s">
        <v>1373</v>
      </c>
      <c r="B446" s="160" t="s">
        <v>1353</v>
      </c>
      <c r="C446" s="161"/>
      <c r="D446" s="161" t="s">
        <v>310</v>
      </c>
      <c r="E446" s="162" t="s">
        <v>311</v>
      </c>
      <c r="G446" s="162" t="s">
        <v>1354</v>
      </c>
      <c r="H446" s="162" t="s">
        <v>1355</v>
      </c>
      <c r="J446" s="162">
        <v>38</v>
      </c>
      <c r="K446" s="162">
        <v>53</v>
      </c>
      <c r="Q446" s="163" t="s">
        <v>1356</v>
      </c>
      <c r="R446" s="164">
        <v>89.7</v>
      </c>
      <c r="S446" s="164">
        <f>100 - R446 - U446 - T446</f>
        <v>10.299999999999997</v>
      </c>
      <c r="T446" s="164">
        <v>0</v>
      </c>
      <c r="U446" s="165">
        <v>0</v>
      </c>
      <c r="V446" s="164">
        <v>10</v>
      </c>
      <c r="W446" s="165">
        <f>IF($R446 &gt; 0, 100 - $V446, 0)</f>
        <v>90</v>
      </c>
      <c r="X446" s="167">
        <v>13</v>
      </c>
      <c r="Y446" s="167">
        <f>IF($S446 &gt; 0, 100 - $X446 - $Z446, 0)</f>
        <v>87</v>
      </c>
      <c r="Z446" s="187">
        <v>0</v>
      </c>
      <c r="AA446" s="167">
        <v>0</v>
      </c>
      <c r="AB446" s="167">
        <f t="shared" si="0"/>
        <v>0</v>
      </c>
      <c r="AC446" s="187">
        <v>0</v>
      </c>
      <c r="AD446" s="167">
        <v>0</v>
      </c>
      <c r="AE446" s="167">
        <f t="shared" si="1"/>
        <v>0</v>
      </c>
      <c r="AF446" s="187">
        <v>0</v>
      </c>
      <c r="AI446" s="166"/>
      <c r="AJ446" s="166"/>
      <c r="AN446" s="169"/>
      <c r="AO446" s="169"/>
      <c r="AP446" s="169"/>
      <c r="AQ446" s="169"/>
      <c r="AR446" s="169"/>
      <c r="AS446" s="169"/>
      <c r="AT446" s="169"/>
      <c r="AU446" s="169"/>
    </row>
    <row r="447" spans="1:47" s="162" customFormat="1" ht="12.75">
      <c r="A447" s="170" t="s">
        <v>1374</v>
      </c>
      <c r="B447" s="160" t="s">
        <v>1358</v>
      </c>
      <c r="C447" s="161"/>
      <c r="D447" s="161" t="s">
        <v>310</v>
      </c>
      <c r="E447" s="162" t="s">
        <v>311</v>
      </c>
      <c r="G447" s="162" t="s">
        <v>1354</v>
      </c>
      <c r="H447" s="162" t="s">
        <v>1355</v>
      </c>
      <c r="J447" s="162">
        <v>38</v>
      </c>
      <c r="K447" s="162">
        <v>53</v>
      </c>
      <c r="Q447" s="163" t="s">
        <v>1356</v>
      </c>
      <c r="R447" s="164">
        <v>79.5</v>
      </c>
      <c r="S447" s="164">
        <f>100 - R447 - U447 - T447</f>
        <v>20.5</v>
      </c>
      <c r="T447" s="164">
        <v>0</v>
      </c>
      <c r="U447" s="165">
        <v>0</v>
      </c>
      <c r="V447" s="164">
        <v>10</v>
      </c>
      <c r="W447" s="165">
        <f>IF($R447 &gt; 0, 100 - $V447, 0)</f>
        <v>90</v>
      </c>
      <c r="X447" s="167">
        <v>13</v>
      </c>
      <c r="Y447" s="167">
        <f>IF($S447 &gt; 0, 100 - $X447 - $Z447, 0)</f>
        <v>87</v>
      </c>
      <c r="Z447" s="187">
        <v>0</v>
      </c>
      <c r="AA447" s="167">
        <v>0</v>
      </c>
      <c r="AB447" s="167">
        <f t="shared" si="0"/>
        <v>0</v>
      </c>
      <c r="AC447" s="187">
        <v>0</v>
      </c>
      <c r="AD447" s="167">
        <v>0</v>
      </c>
      <c r="AE447" s="167">
        <f t="shared" si="1"/>
        <v>0</v>
      </c>
      <c r="AF447" s="187">
        <v>0</v>
      </c>
      <c r="AI447" s="166"/>
      <c r="AJ447" s="166"/>
      <c r="AN447" s="169"/>
      <c r="AO447" s="169"/>
      <c r="AP447" s="169"/>
      <c r="AQ447" s="169"/>
      <c r="AR447" s="169"/>
      <c r="AS447" s="169"/>
      <c r="AT447" s="169"/>
      <c r="AU447" s="169"/>
    </row>
    <row r="448" spans="1:47" s="162" customFormat="1" ht="12.75">
      <c r="A448" s="170" t="s">
        <v>1375</v>
      </c>
      <c r="B448" s="160" t="s">
        <v>1360</v>
      </c>
      <c r="C448" s="161"/>
      <c r="D448" s="161" t="s">
        <v>310</v>
      </c>
      <c r="E448" s="162" t="s">
        <v>311</v>
      </c>
      <c r="G448" s="162" t="s">
        <v>1354</v>
      </c>
      <c r="H448" s="162" t="s">
        <v>1355</v>
      </c>
      <c r="J448" s="162">
        <v>38</v>
      </c>
      <c r="K448" s="162">
        <v>53</v>
      </c>
      <c r="Q448" s="163" t="s">
        <v>1356</v>
      </c>
      <c r="R448" s="164">
        <v>69.400000000000006</v>
      </c>
      <c r="S448" s="164">
        <f>100 - R448 - U448 - T448</f>
        <v>30.599999999999994</v>
      </c>
      <c r="T448" s="164">
        <v>0</v>
      </c>
      <c r="U448" s="165">
        <v>0</v>
      </c>
      <c r="V448" s="164">
        <v>10</v>
      </c>
      <c r="W448" s="165">
        <f>IF($R448 &gt; 0, 100 - $V448, 0)</f>
        <v>90</v>
      </c>
      <c r="X448" s="167">
        <v>13</v>
      </c>
      <c r="Y448" s="167">
        <f>IF($S448 &gt; 0, 100 - $X448 - $Z448, 0)</f>
        <v>87</v>
      </c>
      <c r="Z448" s="187">
        <v>0</v>
      </c>
      <c r="AA448" s="167">
        <v>0</v>
      </c>
      <c r="AB448" s="167">
        <f t="shared" si="0"/>
        <v>0</v>
      </c>
      <c r="AC448" s="187">
        <v>0</v>
      </c>
      <c r="AD448" s="167">
        <v>0</v>
      </c>
      <c r="AE448" s="167">
        <f t="shared" si="1"/>
        <v>0</v>
      </c>
      <c r="AF448" s="187">
        <v>0</v>
      </c>
      <c r="AI448" s="166"/>
      <c r="AJ448" s="166"/>
      <c r="AN448" s="169"/>
      <c r="AO448" s="169"/>
      <c r="AP448" s="169"/>
      <c r="AQ448" s="169"/>
      <c r="AR448" s="169"/>
      <c r="AS448" s="169"/>
      <c r="AT448" s="169"/>
      <c r="AU448" s="169"/>
    </row>
    <row r="449" spans="1:47" s="162" customFormat="1" ht="12.75">
      <c r="A449" s="170" t="s">
        <v>1376</v>
      </c>
      <c r="B449" s="160" t="s">
        <v>1362</v>
      </c>
      <c r="C449" s="161"/>
      <c r="D449" s="161" t="s">
        <v>310</v>
      </c>
      <c r="E449" s="162" t="s">
        <v>311</v>
      </c>
      <c r="G449" s="162" t="s">
        <v>1354</v>
      </c>
      <c r="H449" s="162" t="s">
        <v>1355</v>
      </c>
      <c r="J449" s="162">
        <v>38</v>
      </c>
      <c r="K449" s="162">
        <v>53</v>
      </c>
      <c r="Q449" s="163" t="s">
        <v>1356</v>
      </c>
      <c r="R449" s="164">
        <v>59.3</v>
      </c>
      <c r="S449" s="164">
        <f>100 - R449 - U449 - T449</f>
        <v>40.700000000000003</v>
      </c>
      <c r="T449" s="164">
        <v>0</v>
      </c>
      <c r="U449" s="165">
        <v>0</v>
      </c>
      <c r="V449" s="164">
        <v>10</v>
      </c>
      <c r="W449" s="165">
        <f>IF($R449 &gt; 0, 100 - $V449, 0)</f>
        <v>90</v>
      </c>
      <c r="X449" s="167">
        <v>13</v>
      </c>
      <c r="Y449" s="167">
        <f>IF($S449 &gt; 0, 100 - $X449 - $Z449, 0)</f>
        <v>87</v>
      </c>
      <c r="Z449" s="187">
        <v>0</v>
      </c>
      <c r="AA449" s="167">
        <v>0</v>
      </c>
      <c r="AB449" s="167">
        <f t="shared" si="0"/>
        <v>0</v>
      </c>
      <c r="AC449" s="187">
        <v>0</v>
      </c>
      <c r="AD449" s="167">
        <v>0</v>
      </c>
      <c r="AE449" s="167">
        <f t="shared" si="1"/>
        <v>0</v>
      </c>
      <c r="AF449" s="187">
        <v>0</v>
      </c>
      <c r="AI449" s="166"/>
      <c r="AJ449" s="166"/>
      <c r="AN449" s="169"/>
      <c r="AO449" s="169"/>
      <c r="AP449" s="169"/>
      <c r="AQ449" s="169"/>
      <c r="AR449" s="169"/>
      <c r="AS449" s="169"/>
      <c r="AT449" s="169"/>
      <c r="AU449" s="169"/>
    </row>
    <row r="450" spans="1:47" s="162" customFormat="1" ht="12.75">
      <c r="A450" s="170" t="s">
        <v>1377</v>
      </c>
      <c r="B450" s="160" t="s">
        <v>1364</v>
      </c>
      <c r="C450" s="161"/>
      <c r="D450" s="161" t="s">
        <v>310</v>
      </c>
      <c r="E450" s="162" t="s">
        <v>311</v>
      </c>
      <c r="G450" s="162" t="s">
        <v>1354</v>
      </c>
      <c r="H450" s="162" t="s">
        <v>1355</v>
      </c>
      <c r="J450" s="162">
        <v>38</v>
      </c>
      <c r="K450" s="162">
        <v>53</v>
      </c>
      <c r="Q450" s="163" t="s">
        <v>1356</v>
      </c>
      <c r="R450" s="164">
        <v>49.3</v>
      </c>
      <c r="S450" s="164">
        <f>100 - R450 - U450 - T450</f>
        <v>50.7</v>
      </c>
      <c r="T450" s="164">
        <v>0</v>
      </c>
      <c r="U450" s="165">
        <v>0</v>
      </c>
      <c r="V450" s="164">
        <v>10</v>
      </c>
      <c r="W450" s="165">
        <f>IF($R450 &gt; 0, 100 - $V450, 0)</f>
        <v>90</v>
      </c>
      <c r="X450" s="167">
        <v>13</v>
      </c>
      <c r="Y450" s="167">
        <f>IF($S450 &gt; 0, 100 - $X450 - $Z450, 0)</f>
        <v>87</v>
      </c>
      <c r="Z450" s="187">
        <v>0</v>
      </c>
      <c r="AA450" s="167">
        <v>0</v>
      </c>
      <c r="AB450" s="167">
        <f t="shared" si="0"/>
        <v>0</v>
      </c>
      <c r="AC450" s="187">
        <v>0</v>
      </c>
      <c r="AD450" s="167">
        <v>0</v>
      </c>
      <c r="AE450" s="167">
        <f t="shared" si="1"/>
        <v>0</v>
      </c>
      <c r="AF450" s="187">
        <v>0</v>
      </c>
      <c r="AI450" s="166"/>
      <c r="AJ450" s="166"/>
      <c r="AN450" s="169"/>
      <c r="AO450" s="169"/>
      <c r="AP450" s="169"/>
      <c r="AQ450" s="169"/>
      <c r="AR450" s="169"/>
      <c r="AS450" s="169"/>
      <c r="AT450" s="169"/>
      <c r="AU450" s="169"/>
    </row>
    <row r="451" spans="1:47" s="162" customFormat="1" ht="12.75">
      <c r="A451" s="170" t="s">
        <v>1378</v>
      </c>
      <c r="B451" s="160" t="s">
        <v>1366</v>
      </c>
      <c r="C451" s="161"/>
      <c r="D451" s="161" t="s">
        <v>310</v>
      </c>
      <c r="E451" s="162" t="s">
        <v>311</v>
      </c>
      <c r="G451" s="162" t="s">
        <v>1354</v>
      </c>
      <c r="H451" s="162" t="s">
        <v>1355</v>
      </c>
      <c r="J451" s="162">
        <v>38</v>
      </c>
      <c r="K451" s="162">
        <v>53</v>
      </c>
      <c r="Q451" s="163" t="s">
        <v>1356</v>
      </c>
      <c r="R451" s="164">
        <v>39.299999999999997</v>
      </c>
      <c r="S451" s="164">
        <f>100 - R451 - U451 - T451</f>
        <v>60.7</v>
      </c>
      <c r="T451" s="164">
        <v>0</v>
      </c>
      <c r="U451" s="165">
        <v>0</v>
      </c>
      <c r="V451" s="164">
        <v>10</v>
      </c>
      <c r="W451" s="165">
        <f>IF($R451 &gt; 0, 100 - $V451, 0)</f>
        <v>90</v>
      </c>
      <c r="X451" s="167">
        <v>13</v>
      </c>
      <c r="Y451" s="167">
        <f>IF($S451 &gt; 0, 100 - $X451 - $Z451, 0)</f>
        <v>87</v>
      </c>
      <c r="Z451" s="187">
        <v>0</v>
      </c>
      <c r="AA451" s="167">
        <v>0</v>
      </c>
      <c r="AB451" s="167">
        <f t="shared" si="0"/>
        <v>0</v>
      </c>
      <c r="AC451" s="187">
        <v>0</v>
      </c>
      <c r="AD451" s="167">
        <v>0</v>
      </c>
      <c r="AE451" s="167">
        <f t="shared" si="1"/>
        <v>0</v>
      </c>
      <c r="AF451" s="187">
        <v>0</v>
      </c>
      <c r="AI451" s="166"/>
      <c r="AJ451" s="166"/>
      <c r="AN451" s="169"/>
      <c r="AO451" s="169"/>
      <c r="AP451" s="169"/>
      <c r="AQ451" s="169"/>
      <c r="AR451" s="169"/>
      <c r="AS451" s="169"/>
      <c r="AT451" s="169"/>
      <c r="AU451" s="169"/>
    </row>
    <row r="452" spans="1:47" s="162" customFormat="1" ht="12.75">
      <c r="A452" s="170" t="s">
        <v>1379</v>
      </c>
      <c r="B452" s="160" t="s">
        <v>1368</v>
      </c>
      <c r="C452" s="161"/>
      <c r="D452" s="161" t="s">
        <v>310</v>
      </c>
      <c r="E452" s="162" t="s">
        <v>311</v>
      </c>
      <c r="G452" s="162" t="s">
        <v>1354</v>
      </c>
      <c r="H452" s="162" t="s">
        <v>1355</v>
      </c>
      <c r="J452" s="162">
        <v>38</v>
      </c>
      <c r="K452" s="162">
        <v>53</v>
      </c>
      <c r="Q452" s="163" t="s">
        <v>1356</v>
      </c>
      <c r="R452" s="164">
        <v>29.4</v>
      </c>
      <c r="S452" s="164">
        <f>100 - R452 - U452 - T452</f>
        <v>70.599999999999994</v>
      </c>
      <c r="T452" s="164">
        <v>0</v>
      </c>
      <c r="U452" s="165">
        <v>0</v>
      </c>
      <c r="V452" s="164">
        <v>10</v>
      </c>
      <c r="W452" s="165">
        <f>IF($R452 &gt; 0, 100 - $V452, 0)</f>
        <v>90</v>
      </c>
      <c r="X452" s="167">
        <v>13</v>
      </c>
      <c r="Y452" s="167">
        <f>IF($S452 &gt; 0, 100 - $X452 - $Z452, 0)</f>
        <v>87</v>
      </c>
      <c r="Z452" s="187">
        <v>0</v>
      </c>
      <c r="AA452" s="167">
        <v>0</v>
      </c>
      <c r="AB452" s="167">
        <f t="shared" si="0"/>
        <v>0</v>
      </c>
      <c r="AC452" s="187">
        <v>0</v>
      </c>
      <c r="AD452" s="167">
        <v>0</v>
      </c>
      <c r="AE452" s="167">
        <f t="shared" si="1"/>
        <v>0</v>
      </c>
      <c r="AF452" s="187">
        <v>0</v>
      </c>
      <c r="AI452" s="166"/>
      <c r="AJ452" s="166"/>
      <c r="AN452" s="169"/>
      <c r="AO452" s="169"/>
      <c r="AP452" s="169"/>
      <c r="AQ452" s="169"/>
      <c r="AR452" s="169"/>
      <c r="AS452" s="169"/>
      <c r="AT452" s="169"/>
      <c r="AU452" s="169"/>
    </row>
    <row r="453" spans="1:47" s="162" customFormat="1" ht="12.75">
      <c r="A453" s="170" t="s">
        <v>1380</v>
      </c>
      <c r="B453" s="160" t="s">
        <v>1370</v>
      </c>
      <c r="C453" s="161"/>
      <c r="D453" s="161" t="s">
        <v>310</v>
      </c>
      <c r="E453" s="162" t="s">
        <v>311</v>
      </c>
      <c r="G453" s="162" t="s">
        <v>1354</v>
      </c>
      <c r="H453" s="162" t="s">
        <v>1355</v>
      </c>
      <c r="J453" s="162">
        <v>38</v>
      </c>
      <c r="K453" s="162">
        <v>53</v>
      </c>
      <c r="Q453" s="163" t="s">
        <v>1356</v>
      </c>
      <c r="R453" s="164">
        <v>19.600000000000001</v>
      </c>
      <c r="S453" s="164">
        <f>100 - R453 - U453 - T453</f>
        <v>80.400000000000006</v>
      </c>
      <c r="T453" s="164">
        <v>0</v>
      </c>
      <c r="U453" s="165">
        <v>0</v>
      </c>
      <c r="V453" s="164">
        <v>10</v>
      </c>
      <c r="W453" s="165">
        <f>IF($R453 &gt; 0, 100 - $V453, 0)</f>
        <v>90</v>
      </c>
      <c r="X453" s="167">
        <v>13</v>
      </c>
      <c r="Y453" s="167">
        <f>IF($S453 &gt; 0, 100 - $X453 - $Z453, 0)</f>
        <v>87</v>
      </c>
      <c r="Z453" s="187">
        <v>0</v>
      </c>
      <c r="AA453" s="167">
        <v>0</v>
      </c>
      <c r="AB453" s="167">
        <f t="shared" si="0"/>
        <v>0</v>
      </c>
      <c r="AC453" s="187">
        <v>0</v>
      </c>
      <c r="AD453" s="167">
        <v>0</v>
      </c>
      <c r="AE453" s="167">
        <f t="shared" si="1"/>
        <v>0</v>
      </c>
      <c r="AF453" s="187">
        <v>0</v>
      </c>
      <c r="AI453" s="166"/>
      <c r="AJ453" s="166"/>
      <c r="AN453" s="169"/>
      <c r="AO453" s="169"/>
      <c r="AP453" s="169"/>
      <c r="AQ453" s="169"/>
      <c r="AR453" s="169"/>
      <c r="AS453" s="169"/>
      <c r="AT453" s="169"/>
      <c r="AU453" s="169"/>
    </row>
    <row r="454" spans="1:47" s="162" customFormat="1" ht="12.75">
      <c r="A454" s="170" t="s">
        <v>1381</v>
      </c>
      <c r="B454" s="160" t="s">
        <v>1372</v>
      </c>
      <c r="C454" s="161"/>
      <c r="D454" s="161" t="s">
        <v>310</v>
      </c>
      <c r="E454" s="162" t="s">
        <v>311</v>
      </c>
      <c r="G454" s="162" t="s">
        <v>1354</v>
      </c>
      <c r="H454" s="162" t="s">
        <v>1355</v>
      </c>
      <c r="J454" s="162">
        <v>38</v>
      </c>
      <c r="K454" s="162">
        <v>53</v>
      </c>
      <c r="Q454" s="163" t="s">
        <v>1356</v>
      </c>
      <c r="R454" s="164">
        <v>9.6999999999999993</v>
      </c>
      <c r="S454" s="164">
        <f>100 - R454 - U454 - T454</f>
        <v>90.3</v>
      </c>
      <c r="T454" s="164">
        <v>0</v>
      </c>
      <c r="U454" s="165">
        <v>0</v>
      </c>
      <c r="V454" s="164">
        <v>10</v>
      </c>
      <c r="W454" s="165">
        <f>IF($R454 &gt; 0, 100 - $V454, 0)</f>
        <v>90</v>
      </c>
      <c r="X454" s="167">
        <v>13</v>
      </c>
      <c r="Y454" s="167">
        <f>IF($S454 &gt; 0, 100 - $X454 - $Z454, 0)</f>
        <v>87</v>
      </c>
      <c r="Z454" s="187">
        <v>0</v>
      </c>
      <c r="AA454" s="167">
        <v>0</v>
      </c>
      <c r="AB454" s="167">
        <f t="shared" si="0"/>
        <v>0</v>
      </c>
      <c r="AC454" s="187">
        <v>0</v>
      </c>
      <c r="AD454" s="167">
        <v>0</v>
      </c>
      <c r="AE454" s="167">
        <f t="shared" si="1"/>
        <v>0</v>
      </c>
      <c r="AF454" s="187">
        <v>0</v>
      </c>
      <c r="AI454" s="166"/>
      <c r="AJ454" s="166"/>
      <c r="AN454" s="169"/>
      <c r="AO454" s="169"/>
      <c r="AP454" s="169"/>
      <c r="AQ454" s="169"/>
      <c r="AR454" s="169"/>
      <c r="AS454" s="169"/>
      <c r="AT454" s="169"/>
      <c r="AU454" s="169"/>
    </row>
    <row r="455" spans="1:47" s="162" customFormat="1" ht="12.75">
      <c r="A455" s="170" t="s">
        <v>1382</v>
      </c>
      <c r="B455" s="160" t="s">
        <v>1353</v>
      </c>
      <c r="C455" s="161"/>
      <c r="D455" s="161" t="s">
        <v>310</v>
      </c>
      <c r="E455" s="162" t="s">
        <v>311</v>
      </c>
      <c r="G455" s="162" t="s">
        <v>1354</v>
      </c>
      <c r="H455" s="162" t="s">
        <v>1355</v>
      </c>
      <c r="J455" s="162">
        <v>90</v>
      </c>
      <c r="K455" s="162">
        <v>125</v>
      </c>
      <c r="Q455" s="163" t="s">
        <v>1356</v>
      </c>
      <c r="R455" s="164">
        <v>89.7</v>
      </c>
      <c r="S455" s="164">
        <f>100 - R455 - U455 - T455</f>
        <v>10.299999999999997</v>
      </c>
      <c r="T455" s="164">
        <v>0</v>
      </c>
      <c r="U455" s="165">
        <v>0</v>
      </c>
      <c r="V455" s="164">
        <v>10</v>
      </c>
      <c r="W455" s="165">
        <f>IF($R455 &gt; 0, 100 - $V455, 0)</f>
        <v>90</v>
      </c>
      <c r="X455" s="167">
        <v>13</v>
      </c>
      <c r="Y455" s="167">
        <f>IF($S455 &gt; 0, 100 - $X455 - $Z455, 0)</f>
        <v>87</v>
      </c>
      <c r="Z455" s="187">
        <v>0</v>
      </c>
      <c r="AA455" s="167">
        <v>0</v>
      </c>
      <c r="AB455" s="167">
        <f t="shared" si="0"/>
        <v>0</v>
      </c>
      <c r="AC455" s="187">
        <v>0</v>
      </c>
      <c r="AD455" s="167">
        <v>0</v>
      </c>
      <c r="AE455" s="167">
        <f t="shared" si="1"/>
        <v>0</v>
      </c>
      <c r="AF455" s="187">
        <v>0</v>
      </c>
      <c r="AI455" s="166"/>
      <c r="AJ455" s="166"/>
      <c r="AN455" s="169"/>
      <c r="AO455" s="169"/>
      <c r="AP455" s="169"/>
      <c r="AQ455" s="169"/>
      <c r="AR455" s="169"/>
      <c r="AS455" s="169"/>
      <c r="AT455" s="169"/>
      <c r="AU455" s="169"/>
    </row>
    <row r="456" spans="1:47" s="162" customFormat="1" ht="12.75">
      <c r="A456" s="170" t="s">
        <v>1383</v>
      </c>
      <c r="B456" s="160" t="s">
        <v>1358</v>
      </c>
      <c r="C456" s="161"/>
      <c r="D456" s="161" t="s">
        <v>310</v>
      </c>
      <c r="E456" s="162" t="s">
        <v>311</v>
      </c>
      <c r="G456" s="162" t="s">
        <v>1354</v>
      </c>
      <c r="H456" s="162" t="s">
        <v>1355</v>
      </c>
      <c r="J456" s="162">
        <v>90</v>
      </c>
      <c r="K456" s="162">
        <v>125</v>
      </c>
      <c r="Q456" s="163" t="s">
        <v>1356</v>
      </c>
      <c r="R456" s="164">
        <v>79.5</v>
      </c>
      <c r="S456" s="164">
        <f>100 - R456 - U456 - T456</f>
        <v>20.5</v>
      </c>
      <c r="T456" s="164">
        <v>0</v>
      </c>
      <c r="U456" s="165">
        <v>0</v>
      </c>
      <c r="V456" s="164">
        <v>10</v>
      </c>
      <c r="W456" s="165">
        <f>IF($R456 &gt; 0, 100 - $V456, 0)</f>
        <v>90</v>
      </c>
      <c r="X456" s="167">
        <v>13</v>
      </c>
      <c r="Y456" s="167">
        <f>IF($S456 &gt; 0, 100 - $X456 - $Z456, 0)</f>
        <v>87</v>
      </c>
      <c r="Z456" s="187">
        <v>0</v>
      </c>
      <c r="AA456" s="167">
        <v>0</v>
      </c>
      <c r="AB456" s="167">
        <f t="shared" si="0"/>
        <v>0</v>
      </c>
      <c r="AC456" s="187">
        <v>0</v>
      </c>
      <c r="AD456" s="167">
        <v>0</v>
      </c>
      <c r="AE456" s="167">
        <f t="shared" si="1"/>
        <v>0</v>
      </c>
      <c r="AF456" s="187">
        <v>0</v>
      </c>
      <c r="AI456" s="166"/>
      <c r="AJ456" s="166"/>
      <c r="AN456" s="169"/>
      <c r="AO456" s="169"/>
      <c r="AP456" s="169"/>
      <c r="AQ456" s="169"/>
      <c r="AR456" s="169"/>
      <c r="AS456" s="169"/>
      <c r="AT456" s="169"/>
      <c r="AU456" s="169"/>
    </row>
    <row r="457" spans="1:47" s="162" customFormat="1" ht="12.75">
      <c r="A457" s="170" t="s">
        <v>1384</v>
      </c>
      <c r="B457" s="160" t="s">
        <v>1360</v>
      </c>
      <c r="C457" s="161"/>
      <c r="D457" s="161" t="s">
        <v>310</v>
      </c>
      <c r="E457" s="162" t="s">
        <v>311</v>
      </c>
      <c r="G457" s="162" t="s">
        <v>1354</v>
      </c>
      <c r="H457" s="162" t="s">
        <v>1355</v>
      </c>
      <c r="J457" s="162">
        <v>90</v>
      </c>
      <c r="K457" s="162">
        <v>125</v>
      </c>
      <c r="Q457" s="163" t="s">
        <v>1356</v>
      </c>
      <c r="R457" s="164">
        <v>69.400000000000006</v>
      </c>
      <c r="S457" s="164">
        <f>100 - R457 - U457 - T457</f>
        <v>30.599999999999994</v>
      </c>
      <c r="T457" s="164">
        <v>0</v>
      </c>
      <c r="U457" s="165">
        <v>0</v>
      </c>
      <c r="V457" s="164">
        <v>10</v>
      </c>
      <c r="W457" s="165">
        <f>IF($R457 &gt; 0, 100 - $V457, 0)</f>
        <v>90</v>
      </c>
      <c r="X457" s="167">
        <v>13</v>
      </c>
      <c r="Y457" s="167">
        <f>IF($S457 &gt; 0, 100 - $X457 - $Z457, 0)</f>
        <v>87</v>
      </c>
      <c r="Z457" s="187">
        <v>0</v>
      </c>
      <c r="AA457" s="167">
        <v>0</v>
      </c>
      <c r="AB457" s="167">
        <f t="shared" si="0"/>
        <v>0</v>
      </c>
      <c r="AC457" s="187">
        <v>0</v>
      </c>
      <c r="AD457" s="167">
        <v>0</v>
      </c>
      <c r="AE457" s="167">
        <f t="shared" si="1"/>
        <v>0</v>
      </c>
      <c r="AF457" s="187">
        <v>0</v>
      </c>
      <c r="AI457" s="166"/>
      <c r="AJ457" s="166"/>
      <c r="AN457" s="169"/>
      <c r="AO457" s="169"/>
      <c r="AP457" s="169"/>
      <c r="AQ457" s="169"/>
      <c r="AR457" s="169"/>
      <c r="AS457" s="169"/>
      <c r="AT457" s="169"/>
      <c r="AU457" s="169"/>
    </row>
    <row r="458" spans="1:47" s="162" customFormat="1" ht="12.75">
      <c r="A458" s="170" t="s">
        <v>1385</v>
      </c>
      <c r="B458" s="160" t="s">
        <v>1362</v>
      </c>
      <c r="C458" s="161"/>
      <c r="D458" s="161" t="s">
        <v>310</v>
      </c>
      <c r="E458" s="162" t="s">
        <v>311</v>
      </c>
      <c r="G458" s="162" t="s">
        <v>1354</v>
      </c>
      <c r="H458" s="162" t="s">
        <v>1355</v>
      </c>
      <c r="J458" s="162">
        <v>90</v>
      </c>
      <c r="K458" s="162">
        <v>125</v>
      </c>
      <c r="Q458" s="163" t="s">
        <v>1356</v>
      </c>
      <c r="R458" s="164">
        <v>59.3</v>
      </c>
      <c r="S458" s="164">
        <f>100 - R458 - U458 - T458</f>
        <v>40.700000000000003</v>
      </c>
      <c r="T458" s="164">
        <v>0</v>
      </c>
      <c r="U458" s="165">
        <v>0</v>
      </c>
      <c r="V458" s="164">
        <v>10</v>
      </c>
      <c r="W458" s="165">
        <f>IF($R458 &gt; 0, 100 - $V458, 0)</f>
        <v>90</v>
      </c>
      <c r="X458" s="167">
        <v>13</v>
      </c>
      <c r="Y458" s="167">
        <f>IF($S458 &gt; 0, 100 - $X458 - $Z458, 0)</f>
        <v>87</v>
      </c>
      <c r="Z458" s="187">
        <v>0</v>
      </c>
      <c r="AA458" s="167">
        <v>0</v>
      </c>
      <c r="AB458" s="167">
        <f t="shared" si="0"/>
        <v>0</v>
      </c>
      <c r="AC458" s="187">
        <v>0</v>
      </c>
      <c r="AD458" s="167">
        <v>0</v>
      </c>
      <c r="AE458" s="167">
        <f t="shared" si="1"/>
        <v>0</v>
      </c>
      <c r="AF458" s="187">
        <v>0</v>
      </c>
      <c r="AI458" s="166"/>
      <c r="AJ458" s="166"/>
      <c r="AN458" s="169"/>
      <c r="AO458" s="169"/>
      <c r="AP458" s="169"/>
      <c r="AQ458" s="169"/>
      <c r="AR458" s="169"/>
      <c r="AS458" s="169"/>
      <c r="AT458" s="169"/>
      <c r="AU458" s="169"/>
    </row>
    <row r="459" spans="1:47" s="162" customFormat="1" ht="12.75">
      <c r="A459" s="170" t="s">
        <v>1386</v>
      </c>
      <c r="B459" s="160" t="s">
        <v>1364</v>
      </c>
      <c r="C459" s="161"/>
      <c r="D459" s="161" t="s">
        <v>310</v>
      </c>
      <c r="E459" s="162" t="s">
        <v>311</v>
      </c>
      <c r="G459" s="162" t="s">
        <v>1354</v>
      </c>
      <c r="H459" s="162" t="s">
        <v>1355</v>
      </c>
      <c r="J459" s="162">
        <v>90</v>
      </c>
      <c r="K459" s="162">
        <v>125</v>
      </c>
      <c r="Q459" s="163" t="s">
        <v>1356</v>
      </c>
      <c r="R459" s="164">
        <v>49.3</v>
      </c>
      <c r="S459" s="164">
        <f>100 - R459 - U459 - T459</f>
        <v>50.7</v>
      </c>
      <c r="T459" s="164">
        <v>0</v>
      </c>
      <c r="U459" s="165">
        <v>0</v>
      </c>
      <c r="V459" s="164">
        <v>10</v>
      </c>
      <c r="W459" s="165">
        <f>IF($R459 &gt; 0, 100 - $V459, 0)</f>
        <v>90</v>
      </c>
      <c r="X459" s="167">
        <v>13</v>
      </c>
      <c r="Y459" s="167">
        <f>IF($S459 &gt; 0, 100 - $X459 - $Z459, 0)</f>
        <v>87</v>
      </c>
      <c r="Z459" s="187">
        <v>0</v>
      </c>
      <c r="AA459" s="167">
        <v>0</v>
      </c>
      <c r="AB459" s="167">
        <f t="shared" si="0"/>
        <v>0</v>
      </c>
      <c r="AC459" s="187">
        <v>0</v>
      </c>
      <c r="AD459" s="167">
        <v>0</v>
      </c>
      <c r="AE459" s="167">
        <f t="shared" si="1"/>
        <v>0</v>
      </c>
      <c r="AF459" s="187">
        <v>0</v>
      </c>
      <c r="AI459" s="166"/>
      <c r="AJ459" s="166"/>
      <c r="AN459" s="169"/>
      <c r="AO459" s="169"/>
      <c r="AP459" s="169"/>
      <c r="AQ459" s="169"/>
      <c r="AR459" s="169"/>
      <c r="AS459" s="169"/>
      <c r="AT459" s="169"/>
      <c r="AU459" s="169"/>
    </row>
    <row r="460" spans="1:47" s="162" customFormat="1" ht="12.75">
      <c r="A460" s="170" t="s">
        <v>1387</v>
      </c>
      <c r="B460" s="160" t="s">
        <v>1366</v>
      </c>
      <c r="C460" s="161"/>
      <c r="D460" s="161" t="s">
        <v>310</v>
      </c>
      <c r="E460" s="162" t="s">
        <v>311</v>
      </c>
      <c r="G460" s="162" t="s">
        <v>1354</v>
      </c>
      <c r="H460" s="162" t="s">
        <v>1355</v>
      </c>
      <c r="J460" s="162">
        <v>90</v>
      </c>
      <c r="K460" s="162">
        <v>125</v>
      </c>
      <c r="Q460" s="163" t="s">
        <v>1356</v>
      </c>
      <c r="R460" s="164">
        <v>39.299999999999997</v>
      </c>
      <c r="S460" s="164">
        <f>100 - R460 - U460 - T460</f>
        <v>60.7</v>
      </c>
      <c r="T460" s="164">
        <v>0</v>
      </c>
      <c r="U460" s="165">
        <v>0</v>
      </c>
      <c r="V460" s="164">
        <v>10</v>
      </c>
      <c r="W460" s="165">
        <f>IF($R460 &gt; 0, 100 - $V460, 0)</f>
        <v>90</v>
      </c>
      <c r="X460" s="167">
        <v>13</v>
      </c>
      <c r="Y460" s="167">
        <f>IF($S460 &gt; 0, 100 - $X460 - $Z460, 0)</f>
        <v>87</v>
      </c>
      <c r="Z460" s="187">
        <v>0</v>
      </c>
      <c r="AA460" s="167">
        <v>0</v>
      </c>
      <c r="AB460" s="167">
        <f t="shared" si="0"/>
        <v>0</v>
      </c>
      <c r="AC460" s="187">
        <v>0</v>
      </c>
      <c r="AD460" s="167">
        <v>0</v>
      </c>
      <c r="AE460" s="167">
        <f t="shared" si="1"/>
        <v>0</v>
      </c>
      <c r="AF460" s="187">
        <v>0</v>
      </c>
      <c r="AI460" s="166"/>
      <c r="AJ460" s="166"/>
      <c r="AN460" s="169"/>
      <c r="AO460" s="169"/>
      <c r="AP460" s="169"/>
      <c r="AQ460" s="169"/>
      <c r="AR460" s="169"/>
      <c r="AS460" s="169"/>
      <c r="AT460" s="169"/>
      <c r="AU460" s="169"/>
    </row>
    <row r="461" spans="1:47" s="162" customFormat="1" ht="12.75">
      <c r="A461" s="170" t="s">
        <v>1388</v>
      </c>
      <c r="B461" s="160" t="s">
        <v>1368</v>
      </c>
      <c r="C461" s="161"/>
      <c r="D461" s="161" t="s">
        <v>310</v>
      </c>
      <c r="E461" s="162" t="s">
        <v>311</v>
      </c>
      <c r="G461" s="162" t="s">
        <v>1354</v>
      </c>
      <c r="H461" s="162" t="s">
        <v>1355</v>
      </c>
      <c r="J461" s="162">
        <v>90</v>
      </c>
      <c r="K461" s="162">
        <v>125</v>
      </c>
      <c r="Q461" s="163" t="s">
        <v>1356</v>
      </c>
      <c r="R461" s="164">
        <v>29.4</v>
      </c>
      <c r="S461" s="164">
        <f>100 - R461 - U461 - T461</f>
        <v>70.599999999999994</v>
      </c>
      <c r="T461" s="164">
        <v>0</v>
      </c>
      <c r="U461" s="165">
        <v>0</v>
      </c>
      <c r="V461" s="164">
        <v>10</v>
      </c>
      <c r="W461" s="165">
        <f>IF($R461 &gt; 0, 100 - $V461, 0)</f>
        <v>90</v>
      </c>
      <c r="X461" s="167">
        <v>13</v>
      </c>
      <c r="Y461" s="167">
        <f>IF($S461 &gt; 0, 100 - $X461 - $Z461, 0)</f>
        <v>87</v>
      </c>
      <c r="Z461" s="187">
        <v>0</v>
      </c>
      <c r="AA461" s="167">
        <v>0</v>
      </c>
      <c r="AB461" s="167">
        <f t="shared" si="0"/>
        <v>0</v>
      </c>
      <c r="AC461" s="187">
        <v>0</v>
      </c>
      <c r="AD461" s="167">
        <v>0</v>
      </c>
      <c r="AE461" s="167">
        <f t="shared" si="1"/>
        <v>0</v>
      </c>
      <c r="AF461" s="187">
        <v>0</v>
      </c>
      <c r="AI461" s="166"/>
      <c r="AJ461" s="166"/>
      <c r="AN461" s="169"/>
      <c r="AO461" s="169"/>
      <c r="AP461" s="169"/>
      <c r="AQ461" s="169"/>
      <c r="AR461" s="169"/>
      <c r="AS461" s="169"/>
      <c r="AT461" s="169"/>
      <c r="AU461" s="169"/>
    </row>
    <row r="462" spans="1:47" s="162" customFormat="1" ht="12.75">
      <c r="A462" s="170" t="s">
        <v>1389</v>
      </c>
      <c r="B462" s="160" t="s">
        <v>1370</v>
      </c>
      <c r="C462" s="161"/>
      <c r="D462" s="161" t="s">
        <v>310</v>
      </c>
      <c r="E462" s="162" t="s">
        <v>311</v>
      </c>
      <c r="G462" s="162" t="s">
        <v>1354</v>
      </c>
      <c r="H462" s="162" t="s">
        <v>1355</v>
      </c>
      <c r="J462" s="162">
        <v>90</v>
      </c>
      <c r="K462" s="162">
        <v>125</v>
      </c>
      <c r="Q462" s="163" t="s">
        <v>1356</v>
      </c>
      <c r="R462" s="164">
        <v>19.600000000000001</v>
      </c>
      <c r="S462" s="164">
        <f>100 - R462 - U462 - T462</f>
        <v>80.400000000000006</v>
      </c>
      <c r="T462" s="164">
        <v>0</v>
      </c>
      <c r="U462" s="165">
        <v>0</v>
      </c>
      <c r="V462" s="164">
        <v>10</v>
      </c>
      <c r="W462" s="165">
        <f>IF($R462 &gt; 0, 100 - $V462, 0)</f>
        <v>90</v>
      </c>
      <c r="X462" s="167">
        <v>13</v>
      </c>
      <c r="Y462" s="167">
        <f>IF($S462 &gt; 0, 100 - $X462 - $Z462, 0)</f>
        <v>87</v>
      </c>
      <c r="Z462" s="187">
        <v>0</v>
      </c>
      <c r="AA462" s="167">
        <v>0</v>
      </c>
      <c r="AB462" s="167">
        <f t="shared" si="0"/>
        <v>0</v>
      </c>
      <c r="AC462" s="187">
        <v>0</v>
      </c>
      <c r="AD462" s="167">
        <v>0</v>
      </c>
      <c r="AE462" s="167">
        <f t="shared" si="1"/>
        <v>0</v>
      </c>
      <c r="AF462" s="187">
        <v>0</v>
      </c>
      <c r="AI462" s="166"/>
      <c r="AJ462" s="166"/>
      <c r="AN462" s="169"/>
      <c r="AO462" s="169"/>
      <c r="AP462" s="169"/>
      <c r="AQ462" s="169"/>
      <c r="AR462" s="169"/>
      <c r="AS462" s="169"/>
      <c r="AT462" s="169"/>
      <c r="AU462" s="169"/>
    </row>
    <row r="463" spans="1:47" s="162" customFormat="1" ht="12.75">
      <c r="A463" s="170" t="s">
        <v>1390</v>
      </c>
      <c r="B463" s="160" t="s">
        <v>1372</v>
      </c>
      <c r="C463" s="161"/>
      <c r="D463" s="161" t="s">
        <v>310</v>
      </c>
      <c r="E463" s="162" t="s">
        <v>311</v>
      </c>
      <c r="G463" s="162" t="s">
        <v>1354</v>
      </c>
      <c r="H463" s="162" t="s">
        <v>1355</v>
      </c>
      <c r="J463" s="162">
        <v>90</v>
      </c>
      <c r="K463" s="162">
        <v>125</v>
      </c>
      <c r="Q463" s="163" t="s">
        <v>1356</v>
      </c>
      <c r="R463" s="164">
        <v>9.6999999999999993</v>
      </c>
      <c r="S463" s="164">
        <f>100 - R463 - U463 - T463</f>
        <v>90.3</v>
      </c>
      <c r="T463" s="164">
        <v>0</v>
      </c>
      <c r="U463" s="165">
        <v>0</v>
      </c>
      <c r="V463" s="164">
        <v>10</v>
      </c>
      <c r="W463" s="165">
        <f>IF($R463 &gt; 0, 100 - $V463, 0)</f>
        <v>90</v>
      </c>
      <c r="X463" s="167">
        <v>13</v>
      </c>
      <c r="Y463" s="167">
        <f>IF($S463 &gt; 0, 100 - $X463 - $Z463, 0)</f>
        <v>87</v>
      </c>
      <c r="Z463" s="187">
        <v>0</v>
      </c>
      <c r="AA463" s="167">
        <v>0</v>
      </c>
      <c r="AB463" s="167">
        <f t="shared" si="0"/>
        <v>0</v>
      </c>
      <c r="AC463" s="187">
        <v>0</v>
      </c>
      <c r="AD463" s="167">
        <v>0</v>
      </c>
      <c r="AE463" s="167">
        <f t="shared" si="1"/>
        <v>0</v>
      </c>
      <c r="AF463" s="187">
        <v>0</v>
      </c>
      <c r="AI463" s="166"/>
      <c r="AJ463" s="166"/>
      <c r="AN463" s="169"/>
      <c r="AO463" s="169"/>
      <c r="AP463" s="169"/>
      <c r="AQ463" s="169"/>
      <c r="AR463" s="169"/>
      <c r="AS463" s="169"/>
      <c r="AT463" s="169"/>
      <c r="AU463" s="169"/>
    </row>
    <row r="464" spans="1:47" s="162" customFormat="1" ht="12.75">
      <c r="A464" s="170" t="s">
        <v>1391</v>
      </c>
      <c r="B464" s="160" t="s">
        <v>1353</v>
      </c>
      <c r="C464" s="161"/>
      <c r="D464" s="161" t="s">
        <v>310</v>
      </c>
      <c r="E464" s="162" t="s">
        <v>311</v>
      </c>
      <c r="G464" s="162" t="s">
        <v>1354</v>
      </c>
      <c r="H464" s="162" t="s">
        <v>1355</v>
      </c>
      <c r="J464" s="162">
        <v>63</v>
      </c>
      <c r="K464" s="162">
        <v>90</v>
      </c>
      <c r="Q464" s="163" t="s">
        <v>1356</v>
      </c>
      <c r="R464" s="164">
        <v>9.6999999999999993</v>
      </c>
      <c r="S464" s="164">
        <f>100 - R464 - U464 - T464</f>
        <v>90.3</v>
      </c>
      <c r="T464" s="164">
        <v>0</v>
      </c>
      <c r="U464" s="165">
        <v>0</v>
      </c>
      <c r="V464" s="164">
        <v>10</v>
      </c>
      <c r="W464" s="165">
        <f>IF($R464 &gt; 0, 100 - $V464, 0)</f>
        <v>90</v>
      </c>
      <c r="X464" s="167">
        <v>13</v>
      </c>
      <c r="Y464" s="167">
        <f>IF($S464 &gt; 0, 100 - $X464 - $Z464, 0)</f>
        <v>87</v>
      </c>
      <c r="Z464" s="187">
        <v>0</v>
      </c>
      <c r="AA464" s="167">
        <v>0</v>
      </c>
      <c r="AB464" s="167">
        <f t="shared" si="0"/>
        <v>0</v>
      </c>
      <c r="AC464" s="187">
        <v>0</v>
      </c>
      <c r="AD464" s="167">
        <v>0</v>
      </c>
      <c r="AE464" s="167">
        <f t="shared" si="1"/>
        <v>0</v>
      </c>
      <c r="AF464" s="187">
        <v>0</v>
      </c>
      <c r="AI464" s="166"/>
      <c r="AJ464" s="166"/>
      <c r="AN464" s="169"/>
      <c r="AO464" s="169"/>
      <c r="AP464" s="169"/>
      <c r="AQ464" s="169"/>
      <c r="AR464" s="169"/>
      <c r="AS464" s="169"/>
      <c r="AT464" s="169"/>
      <c r="AU464" s="169"/>
    </row>
    <row r="465" spans="1:47" s="162" customFormat="1" ht="12.75">
      <c r="A465" s="170" t="s">
        <v>1392</v>
      </c>
      <c r="B465" s="160" t="s">
        <v>1358</v>
      </c>
      <c r="C465" s="161"/>
      <c r="D465" s="161" t="s">
        <v>310</v>
      </c>
      <c r="E465" s="162" t="s">
        <v>311</v>
      </c>
      <c r="G465" s="162" t="s">
        <v>1354</v>
      </c>
      <c r="H465" s="162" t="s">
        <v>1355</v>
      </c>
      <c r="J465" s="162">
        <v>63</v>
      </c>
      <c r="K465" s="162">
        <v>90</v>
      </c>
      <c r="Q465" s="163" t="s">
        <v>1356</v>
      </c>
      <c r="R465" s="164">
        <v>79.5</v>
      </c>
      <c r="S465" s="164">
        <f>100 - R465 - U465 - T465</f>
        <v>20.5</v>
      </c>
      <c r="T465" s="164">
        <v>0</v>
      </c>
      <c r="U465" s="165">
        <v>0</v>
      </c>
      <c r="V465" s="164">
        <v>10</v>
      </c>
      <c r="W465" s="165">
        <f>IF($R465 &gt; 0, 100 - $V465, 0)</f>
        <v>90</v>
      </c>
      <c r="X465" s="167">
        <v>13</v>
      </c>
      <c r="Y465" s="167">
        <f>IF($S465 &gt; 0, 100 - $X465 - $Z465, 0)</f>
        <v>87</v>
      </c>
      <c r="Z465" s="187">
        <v>0</v>
      </c>
      <c r="AA465" s="167">
        <v>0</v>
      </c>
      <c r="AB465" s="167">
        <f t="shared" si="0"/>
        <v>0</v>
      </c>
      <c r="AC465" s="187">
        <v>0</v>
      </c>
      <c r="AD465" s="167">
        <v>0</v>
      </c>
      <c r="AE465" s="167">
        <f t="shared" si="1"/>
        <v>0</v>
      </c>
      <c r="AF465" s="187">
        <v>0</v>
      </c>
      <c r="AI465" s="166"/>
      <c r="AJ465" s="166"/>
      <c r="AN465" s="169"/>
      <c r="AO465" s="169"/>
      <c r="AP465" s="169"/>
      <c r="AQ465" s="169"/>
      <c r="AR465" s="169"/>
      <c r="AS465" s="169"/>
      <c r="AT465" s="169"/>
      <c r="AU465" s="169"/>
    </row>
    <row r="466" spans="1:47" s="162" customFormat="1" ht="12.75">
      <c r="A466" s="170" t="s">
        <v>1393</v>
      </c>
      <c r="B466" s="160" t="s">
        <v>1360</v>
      </c>
      <c r="C466" s="161"/>
      <c r="D466" s="161" t="s">
        <v>310</v>
      </c>
      <c r="E466" s="162" t="s">
        <v>311</v>
      </c>
      <c r="G466" s="162" t="s">
        <v>1354</v>
      </c>
      <c r="H466" s="162" t="s">
        <v>1355</v>
      </c>
      <c r="J466" s="162">
        <v>63</v>
      </c>
      <c r="K466" s="162">
        <v>90</v>
      </c>
      <c r="Q466" s="163" t="s">
        <v>1356</v>
      </c>
      <c r="R466" s="164">
        <v>69.400000000000006</v>
      </c>
      <c r="S466" s="164">
        <f>100 - R466 - U466 - T466</f>
        <v>30.599999999999994</v>
      </c>
      <c r="T466" s="164">
        <v>0</v>
      </c>
      <c r="U466" s="165">
        <v>0</v>
      </c>
      <c r="V466" s="164">
        <v>10</v>
      </c>
      <c r="W466" s="165">
        <f>IF($R466 &gt; 0, 100 - $V466, 0)</f>
        <v>90</v>
      </c>
      <c r="X466" s="167">
        <v>13</v>
      </c>
      <c r="Y466" s="167">
        <f>IF($S466 &gt; 0, 100 - $X466 - $Z466, 0)</f>
        <v>87</v>
      </c>
      <c r="Z466" s="187">
        <v>0</v>
      </c>
      <c r="AA466" s="167">
        <v>0</v>
      </c>
      <c r="AB466" s="167">
        <f t="shared" si="0"/>
        <v>0</v>
      </c>
      <c r="AC466" s="187">
        <v>0</v>
      </c>
      <c r="AD466" s="167">
        <v>0</v>
      </c>
      <c r="AE466" s="167">
        <f t="shared" si="1"/>
        <v>0</v>
      </c>
      <c r="AF466" s="187">
        <v>0</v>
      </c>
      <c r="AI466" s="166"/>
      <c r="AJ466" s="166"/>
      <c r="AN466" s="169"/>
      <c r="AO466" s="169"/>
      <c r="AP466" s="169"/>
      <c r="AQ466" s="169"/>
      <c r="AR466" s="169"/>
      <c r="AS466" s="169"/>
      <c r="AT466" s="169"/>
      <c r="AU466" s="169"/>
    </row>
    <row r="467" spans="1:47" s="162" customFormat="1" ht="12.75">
      <c r="A467" s="170" t="s">
        <v>1394</v>
      </c>
      <c r="B467" s="160" t="s">
        <v>1362</v>
      </c>
      <c r="C467" s="161"/>
      <c r="D467" s="161" t="s">
        <v>310</v>
      </c>
      <c r="E467" s="162" t="s">
        <v>311</v>
      </c>
      <c r="G467" s="162" t="s">
        <v>1354</v>
      </c>
      <c r="H467" s="162" t="s">
        <v>1355</v>
      </c>
      <c r="J467" s="162">
        <v>63</v>
      </c>
      <c r="K467" s="162">
        <v>90</v>
      </c>
      <c r="Q467" s="163" t="s">
        <v>1356</v>
      </c>
      <c r="R467" s="164">
        <v>59.3</v>
      </c>
      <c r="S467" s="164">
        <f>100 - R467 - U467 - T467</f>
        <v>40.700000000000003</v>
      </c>
      <c r="T467" s="164">
        <v>0</v>
      </c>
      <c r="U467" s="165">
        <v>0</v>
      </c>
      <c r="V467" s="164">
        <v>10</v>
      </c>
      <c r="W467" s="165">
        <f>IF($R467 &gt; 0, 100 - $V467, 0)</f>
        <v>90</v>
      </c>
      <c r="X467" s="167">
        <v>13</v>
      </c>
      <c r="Y467" s="167">
        <f>IF($S467 &gt; 0, 100 - $X467 - $Z467, 0)</f>
        <v>87</v>
      </c>
      <c r="Z467" s="187">
        <v>0</v>
      </c>
      <c r="AA467" s="167">
        <v>0</v>
      </c>
      <c r="AB467" s="167">
        <f t="shared" si="0"/>
        <v>0</v>
      </c>
      <c r="AC467" s="187">
        <v>0</v>
      </c>
      <c r="AD467" s="167">
        <v>0</v>
      </c>
      <c r="AE467" s="167">
        <f t="shared" si="1"/>
        <v>0</v>
      </c>
      <c r="AF467" s="187">
        <v>0</v>
      </c>
      <c r="AI467" s="166"/>
      <c r="AJ467" s="166"/>
      <c r="AN467" s="169"/>
      <c r="AO467" s="169"/>
      <c r="AP467" s="169"/>
      <c r="AQ467" s="169"/>
      <c r="AR467" s="169"/>
      <c r="AS467" s="169"/>
      <c r="AT467" s="169"/>
      <c r="AU467" s="169"/>
    </row>
    <row r="468" spans="1:47" s="162" customFormat="1" ht="12.75">
      <c r="A468" s="170" t="s">
        <v>1395</v>
      </c>
      <c r="B468" s="160" t="s">
        <v>1364</v>
      </c>
      <c r="C468" s="161"/>
      <c r="D468" s="161" t="s">
        <v>310</v>
      </c>
      <c r="E468" s="162" t="s">
        <v>311</v>
      </c>
      <c r="G468" s="162" t="s">
        <v>1354</v>
      </c>
      <c r="H468" s="162" t="s">
        <v>1355</v>
      </c>
      <c r="J468" s="162">
        <v>63</v>
      </c>
      <c r="K468" s="162">
        <v>90</v>
      </c>
      <c r="Q468" s="163" t="s">
        <v>1356</v>
      </c>
      <c r="R468" s="164">
        <v>49.3</v>
      </c>
      <c r="S468" s="164">
        <f>100 - R468 - U468 - T468</f>
        <v>50.7</v>
      </c>
      <c r="T468" s="164">
        <v>0</v>
      </c>
      <c r="U468" s="165">
        <v>0</v>
      </c>
      <c r="V468" s="164">
        <v>10</v>
      </c>
      <c r="W468" s="165">
        <f>IF($R468 &gt; 0, 100 - $V468, 0)</f>
        <v>90</v>
      </c>
      <c r="X468" s="167">
        <v>13</v>
      </c>
      <c r="Y468" s="167">
        <f>IF($S468 &gt; 0, 100 - $X468 - $Z468, 0)</f>
        <v>87</v>
      </c>
      <c r="Z468" s="187">
        <v>0</v>
      </c>
      <c r="AA468" s="167">
        <v>0</v>
      </c>
      <c r="AB468" s="167">
        <f t="shared" si="0"/>
        <v>0</v>
      </c>
      <c r="AC468" s="187">
        <v>0</v>
      </c>
      <c r="AD468" s="167">
        <v>0</v>
      </c>
      <c r="AE468" s="167">
        <f t="shared" si="1"/>
        <v>0</v>
      </c>
      <c r="AF468" s="187">
        <v>0</v>
      </c>
      <c r="AI468" s="166"/>
      <c r="AJ468" s="166"/>
      <c r="AN468" s="169"/>
      <c r="AO468" s="169"/>
      <c r="AP468" s="169"/>
      <c r="AQ468" s="169"/>
      <c r="AR468" s="169"/>
      <c r="AS468" s="169"/>
      <c r="AT468" s="169"/>
      <c r="AU468" s="169"/>
    </row>
    <row r="469" spans="1:47" s="162" customFormat="1" ht="12.75">
      <c r="A469" s="170" t="s">
        <v>1396</v>
      </c>
      <c r="B469" s="160" t="s">
        <v>1366</v>
      </c>
      <c r="C469" s="161"/>
      <c r="D469" s="161" t="s">
        <v>310</v>
      </c>
      <c r="E469" s="162" t="s">
        <v>311</v>
      </c>
      <c r="G469" s="162" t="s">
        <v>1354</v>
      </c>
      <c r="H469" s="162" t="s">
        <v>1355</v>
      </c>
      <c r="J469" s="162">
        <v>63</v>
      </c>
      <c r="K469" s="162">
        <v>90</v>
      </c>
      <c r="Q469" s="163" t="s">
        <v>1356</v>
      </c>
      <c r="R469" s="164">
        <v>39.299999999999997</v>
      </c>
      <c r="S469" s="164">
        <f>100 - R469 - U469 - T469</f>
        <v>60.7</v>
      </c>
      <c r="T469" s="164">
        <v>0</v>
      </c>
      <c r="U469" s="165">
        <v>0</v>
      </c>
      <c r="V469" s="164">
        <v>10</v>
      </c>
      <c r="W469" s="165">
        <f>IF($R469 &gt; 0, 100 - $V469, 0)</f>
        <v>90</v>
      </c>
      <c r="X469" s="167">
        <v>13</v>
      </c>
      <c r="Y469" s="167">
        <f>IF($S469 &gt; 0, 100 - $X469 - $Z469, 0)</f>
        <v>87</v>
      </c>
      <c r="Z469" s="187">
        <v>0</v>
      </c>
      <c r="AA469" s="167">
        <v>0</v>
      </c>
      <c r="AB469" s="167">
        <f t="shared" si="0"/>
        <v>0</v>
      </c>
      <c r="AC469" s="187">
        <v>0</v>
      </c>
      <c r="AD469" s="167">
        <v>0</v>
      </c>
      <c r="AE469" s="167">
        <f t="shared" si="1"/>
        <v>0</v>
      </c>
      <c r="AF469" s="187">
        <v>0</v>
      </c>
      <c r="AI469" s="166"/>
      <c r="AJ469" s="166"/>
      <c r="AN469" s="169"/>
      <c r="AO469" s="169"/>
      <c r="AP469" s="169"/>
      <c r="AQ469" s="169"/>
      <c r="AR469" s="169"/>
      <c r="AS469" s="169"/>
      <c r="AT469" s="169"/>
      <c r="AU469" s="169"/>
    </row>
    <row r="470" spans="1:47" s="162" customFormat="1" ht="12.75">
      <c r="A470" s="170" t="s">
        <v>1397</v>
      </c>
      <c r="B470" s="160" t="s">
        <v>1368</v>
      </c>
      <c r="C470" s="161"/>
      <c r="D470" s="161" t="s">
        <v>310</v>
      </c>
      <c r="E470" s="162" t="s">
        <v>311</v>
      </c>
      <c r="G470" s="162" t="s">
        <v>1354</v>
      </c>
      <c r="H470" s="162" t="s">
        <v>1355</v>
      </c>
      <c r="J470" s="162">
        <v>63</v>
      </c>
      <c r="K470" s="162">
        <v>90</v>
      </c>
      <c r="Q470" s="163" t="s">
        <v>1356</v>
      </c>
      <c r="R470" s="164">
        <v>29.4</v>
      </c>
      <c r="S470" s="164">
        <f>100 - R470 - U470 - T470</f>
        <v>70.599999999999994</v>
      </c>
      <c r="T470" s="164">
        <v>0</v>
      </c>
      <c r="U470" s="165">
        <v>0</v>
      </c>
      <c r="V470" s="164">
        <v>10</v>
      </c>
      <c r="W470" s="165">
        <f>IF($R470 &gt; 0, 100 - $V470, 0)</f>
        <v>90</v>
      </c>
      <c r="X470" s="167">
        <v>13</v>
      </c>
      <c r="Y470" s="167">
        <f>IF($S470 &gt; 0, 100 - $X470 - $Z470, 0)</f>
        <v>87</v>
      </c>
      <c r="Z470" s="187">
        <v>0</v>
      </c>
      <c r="AA470" s="167">
        <v>0</v>
      </c>
      <c r="AB470" s="167">
        <f t="shared" si="0"/>
        <v>0</v>
      </c>
      <c r="AC470" s="187">
        <v>0</v>
      </c>
      <c r="AD470" s="167">
        <v>0</v>
      </c>
      <c r="AE470" s="167">
        <f t="shared" si="1"/>
        <v>0</v>
      </c>
      <c r="AF470" s="187">
        <v>0</v>
      </c>
      <c r="AI470" s="166"/>
      <c r="AJ470" s="166"/>
      <c r="AN470" s="169"/>
      <c r="AO470" s="169"/>
      <c r="AP470" s="169"/>
      <c r="AQ470" s="169"/>
      <c r="AR470" s="169"/>
      <c r="AS470" s="169"/>
      <c r="AT470" s="169"/>
      <c r="AU470" s="169"/>
    </row>
    <row r="471" spans="1:47" s="162" customFormat="1" ht="12.75">
      <c r="A471" s="170" t="s">
        <v>1398</v>
      </c>
      <c r="B471" s="160" t="s">
        <v>1370</v>
      </c>
      <c r="C471" s="161"/>
      <c r="D471" s="161" t="s">
        <v>310</v>
      </c>
      <c r="E471" s="162" t="s">
        <v>311</v>
      </c>
      <c r="G471" s="162" t="s">
        <v>1354</v>
      </c>
      <c r="H471" s="162" t="s">
        <v>1355</v>
      </c>
      <c r="J471" s="162">
        <v>63</v>
      </c>
      <c r="K471" s="162">
        <v>90</v>
      </c>
      <c r="Q471" s="163" t="s">
        <v>1356</v>
      </c>
      <c r="R471" s="164">
        <v>19.600000000000001</v>
      </c>
      <c r="S471" s="164">
        <f>100 - R471 - U471 - T471</f>
        <v>80.400000000000006</v>
      </c>
      <c r="T471" s="164">
        <v>0</v>
      </c>
      <c r="U471" s="165">
        <v>0</v>
      </c>
      <c r="V471" s="164">
        <v>10</v>
      </c>
      <c r="W471" s="165">
        <f>IF($R471 &gt; 0, 100 - $V471, 0)</f>
        <v>90</v>
      </c>
      <c r="X471" s="167">
        <v>13</v>
      </c>
      <c r="Y471" s="167">
        <f>IF($S471 &gt; 0, 100 - $X471 - $Z471, 0)</f>
        <v>87</v>
      </c>
      <c r="Z471" s="187">
        <v>0</v>
      </c>
      <c r="AA471" s="167">
        <v>0</v>
      </c>
      <c r="AB471" s="167">
        <f t="shared" si="0"/>
        <v>0</v>
      </c>
      <c r="AC471" s="187">
        <v>0</v>
      </c>
      <c r="AD471" s="167">
        <v>0</v>
      </c>
      <c r="AE471" s="167">
        <f t="shared" si="1"/>
        <v>0</v>
      </c>
      <c r="AF471" s="187">
        <v>0</v>
      </c>
      <c r="AI471" s="166"/>
      <c r="AJ471" s="166"/>
      <c r="AN471" s="169"/>
      <c r="AO471" s="169"/>
      <c r="AP471" s="169"/>
      <c r="AQ471" s="169"/>
      <c r="AR471" s="169"/>
      <c r="AS471" s="169"/>
      <c r="AT471" s="169"/>
      <c r="AU471" s="169"/>
    </row>
    <row r="472" spans="1:47" s="162" customFormat="1" ht="12.75">
      <c r="A472" s="170" t="s">
        <v>1399</v>
      </c>
      <c r="B472" s="160" t="s">
        <v>1372</v>
      </c>
      <c r="C472" s="161"/>
      <c r="D472" s="161" t="s">
        <v>310</v>
      </c>
      <c r="E472" s="162" t="s">
        <v>311</v>
      </c>
      <c r="G472" s="162" t="s">
        <v>1354</v>
      </c>
      <c r="H472" s="162" t="s">
        <v>1355</v>
      </c>
      <c r="J472" s="162">
        <v>63</v>
      </c>
      <c r="K472" s="162">
        <v>90</v>
      </c>
      <c r="Q472" s="163" t="s">
        <v>1356</v>
      </c>
      <c r="R472" s="164">
        <v>89.7</v>
      </c>
      <c r="S472" s="164">
        <f>100 - R472 - U472 - T472</f>
        <v>10.299999999999997</v>
      </c>
      <c r="T472" s="164">
        <v>0</v>
      </c>
      <c r="U472" s="165">
        <v>0</v>
      </c>
      <c r="V472" s="164">
        <v>10</v>
      </c>
      <c r="W472" s="165">
        <f>IF($R472 &gt; 0, 100 - $V472, 0)</f>
        <v>90</v>
      </c>
      <c r="X472" s="167">
        <v>13</v>
      </c>
      <c r="Y472" s="167">
        <f>IF($S472 &gt; 0, 100 - $X472 - $Z472, 0)</f>
        <v>87</v>
      </c>
      <c r="Z472" s="187">
        <v>0</v>
      </c>
      <c r="AA472" s="167">
        <v>0</v>
      </c>
      <c r="AB472" s="167">
        <f t="shared" si="0"/>
        <v>0</v>
      </c>
      <c r="AC472" s="187">
        <v>0</v>
      </c>
      <c r="AD472" s="167">
        <v>0</v>
      </c>
      <c r="AE472" s="167">
        <f t="shared" si="1"/>
        <v>0</v>
      </c>
      <c r="AF472" s="187">
        <v>0</v>
      </c>
      <c r="AI472" s="166"/>
      <c r="AJ472" s="166"/>
      <c r="AN472" s="169"/>
      <c r="AO472" s="169"/>
      <c r="AP472" s="169"/>
      <c r="AQ472" s="169"/>
      <c r="AR472" s="169"/>
      <c r="AS472" s="169"/>
      <c r="AT472" s="169"/>
      <c r="AU472" s="169"/>
    </row>
    <row r="473" spans="1:47" s="162" customFormat="1" ht="12.75">
      <c r="A473" s="170" t="s">
        <v>1400</v>
      </c>
      <c r="B473" s="160" t="s">
        <v>1401</v>
      </c>
      <c r="C473" s="161"/>
      <c r="D473" s="161" t="s">
        <v>310</v>
      </c>
      <c r="E473" s="162" t="s">
        <v>311</v>
      </c>
      <c r="G473" s="162" t="s">
        <v>1354</v>
      </c>
      <c r="H473" s="162" t="s">
        <v>1355</v>
      </c>
      <c r="J473" s="162">
        <v>63</v>
      </c>
      <c r="K473" s="162">
        <v>90</v>
      </c>
      <c r="Q473" s="163" t="s">
        <v>1356</v>
      </c>
      <c r="R473" s="164">
        <v>4.9000000000000004</v>
      </c>
      <c r="S473" s="164">
        <f>100 - R473 - U473 - T473</f>
        <v>95.1</v>
      </c>
      <c r="T473" s="164">
        <v>0</v>
      </c>
      <c r="U473" s="165">
        <v>0</v>
      </c>
      <c r="V473" s="164">
        <v>10</v>
      </c>
      <c r="W473" s="165">
        <f>IF($R473 &gt; 0, 100 - $V473, 0)</f>
        <v>90</v>
      </c>
      <c r="X473" s="167">
        <v>13</v>
      </c>
      <c r="Y473" s="167">
        <f>IF($S473 &gt; 0, 100 - $X473 - $Z473, 0)</f>
        <v>87</v>
      </c>
      <c r="Z473" s="187">
        <v>0</v>
      </c>
      <c r="AA473" s="167">
        <v>0</v>
      </c>
      <c r="AB473" s="167">
        <f t="shared" si="0"/>
        <v>0</v>
      </c>
      <c r="AC473" s="187">
        <v>0</v>
      </c>
      <c r="AD473" s="167">
        <v>0</v>
      </c>
      <c r="AE473" s="167">
        <f t="shared" si="1"/>
        <v>0</v>
      </c>
      <c r="AF473" s="187">
        <v>0</v>
      </c>
      <c r="AI473" s="166"/>
      <c r="AJ473" s="166"/>
      <c r="AN473" s="169"/>
      <c r="AO473" s="169"/>
      <c r="AP473" s="169"/>
      <c r="AQ473" s="169"/>
      <c r="AR473" s="169"/>
      <c r="AS473" s="169"/>
      <c r="AT473" s="169"/>
      <c r="AU473" s="169"/>
    </row>
    <row r="474" spans="1:47" s="162" customFormat="1" ht="12.75">
      <c r="A474" s="170" t="s">
        <v>1402</v>
      </c>
      <c r="B474" s="160" t="s">
        <v>1403</v>
      </c>
      <c r="C474" s="161"/>
      <c r="D474" s="161" t="s">
        <v>310</v>
      </c>
      <c r="E474" s="162" t="s">
        <v>311</v>
      </c>
      <c r="G474" s="162" t="s">
        <v>1354</v>
      </c>
      <c r="H474" s="162" t="s">
        <v>1355</v>
      </c>
      <c r="J474" s="162">
        <v>63</v>
      </c>
      <c r="K474" s="162">
        <v>90</v>
      </c>
      <c r="Q474" s="163" t="s">
        <v>1356</v>
      </c>
      <c r="R474" s="164">
        <v>14.6</v>
      </c>
      <c r="S474" s="164">
        <f>100 - R474 - U474 - T474</f>
        <v>85.4</v>
      </c>
      <c r="T474" s="164">
        <v>0</v>
      </c>
      <c r="U474" s="165">
        <v>0</v>
      </c>
      <c r="V474" s="164">
        <v>10</v>
      </c>
      <c r="W474" s="165">
        <f>IF($R474 &gt; 0, 100 - $V474, 0)</f>
        <v>90</v>
      </c>
      <c r="X474" s="167">
        <v>13</v>
      </c>
      <c r="Y474" s="167">
        <f>IF($S474 &gt; 0, 100 - $X474 - $Z474, 0)</f>
        <v>87</v>
      </c>
      <c r="Z474" s="187">
        <v>0</v>
      </c>
      <c r="AA474" s="167">
        <v>0</v>
      </c>
      <c r="AB474" s="167">
        <f t="shared" si="0"/>
        <v>0</v>
      </c>
      <c r="AC474" s="187">
        <v>0</v>
      </c>
      <c r="AD474" s="167">
        <v>0</v>
      </c>
      <c r="AE474" s="167">
        <f t="shared" si="1"/>
        <v>0</v>
      </c>
      <c r="AF474" s="187">
        <v>0</v>
      </c>
      <c r="AI474" s="166"/>
      <c r="AJ474" s="166"/>
      <c r="AN474" s="169"/>
      <c r="AO474" s="169"/>
      <c r="AP474" s="169"/>
      <c r="AQ474" s="169"/>
      <c r="AR474" s="169"/>
      <c r="AS474" s="169"/>
      <c r="AT474" s="169"/>
      <c r="AU474" s="169"/>
    </row>
    <row r="475" spans="1:47" s="162" customFormat="1" ht="12.75">
      <c r="A475" s="170" t="s">
        <v>1404</v>
      </c>
      <c r="B475" s="160" t="s">
        <v>1353</v>
      </c>
      <c r="C475" s="161"/>
      <c r="D475" s="161" t="s">
        <v>310</v>
      </c>
      <c r="E475" s="162" t="s">
        <v>311</v>
      </c>
      <c r="G475" s="162" t="s">
        <v>1354</v>
      </c>
      <c r="H475" s="162" t="s">
        <v>1355</v>
      </c>
      <c r="J475" s="162">
        <v>45</v>
      </c>
      <c r="K475" s="162">
        <v>63</v>
      </c>
      <c r="Q475" s="163" t="s">
        <v>1356</v>
      </c>
      <c r="R475" s="164">
        <v>89.7</v>
      </c>
      <c r="S475" s="164">
        <f>100 - R475 - U475 - T475</f>
        <v>10.299999999999997</v>
      </c>
      <c r="T475" s="164">
        <v>0</v>
      </c>
      <c r="U475" s="165">
        <v>0</v>
      </c>
      <c r="V475" s="164">
        <v>10</v>
      </c>
      <c r="W475" s="165">
        <f>IF($R475 &gt; 0, 100 - $V475, 0)</f>
        <v>90</v>
      </c>
      <c r="X475" s="167">
        <v>13</v>
      </c>
      <c r="Y475" s="167">
        <f>IF($S475 &gt; 0, 100 - $X475 - $Z475, 0)</f>
        <v>87</v>
      </c>
      <c r="Z475" s="187">
        <v>0</v>
      </c>
      <c r="AA475" s="167">
        <v>0</v>
      </c>
      <c r="AB475" s="167">
        <f t="shared" si="0"/>
        <v>0</v>
      </c>
      <c r="AC475" s="187">
        <v>0</v>
      </c>
      <c r="AD475" s="167">
        <v>0</v>
      </c>
      <c r="AE475" s="167">
        <f t="shared" si="1"/>
        <v>0</v>
      </c>
      <c r="AF475" s="187">
        <v>0</v>
      </c>
      <c r="AI475" s="166"/>
      <c r="AJ475" s="166"/>
      <c r="AN475" s="169"/>
      <c r="AO475" s="169"/>
      <c r="AP475" s="169"/>
      <c r="AQ475" s="169"/>
      <c r="AR475" s="169"/>
      <c r="AS475" s="169"/>
      <c r="AT475" s="169"/>
      <c r="AU475" s="169"/>
    </row>
    <row r="476" spans="1:47" s="162" customFormat="1" ht="12.75">
      <c r="A476" s="170" t="s">
        <v>1405</v>
      </c>
      <c r="B476" s="160" t="s">
        <v>1364</v>
      </c>
      <c r="C476" s="161"/>
      <c r="D476" s="161" t="s">
        <v>310</v>
      </c>
      <c r="E476" s="162" t="s">
        <v>311</v>
      </c>
      <c r="G476" s="162" t="s">
        <v>1354</v>
      </c>
      <c r="H476" s="162" t="s">
        <v>1355</v>
      </c>
      <c r="J476" s="162">
        <v>45</v>
      </c>
      <c r="K476" s="162">
        <v>63</v>
      </c>
      <c r="Q476" s="163" t="s">
        <v>1356</v>
      </c>
      <c r="R476" s="164">
        <v>49.3</v>
      </c>
      <c r="S476" s="164">
        <f>100 - R476 - U476 - T476</f>
        <v>50.7</v>
      </c>
      <c r="T476" s="164">
        <v>0</v>
      </c>
      <c r="U476" s="165">
        <v>0</v>
      </c>
      <c r="V476" s="164">
        <v>10</v>
      </c>
      <c r="W476" s="165">
        <f>IF($R476 &gt; 0, 100 - $V476, 0)</f>
        <v>90</v>
      </c>
      <c r="X476" s="167">
        <v>13</v>
      </c>
      <c r="Y476" s="167">
        <f>IF($S476 &gt; 0, 100 - $X476 - $Z476, 0)</f>
        <v>87</v>
      </c>
      <c r="Z476" s="187">
        <v>0</v>
      </c>
      <c r="AA476" s="167">
        <v>0</v>
      </c>
      <c r="AB476" s="167">
        <f t="shared" si="0"/>
        <v>0</v>
      </c>
      <c r="AC476" s="187">
        <v>0</v>
      </c>
      <c r="AD476" s="167">
        <v>0</v>
      </c>
      <c r="AE476" s="167">
        <f t="shared" si="1"/>
        <v>0</v>
      </c>
      <c r="AF476" s="187">
        <v>0</v>
      </c>
      <c r="AI476" s="166"/>
      <c r="AJ476" s="166"/>
      <c r="AN476" s="169"/>
      <c r="AO476" s="169"/>
      <c r="AP476" s="169"/>
      <c r="AQ476" s="169"/>
      <c r="AR476" s="169"/>
      <c r="AS476" s="169"/>
      <c r="AT476" s="169"/>
      <c r="AU476" s="169"/>
    </row>
    <row r="477" spans="1:47" s="162" customFormat="1" ht="12.75">
      <c r="A477" s="170" t="s">
        <v>1406</v>
      </c>
      <c r="B477" s="160" t="s">
        <v>1372</v>
      </c>
      <c r="C477" s="161"/>
      <c r="D477" s="161" t="s">
        <v>310</v>
      </c>
      <c r="E477" s="162" t="s">
        <v>311</v>
      </c>
      <c r="G477" s="162" t="s">
        <v>1354</v>
      </c>
      <c r="H477" s="162" t="s">
        <v>1355</v>
      </c>
      <c r="J477" s="162">
        <v>45</v>
      </c>
      <c r="K477" s="162">
        <v>63</v>
      </c>
      <c r="Q477" s="163" t="s">
        <v>1356</v>
      </c>
      <c r="R477" s="164">
        <v>9.6999999999999993</v>
      </c>
      <c r="S477" s="164">
        <f>100 - R477 - U477 - T477</f>
        <v>90.3</v>
      </c>
      <c r="T477" s="164">
        <v>0</v>
      </c>
      <c r="U477" s="165">
        <v>0</v>
      </c>
      <c r="V477" s="164">
        <v>10</v>
      </c>
      <c r="W477" s="165">
        <f>IF($R477 &gt; 0, 100 - $V477, 0)</f>
        <v>90</v>
      </c>
      <c r="X477" s="167">
        <v>13</v>
      </c>
      <c r="Y477" s="167">
        <f>IF($S477 &gt; 0, 100 - $X477 - $Z477, 0)</f>
        <v>87</v>
      </c>
      <c r="Z477" s="187">
        <v>0</v>
      </c>
      <c r="AA477" s="167">
        <v>0</v>
      </c>
      <c r="AB477" s="167">
        <f t="shared" si="0"/>
        <v>0</v>
      </c>
      <c r="AC477" s="187">
        <v>0</v>
      </c>
      <c r="AD477" s="167">
        <v>0</v>
      </c>
      <c r="AE477" s="167">
        <f t="shared" si="1"/>
        <v>0</v>
      </c>
      <c r="AF477" s="187">
        <v>0</v>
      </c>
      <c r="AI477" s="166"/>
      <c r="AJ477" s="166"/>
      <c r="AN477" s="169"/>
      <c r="AO477" s="169"/>
      <c r="AP477" s="169"/>
      <c r="AQ477" s="169"/>
      <c r="AR477" s="169"/>
      <c r="AS477" s="169"/>
      <c r="AT477" s="169"/>
      <c r="AU477" s="169"/>
    </row>
    <row r="478" spans="1:47" s="162" customFormat="1" ht="12.75">
      <c r="A478" s="170" t="s">
        <v>1407</v>
      </c>
      <c r="B478" s="160" t="s">
        <v>1408</v>
      </c>
      <c r="C478" s="161"/>
      <c r="D478" s="161" t="s">
        <v>310</v>
      </c>
      <c r="E478" s="162" t="s">
        <v>311</v>
      </c>
      <c r="G478" s="162" t="s">
        <v>1354</v>
      </c>
      <c r="H478" s="162" t="s">
        <v>1355</v>
      </c>
      <c r="J478" s="162">
        <v>45</v>
      </c>
      <c r="K478" s="162">
        <v>63</v>
      </c>
      <c r="Q478" s="163" t="s">
        <v>1356</v>
      </c>
      <c r="R478" s="164">
        <v>74.5</v>
      </c>
      <c r="S478" s="164">
        <f>100 - R478 - U478 - T478</f>
        <v>25.5</v>
      </c>
      <c r="T478" s="164">
        <v>0</v>
      </c>
      <c r="U478" s="165">
        <v>0</v>
      </c>
      <c r="V478" s="164">
        <v>10</v>
      </c>
      <c r="W478" s="165">
        <f>IF($R478 &gt; 0, 100 - $V478, 0)</f>
        <v>90</v>
      </c>
      <c r="X478" s="167">
        <v>13</v>
      </c>
      <c r="Y478" s="167">
        <f>IF($S478 &gt; 0, 100 - $X478 - $Z478, 0)</f>
        <v>87</v>
      </c>
      <c r="Z478" s="187">
        <v>0</v>
      </c>
      <c r="AA478" s="167">
        <v>0</v>
      </c>
      <c r="AB478" s="167">
        <f t="shared" si="0"/>
        <v>0</v>
      </c>
      <c r="AC478" s="187">
        <v>0</v>
      </c>
      <c r="AD478" s="167">
        <v>0</v>
      </c>
      <c r="AE478" s="167">
        <f t="shared" si="1"/>
        <v>0</v>
      </c>
      <c r="AF478" s="187">
        <v>0</v>
      </c>
      <c r="AI478" s="166"/>
      <c r="AJ478" s="166"/>
      <c r="AN478" s="169"/>
      <c r="AO478" s="169"/>
      <c r="AP478" s="169"/>
      <c r="AQ478" s="169"/>
      <c r="AR478" s="169"/>
      <c r="AS478" s="169"/>
      <c r="AT478" s="169"/>
      <c r="AU478" s="169"/>
    </row>
    <row r="479" spans="1:47" s="162" customFormat="1" ht="12.75">
      <c r="A479" s="170" t="s">
        <v>1409</v>
      </c>
      <c r="B479" s="160" t="s">
        <v>1410</v>
      </c>
      <c r="C479" s="161"/>
      <c r="D479" s="161" t="s">
        <v>310</v>
      </c>
      <c r="E479" s="162" t="s">
        <v>311</v>
      </c>
      <c r="G479" s="162" t="s">
        <v>1354</v>
      </c>
      <c r="H479" s="162" t="s">
        <v>1355</v>
      </c>
      <c r="J479" s="162">
        <v>45</v>
      </c>
      <c r="K479" s="162">
        <v>63</v>
      </c>
      <c r="Q479" s="163" t="s">
        <v>1356</v>
      </c>
      <c r="R479" s="164">
        <v>24.5</v>
      </c>
      <c r="S479" s="164">
        <f>100 - R479 - U479 - T479</f>
        <v>75.5</v>
      </c>
      <c r="T479" s="164">
        <v>0</v>
      </c>
      <c r="U479" s="165">
        <v>0</v>
      </c>
      <c r="V479" s="164">
        <v>10</v>
      </c>
      <c r="W479" s="165">
        <f>IF($R479 &gt; 0, 100 - $V479, 0)</f>
        <v>90</v>
      </c>
      <c r="X479" s="167">
        <v>13</v>
      </c>
      <c r="Y479" s="167">
        <f>IF($S479 &gt; 0, 100 - $X479 - $Z479, 0)</f>
        <v>87</v>
      </c>
      <c r="Z479" s="187">
        <v>0</v>
      </c>
      <c r="AA479" s="167">
        <v>0</v>
      </c>
      <c r="AB479" s="167">
        <f t="shared" si="0"/>
        <v>0</v>
      </c>
      <c r="AC479" s="187">
        <v>0</v>
      </c>
      <c r="AD479" s="167">
        <v>0</v>
      </c>
      <c r="AE479" s="167">
        <f t="shared" si="1"/>
        <v>0</v>
      </c>
      <c r="AF479" s="187">
        <v>0</v>
      </c>
      <c r="AI479" s="166"/>
      <c r="AJ479" s="166"/>
      <c r="AN479" s="169"/>
      <c r="AO479" s="169"/>
      <c r="AP479" s="169"/>
      <c r="AQ479" s="169"/>
      <c r="AR479" s="169"/>
      <c r="AS479" s="169"/>
      <c r="AT479" s="169"/>
      <c r="AU479" s="169"/>
    </row>
    <row r="480" spans="1:47" s="172" customFormat="1" ht="12">
      <c r="A480" s="179" t="s">
        <v>1411</v>
      </c>
      <c r="B480" s="179" t="s">
        <v>1412</v>
      </c>
      <c r="C480" s="171"/>
      <c r="D480" s="171" t="s">
        <v>310</v>
      </c>
      <c r="E480" s="172" t="s">
        <v>311</v>
      </c>
      <c r="G480" s="172" t="s">
        <v>1354</v>
      </c>
      <c r="H480" s="172" t="s">
        <v>1355</v>
      </c>
      <c r="J480" s="172">
        <v>45</v>
      </c>
      <c r="K480" s="172">
        <v>90</v>
      </c>
      <c r="Q480" s="163" t="s">
        <v>1356</v>
      </c>
      <c r="R480" s="174">
        <v>50.8</v>
      </c>
      <c r="S480" s="174">
        <f>100 - R480 - U480 - T480</f>
        <v>49.2</v>
      </c>
      <c r="T480" s="174">
        <v>0</v>
      </c>
      <c r="U480" s="175">
        <v>0</v>
      </c>
      <c r="V480" s="174">
        <v>10</v>
      </c>
      <c r="W480" s="175">
        <f>IF($R480 &gt; 0, 100 - $V480, 0)</f>
        <v>90</v>
      </c>
      <c r="X480" s="177">
        <v>41</v>
      </c>
      <c r="Y480" s="177">
        <f>IF($S480 &gt; 0, 100 - $X480 - $Z480, 0)</f>
        <v>55</v>
      </c>
      <c r="Z480" s="188">
        <v>4</v>
      </c>
      <c r="AA480" s="177">
        <v>0</v>
      </c>
      <c r="AB480" s="177">
        <f t="shared" si="0"/>
        <v>0</v>
      </c>
      <c r="AC480" s="188">
        <v>0</v>
      </c>
      <c r="AD480" s="177">
        <v>0</v>
      </c>
      <c r="AE480" s="177">
        <f t="shared" si="1"/>
        <v>0</v>
      </c>
      <c r="AF480" s="188">
        <v>0</v>
      </c>
      <c r="AI480" s="176"/>
      <c r="AJ480" s="176"/>
      <c r="AN480" s="178"/>
      <c r="AO480" s="178"/>
      <c r="AP480" s="178"/>
      <c r="AQ480" s="178"/>
      <c r="AR480" s="178"/>
      <c r="AS480" s="178"/>
      <c r="AT480" s="178"/>
      <c r="AU480" s="178"/>
    </row>
    <row r="481" spans="1:47" s="172" customFormat="1" ht="12">
      <c r="A481" s="179" t="s">
        <v>1413</v>
      </c>
      <c r="B481" s="179" t="s">
        <v>1414</v>
      </c>
      <c r="C481" s="171"/>
      <c r="D481" s="171" t="s">
        <v>310</v>
      </c>
      <c r="E481" s="172" t="s">
        <v>311</v>
      </c>
      <c r="G481" s="172" t="s">
        <v>1354</v>
      </c>
      <c r="H481" s="172" t="s">
        <v>1355</v>
      </c>
      <c r="J481" s="172">
        <v>45</v>
      </c>
      <c r="K481" s="172">
        <v>90</v>
      </c>
      <c r="Q481" s="163" t="s">
        <v>1356</v>
      </c>
      <c r="R481" s="174">
        <v>48.2</v>
      </c>
      <c r="S481" s="174">
        <f>100 - R481 - U481 - T481</f>
        <v>51.8</v>
      </c>
      <c r="T481" s="174">
        <v>0</v>
      </c>
      <c r="U481" s="175">
        <v>0</v>
      </c>
      <c r="V481" s="174">
        <v>40</v>
      </c>
      <c r="W481" s="175">
        <f>IF($R481 &gt; 0, 100 - $V481, 0)</f>
        <v>60</v>
      </c>
      <c r="X481" s="177">
        <v>41</v>
      </c>
      <c r="Y481" s="177">
        <f>IF($S481 &gt; 0, 100 - $X481 - $Z481, 0)</f>
        <v>55</v>
      </c>
      <c r="Z481" s="188">
        <v>4</v>
      </c>
      <c r="AA481" s="177">
        <v>0</v>
      </c>
      <c r="AB481" s="177">
        <f t="shared" si="0"/>
        <v>0</v>
      </c>
      <c r="AC481" s="188">
        <v>0</v>
      </c>
      <c r="AD481" s="177">
        <v>0</v>
      </c>
      <c r="AE481" s="177">
        <f t="shared" si="1"/>
        <v>0</v>
      </c>
      <c r="AF481" s="188">
        <v>0</v>
      </c>
      <c r="AI481" s="176"/>
      <c r="AJ481" s="176"/>
      <c r="AN481" s="178"/>
      <c r="AO481" s="178"/>
      <c r="AP481" s="178"/>
      <c r="AQ481" s="178"/>
      <c r="AR481" s="178"/>
      <c r="AS481" s="178"/>
      <c r="AT481" s="178"/>
      <c r="AU481" s="178"/>
    </row>
    <row r="482" spans="1:47" s="162" customFormat="1" ht="12">
      <c r="A482" s="189" t="s">
        <v>1415</v>
      </c>
      <c r="B482" s="160" t="s">
        <v>1408</v>
      </c>
      <c r="C482" s="161"/>
      <c r="D482" s="171" t="s">
        <v>310</v>
      </c>
      <c r="E482" s="172" t="s">
        <v>311</v>
      </c>
      <c r="F482" s="172"/>
      <c r="G482" s="172" t="s">
        <v>1354</v>
      </c>
      <c r="H482" s="172" t="s">
        <v>1355</v>
      </c>
      <c r="I482" s="172"/>
      <c r="J482" s="172">
        <v>0</v>
      </c>
      <c r="K482" s="162">
        <v>45</v>
      </c>
      <c r="Q482" s="163" t="s">
        <v>1356</v>
      </c>
      <c r="R482" s="162">
        <v>74.5</v>
      </c>
      <c r="S482" s="174">
        <f>100 - R482 - U482 - T482</f>
        <v>25.5</v>
      </c>
      <c r="T482" s="162">
        <v>0</v>
      </c>
      <c r="U482" s="163">
        <v>0</v>
      </c>
      <c r="V482" s="162">
        <v>10</v>
      </c>
      <c r="W482" s="175">
        <f>IF($R482 &gt; 0, 100 - $V482, 0)</f>
        <v>90</v>
      </c>
      <c r="X482" s="166">
        <v>13</v>
      </c>
      <c r="Y482" s="177">
        <f>IF($S482 &gt; 0, 100 - $X482 - $Z482, 0)</f>
        <v>87</v>
      </c>
      <c r="Z482" s="168">
        <v>0</v>
      </c>
      <c r="AA482" s="177">
        <v>0</v>
      </c>
      <c r="AB482" s="177">
        <f t="shared" si="0"/>
        <v>0</v>
      </c>
      <c r="AC482" s="188">
        <v>0</v>
      </c>
      <c r="AD482" s="177">
        <v>0</v>
      </c>
      <c r="AE482" s="177">
        <f t="shared" si="1"/>
        <v>0</v>
      </c>
      <c r="AF482" s="188">
        <v>0</v>
      </c>
      <c r="AI482" s="166"/>
      <c r="AJ482" s="166"/>
      <c r="AN482" s="169"/>
      <c r="AO482" s="169"/>
      <c r="AP482" s="169"/>
      <c r="AQ482" s="169"/>
      <c r="AR482" s="169"/>
      <c r="AS482" s="169"/>
      <c r="AT482" s="169"/>
      <c r="AU482" s="169"/>
    </row>
    <row r="483" spans="1:47" s="172" customFormat="1" ht="12">
      <c r="A483" s="189" t="s">
        <v>1416</v>
      </c>
      <c r="B483" s="190" t="s">
        <v>1417</v>
      </c>
      <c r="C483" s="171"/>
      <c r="D483" s="171" t="s">
        <v>310</v>
      </c>
      <c r="E483" s="172" t="s">
        <v>311</v>
      </c>
      <c r="G483" s="172" t="s">
        <v>1354</v>
      </c>
      <c r="H483" s="172" t="s">
        <v>1418</v>
      </c>
      <c r="J483" s="172">
        <v>0</v>
      </c>
      <c r="K483" s="172">
        <v>45</v>
      </c>
      <c r="Q483" s="163" t="s">
        <v>1356</v>
      </c>
      <c r="R483" s="172">
        <v>0</v>
      </c>
      <c r="S483" s="174">
        <f>100 - R483 - U483 - T483</f>
        <v>9.5999999999999943</v>
      </c>
      <c r="T483" s="172">
        <v>90.4</v>
      </c>
      <c r="U483" s="173">
        <v>0</v>
      </c>
      <c r="V483" s="184">
        <v>0</v>
      </c>
      <c r="W483" s="175">
        <f>IF($R483 &gt; 0, 100 - $V483, 0)</f>
        <v>0</v>
      </c>
      <c r="X483" s="177">
        <v>9.4</v>
      </c>
      <c r="Y483" s="177">
        <f>IF($S483 &gt; 0, 100 - $X483 - $Z483, 0)</f>
        <v>89.399999999999991</v>
      </c>
      <c r="Z483" s="188">
        <v>1.2</v>
      </c>
      <c r="AA483" s="185">
        <v>10</v>
      </c>
      <c r="AB483" s="177">
        <f t="shared" si="0"/>
        <v>41</v>
      </c>
      <c r="AC483" s="186">
        <v>49</v>
      </c>
      <c r="AD483" s="185">
        <v>0</v>
      </c>
      <c r="AE483" s="177">
        <f t="shared" si="1"/>
        <v>0</v>
      </c>
      <c r="AF483" s="186">
        <v>0</v>
      </c>
      <c r="AH483" s="176"/>
      <c r="AI483" s="176"/>
      <c r="AJ483" s="176"/>
      <c r="AN483" s="178"/>
      <c r="AO483" s="178"/>
      <c r="AP483" s="178"/>
      <c r="AQ483" s="178"/>
      <c r="AR483" s="178"/>
      <c r="AS483" s="178"/>
      <c r="AT483" s="178"/>
      <c r="AU483" s="178"/>
    </row>
    <row r="484" spans="1:47" s="172" customFormat="1" ht="12">
      <c r="A484" s="189" t="s">
        <v>1419</v>
      </c>
      <c r="B484" s="190" t="s">
        <v>1420</v>
      </c>
      <c r="C484" s="171"/>
      <c r="D484" s="171" t="s">
        <v>310</v>
      </c>
      <c r="E484" s="172" t="s">
        <v>311</v>
      </c>
      <c r="G484" s="172" t="s">
        <v>1354</v>
      </c>
      <c r="H484" s="172" t="s">
        <v>1418</v>
      </c>
      <c r="J484" s="172">
        <v>0</v>
      </c>
      <c r="K484" s="172">
        <v>45</v>
      </c>
      <c r="Q484" s="163" t="s">
        <v>1356</v>
      </c>
      <c r="R484" s="172">
        <v>0</v>
      </c>
      <c r="S484" s="174">
        <f t="shared" ref="S484:S500" si="2">100 - R484 - U484 - T484</f>
        <v>19.299999999999997</v>
      </c>
      <c r="T484" s="172">
        <v>80.7</v>
      </c>
      <c r="U484" s="173">
        <v>0</v>
      </c>
      <c r="V484" s="184">
        <v>0</v>
      </c>
      <c r="W484" s="175">
        <f t="shared" ref="W484:W500" si="3">IF($R484 &gt; 0, 100 - $V484, 0)</f>
        <v>0</v>
      </c>
      <c r="X484" s="177">
        <v>9.4</v>
      </c>
      <c r="Y484" s="177">
        <f>IF($S484 &gt; 0, 100 - $X484 - $Z484, 0)</f>
        <v>89.399999999999991</v>
      </c>
      <c r="Z484" s="188">
        <v>1.2</v>
      </c>
      <c r="AA484" s="185">
        <v>10</v>
      </c>
      <c r="AB484" s="177">
        <f t="shared" si="0"/>
        <v>41</v>
      </c>
      <c r="AC484" s="186">
        <v>49</v>
      </c>
      <c r="AD484" s="185">
        <v>0</v>
      </c>
      <c r="AE484" s="177">
        <f t="shared" si="1"/>
        <v>0</v>
      </c>
      <c r="AF484" s="186">
        <v>0</v>
      </c>
      <c r="AH484" s="176"/>
      <c r="AI484" s="176"/>
      <c r="AJ484" s="176"/>
      <c r="AN484" s="178"/>
      <c r="AO484" s="178"/>
      <c r="AP484" s="178"/>
      <c r="AQ484" s="178"/>
      <c r="AR484" s="178"/>
      <c r="AS484" s="178"/>
      <c r="AT484" s="178"/>
      <c r="AU484" s="178"/>
    </row>
    <row r="485" spans="1:47" s="172" customFormat="1" ht="12">
      <c r="A485" s="189" t="s">
        <v>1421</v>
      </c>
      <c r="B485" s="190" t="s">
        <v>1422</v>
      </c>
      <c r="C485" s="171"/>
      <c r="D485" s="171" t="s">
        <v>310</v>
      </c>
      <c r="E485" s="172" t="s">
        <v>311</v>
      </c>
      <c r="G485" s="172" t="s">
        <v>1354</v>
      </c>
      <c r="H485" s="172" t="s">
        <v>1418</v>
      </c>
      <c r="J485" s="172">
        <v>0</v>
      </c>
      <c r="K485" s="172">
        <v>45</v>
      </c>
      <c r="Q485" s="163" t="s">
        <v>1356</v>
      </c>
      <c r="R485" s="172">
        <v>0</v>
      </c>
      <c r="S485" s="174">
        <f t="shared" si="2"/>
        <v>29.099999999999994</v>
      </c>
      <c r="T485" s="172">
        <v>70.900000000000006</v>
      </c>
      <c r="U485" s="173">
        <v>0</v>
      </c>
      <c r="V485" s="184">
        <v>0</v>
      </c>
      <c r="W485" s="175">
        <f t="shared" si="3"/>
        <v>0</v>
      </c>
      <c r="X485" s="177">
        <v>9.4</v>
      </c>
      <c r="Y485" s="177">
        <f>IF($S485 &gt; 0, 100 - $X485 - $Z485, 0)</f>
        <v>89.399999999999991</v>
      </c>
      <c r="Z485" s="188">
        <v>1.2</v>
      </c>
      <c r="AA485" s="185">
        <v>10</v>
      </c>
      <c r="AB485" s="177">
        <f t="shared" si="0"/>
        <v>41</v>
      </c>
      <c r="AC485" s="186">
        <v>49</v>
      </c>
      <c r="AD485" s="185">
        <v>0</v>
      </c>
      <c r="AE485" s="177">
        <f t="shared" si="1"/>
        <v>0</v>
      </c>
      <c r="AF485" s="186">
        <v>0</v>
      </c>
      <c r="AH485" s="176"/>
      <c r="AI485" s="176"/>
      <c r="AJ485" s="176"/>
      <c r="AN485" s="178"/>
      <c r="AO485" s="178"/>
      <c r="AP485" s="178"/>
      <c r="AQ485" s="178"/>
      <c r="AR485" s="178"/>
      <c r="AS485" s="178"/>
      <c r="AT485" s="178"/>
      <c r="AU485" s="178"/>
    </row>
    <row r="486" spans="1:47" s="172" customFormat="1" ht="12">
      <c r="A486" s="189" t="s">
        <v>1423</v>
      </c>
      <c r="B486" s="190" t="s">
        <v>1424</v>
      </c>
      <c r="C486" s="171"/>
      <c r="D486" s="171" t="s">
        <v>310</v>
      </c>
      <c r="E486" s="172" t="s">
        <v>311</v>
      </c>
      <c r="G486" s="172" t="s">
        <v>1354</v>
      </c>
      <c r="H486" s="172" t="s">
        <v>1418</v>
      </c>
      <c r="J486" s="172">
        <v>0</v>
      </c>
      <c r="K486" s="172">
        <v>45</v>
      </c>
      <c r="Q486" s="163" t="s">
        <v>1356</v>
      </c>
      <c r="R486" s="172">
        <v>0</v>
      </c>
      <c r="S486" s="174">
        <f t="shared" si="2"/>
        <v>39</v>
      </c>
      <c r="T486" s="172">
        <v>61</v>
      </c>
      <c r="U486" s="173">
        <v>0</v>
      </c>
      <c r="V486" s="184">
        <v>0</v>
      </c>
      <c r="W486" s="175">
        <f t="shared" si="3"/>
        <v>0</v>
      </c>
      <c r="X486" s="177">
        <v>9.4</v>
      </c>
      <c r="Y486" s="177">
        <f>IF($S486 &gt; 0, 100 - $X486 - $Z486, 0)</f>
        <v>89.399999999999991</v>
      </c>
      <c r="Z486" s="188">
        <v>1.2</v>
      </c>
      <c r="AA486" s="185">
        <v>10</v>
      </c>
      <c r="AB486" s="177">
        <f t="shared" si="0"/>
        <v>41</v>
      </c>
      <c r="AC486" s="186">
        <v>49</v>
      </c>
      <c r="AD486" s="185">
        <v>0</v>
      </c>
      <c r="AE486" s="177">
        <f t="shared" si="1"/>
        <v>0</v>
      </c>
      <c r="AF486" s="186">
        <v>0</v>
      </c>
      <c r="AH486" s="176"/>
      <c r="AI486" s="176"/>
      <c r="AJ486" s="176"/>
      <c r="AN486" s="178"/>
      <c r="AO486" s="178"/>
      <c r="AP486" s="178"/>
      <c r="AQ486" s="178"/>
      <c r="AR486" s="178"/>
      <c r="AS486" s="178"/>
      <c r="AT486" s="178"/>
      <c r="AU486" s="178"/>
    </row>
    <row r="487" spans="1:47" s="172" customFormat="1" ht="12">
      <c r="A487" s="189" t="s">
        <v>1425</v>
      </c>
      <c r="B487" s="190" t="s">
        <v>1426</v>
      </c>
      <c r="C487" s="171"/>
      <c r="D487" s="171" t="s">
        <v>310</v>
      </c>
      <c r="E487" s="172" t="s">
        <v>311</v>
      </c>
      <c r="G487" s="172" t="s">
        <v>1354</v>
      </c>
      <c r="H487" s="172" t="s">
        <v>1418</v>
      </c>
      <c r="J487" s="172">
        <v>0</v>
      </c>
      <c r="K487" s="172">
        <v>45</v>
      </c>
      <c r="Q487" s="163" t="s">
        <v>1356</v>
      </c>
      <c r="R487" s="172">
        <v>0</v>
      </c>
      <c r="S487" s="174">
        <f t="shared" si="2"/>
        <v>48.9</v>
      </c>
      <c r="T487" s="172">
        <v>51.1</v>
      </c>
      <c r="U487" s="173">
        <v>0</v>
      </c>
      <c r="V487" s="184">
        <v>0</v>
      </c>
      <c r="W487" s="175">
        <f t="shared" si="3"/>
        <v>0</v>
      </c>
      <c r="X487" s="177">
        <v>9.4</v>
      </c>
      <c r="Y487" s="177">
        <f>IF($S487 &gt; 0, 100 - $X487 - $Z487, 0)</f>
        <v>89.399999999999991</v>
      </c>
      <c r="Z487" s="188">
        <v>1.2</v>
      </c>
      <c r="AA487" s="185">
        <v>10</v>
      </c>
      <c r="AB487" s="177">
        <f t="shared" si="0"/>
        <v>41</v>
      </c>
      <c r="AC487" s="186">
        <v>49</v>
      </c>
      <c r="AD487" s="185">
        <v>0</v>
      </c>
      <c r="AE487" s="177">
        <f t="shared" si="1"/>
        <v>0</v>
      </c>
      <c r="AF487" s="186">
        <v>0</v>
      </c>
      <c r="AH487" s="176"/>
      <c r="AI487" s="176"/>
      <c r="AJ487" s="176"/>
      <c r="AN487" s="178"/>
      <c r="AO487" s="178"/>
      <c r="AP487" s="178"/>
      <c r="AQ487" s="178"/>
      <c r="AR487" s="178"/>
      <c r="AS487" s="178"/>
      <c r="AT487" s="178"/>
      <c r="AU487" s="178"/>
    </row>
    <row r="488" spans="1:47" s="172" customFormat="1" ht="12">
      <c r="A488" s="189" t="s">
        <v>1427</v>
      </c>
      <c r="B488" s="190" t="s">
        <v>1428</v>
      </c>
      <c r="C488" s="171"/>
      <c r="D488" s="171" t="s">
        <v>310</v>
      </c>
      <c r="E488" s="172" t="s">
        <v>311</v>
      </c>
      <c r="G488" s="172" t="s">
        <v>1354</v>
      </c>
      <c r="H488" s="172" t="s">
        <v>1418</v>
      </c>
      <c r="J488" s="172">
        <v>0</v>
      </c>
      <c r="K488" s="172">
        <v>45</v>
      </c>
      <c r="Q488" s="163" t="s">
        <v>1356</v>
      </c>
      <c r="R488" s="172">
        <v>0</v>
      </c>
      <c r="S488" s="174">
        <f t="shared" si="2"/>
        <v>59</v>
      </c>
      <c r="T488" s="172">
        <v>41</v>
      </c>
      <c r="U488" s="173">
        <v>0</v>
      </c>
      <c r="V488" s="184">
        <v>0</v>
      </c>
      <c r="W488" s="175">
        <f t="shared" si="3"/>
        <v>0</v>
      </c>
      <c r="X488" s="177">
        <v>9.4</v>
      </c>
      <c r="Y488" s="177">
        <f>IF($S488 &gt; 0, 100 - $X488 - $Z488, 0)</f>
        <v>89.399999999999991</v>
      </c>
      <c r="Z488" s="188">
        <v>1.2</v>
      </c>
      <c r="AA488" s="185">
        <v>10</v>
      </c>
      <c r="AB488" s="177">
        <f t="shared" si="0"/>
        <v>41</v>
      </c>
      <c r="AC488" s="186">
        <v>49</v>
      </c>
      <c r="AD488" s="185">
        <v>0</v>
      </c>
      <c r="AE488" s="177">
        <f t="shared" si="1"/>
        <v>0</v>
      </c>
      <c r="AF488" s="186">
        <v>0</v>
      </c>
      <c r="AH488" s="176"/>
      <c r="AI488" s="176"/>
      <c r="AJ488" s="176"/>
      <c r="AN488" s="178"/>
      <c r="AO488" s="178"/>
      <c r="AP488" s="178"/>
      <c r="AQ488" s="178"/>
      <c r="AR488" s="178"/>
      <c r="AS488" s="178"/>
      <c r="AT488" s="178"/>
      <c r="AU488" s="178"/>
    </row>
    <row r="489" spans="1:47" s="172" customFormat="1" ht="12">
      <c r="A489" s="189" t="s">
        <v>1429</v>
      </c>
      <c r="B489" s="190" t="s">
        <v>1430</v>
      </c>
      <c r="C489" s="171"/>
      <c r="D489" s="171" t="s">
        <v>310</v>
      </c>
      <c r="E489" s="172" t="s">
        <v>311</v>
      </c>
      <c r="G489" s="172" t="s">
        <v>1354</v>
      </c>
      <c r="H489" s="172" t="s">
        <v>1418</v>
      </c>
      <c r="J489" s="172">
        <v>0</v>
      </c>
      <c r="K489" s="172">
        <v>45</v>
      </c>
      <c r="Q489" s="163" t="s">
        <v>1356</v>
      </c>
      <c r="R489" s="172">
        <v>0</v>
      </c>
      <c r="S489" s="174">
        <f t="shared" si="2"/>
        <v>69.099999999999994</v>
      </c>
      <c r="T489" s="172">
        <v>30.9</v>
      </c>
      <c r="U489" s="173">
        <v>0</v>
      </c>
      <c r="V489" s="184">
        <v>0</v>
      </c>
      <c r="W489" s="175">
        <f t="shared" si="3"/>
        <v>0</v>
      </c>
      <c r="X489" s="177">
        <v>9.4</v>
      </c>
      <c r="Y489" s="177">
        <f>IF($S489 &gt; 0, 100 - $X489 - $Z489, 0)</f>
        <v>89.399999999999991</v>
      </c>
      <c r="Z489" s="188">
        <v>1.2</v>
      </c>
      <c r="AA489" s="185">
        <v>10</v>
      </c>
      <c r="AB489" s="177">
        <f t="shared" si="0"/>
        <v>41</v>
      </c>
      <c r="AC489" s="186">
        <v>49</v>
      </c>
      <c r="AD489" s="185">
        <v>0</v>
      </c>
      <c r="AE489" s="177">
        <f t="shared" si="1"/>
        <v>0</v>
      </c>
      <c r="AF489" s="186">
        <v>0</v>
      </c>
      <c r="AH489" s="176"/>
      <c r="AI489" s="176"/>
      <c r="AJ489" s="176"/>
      <c r="AN489" s="178"/>
      <c r="AO489" s="178"/>
      <c r="AP489" s="178"/>
      <c r="AQ489" s="178"/>
      <c r="AR489" s="178"/>
      <c r="AS489" s="178"/>
      <c r="AT489" s="178"/>
      <c r="AU489" s="178"/>
    </row>
    <row r="490" spans="1:47" s="172" customFormat="1" ht="12">
      <c r="A490" s="189" t="s">
        <v>1431</v>
      </c>
      <c r="B490" s="190" t="s">
        <v>1432</v>
      </c>
      <c r="C490" s="171"/>
      <c r="D490" s="171" t="s">
        <v>310</v>
      </c>
      <c r="E490" s="172" t="s">
        <v>311</v>
      </c>
      <c r="G490" s="172" t="s">
        <v>1354</v>
      </c>
      <c r="H490" s="172" t="s">
        <v>1418</v>
      </c>
      <c r="J490" s="172">
        <v>0</v>
      </c>
      <c r="K490" s="172">
        <v>45</v>
      </c>
      <c r="Q490" s="163" t="s">
        <v>1356</v>
      </c>
      <c r="R490" s="172">
        <v>0</v>
      </c>
      <c r="S490" s="174">
        <f t="shared" si="2"/>
        <v>79.3</v>
      </c>
      <c r="T490" s="172">
        <v>20.7</v>
      </c>
      <c r="U490" s="173">
        <v>0</v>
      </c>
      <c r="V490" s="184">
        <v>0</v>
      </c>
      <c r="W490" s="175">
        <f t="shared" si="3"/>
        <v>0</v>
      </c>
      <c r="X490" s="177">
        <v>9.4</v>
      </c>
      <c r="Y490" s="177">
        <f>IF($S490 &gt; 0, 100 - $X490 - $Z490, 0)</f>
        <v>89.399999999999991</v>
      </c>
      <c r="Z490" s="188">
        <v>1.2</v>
      </c>
      <c r="AA490" s="185">
        <v>10</v>
      </c>
      <c r="AB490" s="177">
        <f t="shared" si="0"/>
        <v>41</v>
      </c>
      <c r="AC490" s="186">
        <v>49</v>
      </c>
      <c r="AD490" s="185">
        <v>0</v>
      </c>
      <c r="AE490" s="177">
        <f t="shared" si="1"/>
        <v>0</v>
      </c>
      <c r="AF490" s="186">
        <v>0</v>
      </c>
      <c r="AH490" s="176"/>
      <c r="AI490" s="176"/>
      <c r="AJ490" s="176"/>
      <c r="AN490" s="178"/>
      <c r="AO490" s="178"/>
      <c r="AP490" s="178"/>
      <c r="AQ490" s="178"/>
      <c r="AR490" s="178"/>
      <c r="AS490" s="178"/>
      <c r="AT490" s="178"/>
      <c r="AU490" s="178"/>
    </row>
    <row r="491" spans="1:47" s="172" customFormat="1" ht="12">
      <c r="A491" s="189" t="s">
        <v>1433</v>
      </c>
      <c r="B491" s="190" t="s">
        <v>1434</v>
      </c>
      <c r="C491" s="171"/>
      <c r="D491" s="171" t="s">
        <v>310</v>
      </c>
      <c r="E491" s="172" t="s">
        <v>311</v>
      </c>
      <c r="G491" s="172" t="s">
        <v>1354</v>
      </c>
      <c r="H491" s="172" t="s">
        <v>1418</v>
      </c>
      <c r="J491" s="172">
        <v>0</v>
      </c>
      <c r="K491" s="172">
        <v>45</v>
      </c>
      <c r="Q491" s="163" t="s">
        <v>1356</v>
      </c>
      <c r="R491" s="172">
        <v>0</v>
      </c>
      <c r="S491" s="174">
        <f t="shared" si="2"/>
        <v>89.6</v>
      </c>
      <c r="T491" s="172">
        <v>10.4</v>
      </c>
      <c r="U491" s="173">
        <v>0</v>
      </c>
      <c r="V491" s="184">
        <v>0</v>
      </c>
      <c r="W491" s="175">
        <f t="shared" si="3"/>
        <v>0</v>
      </c>
      <c r="X491" s="177">
        <v>9.4</v>
      </c>
      <c r="Y491" s="177">
        <f>IF($S491 &gt; 0, 100 - $X491 - $Z491, 0)</f>
        <v>89.399999999999991</v>
      </c>
      <c r="Z491" s="188">
        <v>1.2</v>
      </c>
      <c r="AA491" s="185">
        <v>10</v>
      </c>
      <c r="AB491" s="177">
        <f t="shared" si="0"/>
        <v>41</v>
      </c>
      <c r="AC491" s="186">
        <v>49</v>
      </c>
      <c r="AD491" s="185">
        <v>0</v>
      </c>
      <c r="AE491" s="177">
        <f t="shared" si="1"/>
        <v>0</v>
      </c>
      <c r="AF491" s="186">
        <v>0</v>
      </c>
      <c r="AH491" s="176"/>
      <c r="AI491" s="176"/>
      <c r="AJ491" s="176"/>
      <c r="AN491" s="178"/>
      <c r="AO491" s="178"/>
      <c r="AP491" s="178"/>
      <c r="AQ491" s="178"/>
      <c r="AR491" s="178"/>
      <c r="AS491" s="178"/>
      <c r="AT491" s="178"/>
      <c r="AU491" s="178"/>
    </row>
    <row r="492" spans="1:47" s="172" customFormat="1" ht="12">
      <c r="A492" s="189" t="s">
        <v>1435</v>
      </c>
      <c r="B492" s="190" t="s">
        <v>1436</v>
      </c>
      <c r="C492" s="171"/>
      <c r="D492" s="171" t="s">
        <v>310</v>
      </c>
      <c r="E492" s="172" t="s">
        <v>311</v>
      </c>
      <c r="G492" s="172" t="s">
        <v>414</v>
      </c>
      <c r="H492" s="172" t="s">
        <v>1021</v>
      </c>
      <c r="J492" s="172">
        <v>0</v>
      </c>
      <c r="K492" s="172">
        <v>45</v>
      </c>
      <c r="L492" s="172" t="s">
        <v>38</v>
      </c>
      <c r="M492" s="172" t="s">
        <v>11</v>
      </c>
      <c r="N492" s="172" t="s">
        <v>1437</v>
      </c>
      <c r="O492" s="172" t="s">
        <v>739</v>
      </c>
      <c r="P492" s="172">
        <v>420</v>
      </c>
      <c r="Q492" s="173" t="s">
        <v>744</v>
      </c>
      <c r="R492" s="172">
        <v>0</v>
      </c>
      <c r="S492" s="174">
        <f t="shared" si="2"/>
        <v>100</v>
      </c>
      <c r="T492" s="172">
        <v>0</v>
      </c>
      <c r="U492" s="173">
        <v>0</v>
      </c>
      <c r="V492" s="184">
        <v>0</v>
      </c>
      <c r="W492" s="175">
        <f t="shared" si="3"/>
        <v>0</v>
      </c>
      <c r="X492" s="177">
        <f>INDEX(Chemical_analyses!$A:$L, MATCH($P492, Chemical_analyses!$A:$A), 9)/$AI$1/(INDEX(Chemical_analyses!$A:$L, MATCH($P492, Chemical_analyses!$A:$A), 9)/$AI$1+INDEX(Chemical_analyses!$A:$L, MATCH($P492, Chemical_analyses!$A:$A), 11)/$AJ$1+INDEX(Chemical_analyses!$A:$L, MATCH($P492, Chemical_analyses!$A:$A), 12)/$AK$1)*100</f>
        <v>9.3707396423275604</v>
      </c>
      <c r="Y492" s="177">
        <f t="shared" ref="Y492:Y500" si="4">IF($S492 &gt; 0, 100 - $X492 - $Z492, 0)</f>
        <v>89.402293739394651</v>
      </c>
      <c r="Z492" s="188">
        <f>INDEX(Chemical_analyses!$A:$L, MATCH($P492, Chemical_analyses!$A:$A), 12)/$AK$1/(INDEX(Chemical_analyses!$A:$L, MATCH($P492, Chemical_analyses!$A:$A), 9)/$AI$1+INDEX(Chemical_analyses!$A:$L, MATCH($P492, Chemical_analyses!$A:$A), 11)/$AJ$1+INDEX(Chemical_analyses!$A:$L, MATCH($P492, Chemical_analyses!$A:$A), 12)/$AK$1)*100</f>
        <v>1.2269666182777907</v>
      </c>
      <c r="AA492" s="185">
        <v>0</v>
      </c>
      <c r="AB492" s="177">
        <f t="shared" si="0"/>
        <v>0</v>
      </c>
      <c r="AC492" s="186">
        <v>0</v>
      </c>
      <c r="AD492" s="185">
        <v>0</v>
      </c>
      <c r="AE492" s="177">
        <f t="shared" si="1"/>
        <v>0</v>
      </c>
      <c r="AF492" s="186">
        <v>0</v>
      </c>
      <c r="AH492" s="176" t="str">
        <f>_xlfn.CONCAT("FeO: ", INDEX(Chemical_analyses!$A:$M, MATCH($P492, Chemical_analyses!$A:$A), 9), ", MgO: ", INDEX(Chemical_analyses!$A:$M, MATCH($P492, Chemical_analyses!$A:$A), 11), ", CaO: ", INDEX(Chemical_analyses!$A:$M, MATCH($P492, Chemical_analyses!$A:$A), 12), ", MnO: ", INDEX(Chemical_analyses!$A:$M, MATCH($P492, Chemical_analyses!$A:$A), 10), ", NaO2: ", INDEX(Chemical_analyses!$A:$M, MATCH($P492, Chemical_analyses!$A:$A), 13), ", Fe2O3: ", INDEX(Chemical_analyses!$A:$M, MATCH($P492, Chemical_analyses!$A:$A), 8), ", Al2O3: ", INDEX(Chemical_analyses!$A:$M, MATCH($P492, Chemical_analyses!$A:$A), 6))</f>
        <v>FeO: 6.36, MgO: 34.04, CaO: 0.65, MnO: 0.17, NaO2: 0, Fe2O3: 0.83, Al2O3: 0.76</v>
      </c>
      <c r="AI492" s="176"/>
      <c r="AJ492" s="176"/>
      <c r="AN492" s="178"/>
      <c r="AO492" s="178"/>
      <c r="AP492" s="178"/>
      <c r="AQ492" s="178"/>
      <c r="AR492" s="178"/>
      <c r="AS492" s="178"/>
      <c r="AT492" s="178"/>
      <c r="AU492" s="178"/>
    </row>
    <row r="493" spans="1:47" s="162" customFormat="1" ht="12.75">
      <c r="A493" s="170" t="s">
        <v>1438</v>
      </c>
      <c r="B493" s="160" t="s">
        <v>1439</v>
      </c>
      <c r="C493" s="161"/>
      <c r="D493" s="171" t="s">
        <v>310</v>
      </c>
      <c r="E493" s="172" t="s">
        <v>311</v>
      </c>
      <c r="F493" s="172"/>
      <c r="G493" s="172" t="s">
        <v>1354</v>
      </c>
      <c r="H493" s="172" t="s">
        <v>1418</v>
      </c>
      <c r="I493" s="172"/>
      <c r="J493" s="162">
        <v>90</v>
      </c>
      <c r="K493" s="162">
        <v>180</v>
      </c>
      <c r="Q493" s="163" t="s">
        <v>1356</v>
      </c>
      <c r="R493" s="162">
        <v>0</v>
      </c>
      <c r="S493" s="174">
        <f t="shared" si="2"/>
        <v>18.299999999999997</v>
      </c>
      <c r="T493" s="162">
        <v>81.7</v>
      </c>
      <c r="U493" s="163">
        <v>0</v>
      </c>
      <c r="V493" s="184">
        <v>0</v>
      </c>
      <c r="W493" s="175">
        <f t="shared" si="3"/>
        <v>0</v>
      </c>
      <c r="X493" s="177">
        <v>41</v>
      </c>
      <c r="Y493" s="177">
        <f t="shared" si="4"/>
        <v>55</v>
      </c>
      <c r="Z493" s="188">
        <v>4</v>
      </c>
      <c r="AA493" s="185">
        <v>8</v>
      </c>
      <c r="AB493" s="177">
        <f t="shared" si="0"/>
        <v>48</v>
      </c>
      <c r="AC493" s="186">
        <v>44</v>
      </c>
      <c r="AD493" s="185">
        <v>0</v>
      </c>
      <c r="AE493" s="177">
        <f t="shared" si="1"/>
        <v>0</v>
      </c>
      <c r="AF493" s="186">
        <v>0</v>
      </c>
      <c r="AI493" s="166"/>
      <c r="AJ493" s="166"/>
      <c r="AN493" s="169"/>
      <c r="AO493" s="169"/>
      <c r="AP493" s="169"/>
      <c r="AQ493" s="169"/>
      <c r="AR493" s="169"/>
      <c r="AS493" s="169"/>
      <c r="AT493" s="169"/>
      <c r="AU493" s="169"/>
    </row>
    <row r="494" spans="1:47" s="162" customFormat="1" ht="12.75">
      <c r="A494" s="170" t="s">
        <v>1440</v>
      </c>
      <c r="B494" s="160" t="s">
        <v>1441</v>
      </c>
      <c r="C494" s="161"/>
      <c r="D494" s="171" t="s">
        <v>310</v>
      </c>
      <c r="E494" s="172" t="s">
        <v>311</v>
      </c>
      <c r="F494" s="172"/>
      <c r="G494" s="172" t="s">
        <v>1354</v>
      </c>
      <c r="H494" s="172" t="s">
        <v>1418</v>
      </c>
      <c r="I494" s="172"/>
      <c r="J494" s="162">
        <v>90</v>
      </c>
      <c r="K494" s="162">
        <v>180</v>
      </c>
      <c r="Q494" s="163" t="s">
        <v>1356</v>
      </c>
      <c r="R494" s="162">
        <v>0</v>
      </c>
      <c r="S494" s="174">
        <f t="shared" si="2"/>
        <v>37.4</v>
      </c>
      <c r="T494" s="162">
        <v>62.6</v>
      </c>
      <c r="U494" s="163">
        <v>0</v>
      </c>
      <c r="V494" s="184">
        <v>0</v>
      </c>
      <c r="W494" s="175">
        <f t="shared" si="3"/>
        <v>0</v>
      </c>
      <c r="X494" s="177">
        <v>41</v>
      </c>
      <c r="Y494" s="177">
        <f t="shared" si="4"/>
        <v>55</v>
      </c>
      <c r="Z494" s="188">
        <v>4</v>
      </c>
      <c r="AA494" s="185">
        <v>8</v>
      </c>
      <c r="AB494" s="177">
        <f t="shared" si="0"/>
        <v>48</v>
      </c>
      <c r="AC494" s="186">
        <v>44</v>
      </c>
      <c r="AD494" s="185">
        <v>0</v>
      </c>
      <c r="AE494" s="177">
        <f t="shared" si="1"/>
        <v>0</v>
      </c>
      <c r="AF494" s="186">
        <v>0</v>
      </c>
      <c r="AI494" s="166"/>
      <c r="AJ494" s="166"/>
      <c r="AN494" s="169"/>
      <c r="AO494" s="169"/>
      <c r="AP494" s="169"/>
      <c r="AQ494" s="169"/>
      <c r="AR494" s="169"/>
      <c r="AS494" s="169"/>
      <c r="AT494" s="169"/>
      <c r="AU494" s="169"/>
    </row>
    <row r="495" spans="1:47" s="162" customFormat="1" ht="12.75">
      <c r="A495" s="170" t="s">
        <v>1442</v>
      </c>
      <c r="B495" s="160" t="s">
        <v>1443</v>
      </c>
      <c r="C495" s="161"/>
      <c r="D495" s="171" t="s">
        <v>310</v>
      </c>
      <c r="E495" s="172" t="s">
        <v>311</v>
      </c>
      <c r="F495" s="172"/>
      <c r="G495" s="172" t="s">
        <v>1354</v>
      </c>
      <c r="H495" s="172" t="s">
        <v>1418</v>
      </c>
      <c r="I495" s="172"/>
      <c r="J495" s="162">
        <v>90</v>
      </c>
      <c r="K495" s="162">
        <v>180</v>
      </c>
      <c r="Q495" s="163" t="s">
        <v>1356</v>
      </c>
      <c r="R495" s="162">
        <v>0</v>
      </c>
      <c r="S495" s="174">
        <f t="shared" si="2"/>
        <v>57.3</v>
      </c>
      <c r="T495" s="162">
        <v>42.7</v>
      </c>
      <c r="U495" s="163">
        <v>0</v>
      </c>
      <c r="V495" s="184">
        <v>0</v>
      </c>
      <c r="W495" s="175">
        <f t="shared" si="3"/>
        <v>0</v>
      </c>
      <c r="X495" s="177">
        <v>41</v>
      </c>
      <c r="Y495" s="177">
        <f t="shared" si="4"/>
        <v>55</v>
      </c>
      <c r="Z495" s="188">
        <v>4</v>
      </c>
      <c r="AA495" s="185">
        <v>8</v>
      </c>
      <c r="AB495" s="177">
        <f t="shared" si="0"/>
        <v>48</v>
      </c>
      <c r="AC495" s="186">
        <v>44</v>
      </c>
      <c r="AD495" s="185">
        <v>0</v>
      </c>
      <c r="AE495" s="177">
        <f t="shared" si="1"/>
        <v>0</v>
      </c>
      <c r="AF495" s="186">
        <v>0</v>
      </c>
      <c r="AI495" s="166"/>
      <c r="AJ495" s="166"/>
      <c r="AN495" s="169"/>
      <c r="AO495" s="169"/>
      <c r="AP495" s="169"/>
      <c r="AQ495" s="169"/>
      <c r="AR495" s="169"/>
      <c r="AS495" s="169"/>
      <c r="AT495" s="169"/>
      <c r="AU495" s="169"/>
    </row>
    <row r="496" spans="1:47" s="162" customFormat="1" ht="12.75">
      <c r="A496" s="170" t="s">
        <v>1444</v>
      </c>
      <c r="B496" s="160" t="s">
        <v>1445</v>
      </c>
      <c r="C496" s="161"/>
      <c r="D496" s="171" t="s">
        <v>310</v>
      </c>
      <c r="E496" s="172" t="s">
        <v>311</v>
      </c>
      <c r="F496" s="172"/>
      <c r="G496" s="172" t="s">
        <v>1354</v>
      </c>
      <c r="H496" s="172" t="s">
        <v>1418</v>
      </c>
      <c r="I496" s="172"/>
      <c r="J496" s="162">
        <v>90</v>
      </c>
      <c r="K496" s="162">
        <v>180</v>
      </c>
      <c r="Q496" s="163" t="s">
        <v>1356</v>
      </c>
      <c r="R496" s="162">
        <v>0</v>
      </c>
      <c r="S496" s="174">
        <f t="shared" si="2"/>
        <v>78.2</v>
      </c>
      <c r="T496" s="162">
        <v>21.8</v>
      </c>
      <c r="U496" s="163">
        <v>0</v>
      </c>
      <c r="V496" s="184">
        <v>0</v>
      </c>
      <c r="W496" s="175">
        <f t="shared" si="3"/>
        <v>0</v>
      </c>
      <c r="X496" s="177">
        <v>41</v>
      </c>
      <c r="Y496" s="177">
        <f t="shared" si="4"/>
        <v>55</v>
      </c>
      <c r="Z496" s="188">
        <v>4</v>
      </c>
      <c r="AA496" s="185">
        <v>8</v>
      </c>
      <c r="AB496" s="177">
        <f t="shared" si="0"/>
        <v>48</v>
      </c>
      <c r="AC496" s="186">
        <v>44</v>
      </c>
      <c r="AD496" s="185">
        <v>0</v>
      </c>
      <c r="AE496" s="177">
        <f t="shared" si="1"/>
        <v>0</v>
      </c>
      <c r="AF496" s="186">
        <v>0</v>
      </c>
      <c r="AI496" s="166"/>
      <c r="AJ496" s="166"/>
      <c r="AN496" s="169"/>
      <c r="AO496" s="169"/>
      <c r="AP496" s="169"/>
      <c r="AQ496" s="169"/>
      <c r="AR496" s="169"/>
      <c r="AS496" s="169"/>
      <c r="AT496" s="169"/>
      <c r="AU496" s="169"/>
    </row>
    <row r="497" spans="1:47" s="162" customFormat="1" ht="12.75">
      <c r="A497" s="170" t="s">
        <v>1446</v>
      </c>
      <c r="B497" s="160" t="s">
        <v>1420</v>
      </c>
      <c r="C497" s="161"/>
      <c r="D497" s="171" t="s">
        <v>310</v>
      </c>
      <c r="E497" s="172" t="s">
        <v>311</v>
      </c>
      <c r="F497" s="172"/>
      <c r="G497" s="172" t="s">
        <v>1354</v>
      </c>
      <c r="H497" s="172" t="s">
        <v>1418</v>
      </c>
      <c r="J497" s="162">
        <v>90</v>
      </c>
      <c r="K497" s="162">
        <v>180</v>
      </c>
      <c r="Q497" s="163" t="s">
        <v>1356</v>
      </c>
      <c r="R497" s="162">
        <v>0</v>
      </c>
      <c r="S497" s="174">
        <f t="shared" si="2"/>
        <v>19.299999999999997</v>
      </c>
      <c r="T497" s="162">
        <v>80.7</v>
      </c>
      <c r="U497" s="163">
        <v>0</v>
      </c>
      <c r="V497" s="184">
        <v>0</v>
      </c>
      <c r="W497" s="175">
        <f t="shared" si="3"/>
        <v>0</v>
      </c>
      <c r="X497" s="177">
        <v>9.4</v>
      </c>
      <c r="Y497" s="177">
        <f t="shared" si="4"/>
        <v>89.399999999999991</v>
      </c>
      <c r="Z497" s="188">
        <v>1.2</v>
      </c>
      <c r="AA497" s="185">
        <v>10</v>
      </c>
      <c r="AB497" s="177">
        <f t="shared" si="0"/>
        <v>41</v>
      </c>
      <c r="AC497" s="186">
        <v>49</v>
      </c>
      <c r="AD497" s="185">
        <v>0</v>
      </c>
      <c r="AE497" s="177">
        <f t="shared" si="1"/>
        <v>0</v>
      </c>
      <c r="AF497" s="186">
        <v>0</v>
      </c>
      <c r="AI497" s="166"/>
      <c r="AJ497" s="166"/>
      <c r="AN497" s="169"/>
      <c r="AO497" s="169"/>
      <c r="AP497" s="169"/>
      <c r="AQ497" s="169"/>
      <c r="AR497" s="169"/>
      <c r="AS497" s="169"/>
      <c r="AT497" s="169"/>
      <c r="AU497" s="169"/>
    </row>
    <row r="498" spans="1:47" s="162" customFormat="1" ht="12.75">
      <c r="A498" s="170" t="s">
        <v>1447</v>
      </c>
      <c r="B498" s="160" t="s">
        <v>1448</v>
      </c>
      <c r="C498" s="161"/>
      <c r="D498" s="171" t="s">
        <v>310</v>
      </c>
      <c r="E498" s="172" t="s">
        <v>311</v>
      </c>
      <c r="F498" s="172"/>
      <c r="G498" s="172" t="s">
        <v>1354</v>
      </c>
      <c r="H498" s="172" t="s">
        <v>1418</v>
      </c>
      <c r="J498" s="162">
        <v>90</v>
      </c>
      <c r="K498" s="162">
        <v>180</v>
      </c>
      <c r="Q498" s="163" t="s">
        <v>1356</v>
      </c>
      <c r="R498" s="162">
        <v>0</v>
      </c>
      <c r="S498" s="174">
        <f t="shared" si="2"/>
        <v>39</v>
      </c>
      <c r="T498" s="162">
        <v>61</v>
      </c>
      <c r="U498" s="163">
        <v>0</v>
      </c>
      <c r="V498" s="184">
        <v>0</v>
      </c>
      <c r="W498" s="175">
        <f t="shared" si="3"/>
        <v>0</v>
      </c>
      <c r="X498" s="177">
        <v>9.4</v>
      </c>
      <c r="Y498" s="177">
        <f t="shared" si="4"/>
        <v>89.399999999999991</v>
      </c>
      <c r="Z498" s="188">
        <v>1.2</v>
      </c>
      <c r="AA498" s="185">
        <v>10</v>
      </c>
      <c r="AB498" s="177">
        <f t="shared" si="0"/>
        <v>41</v>
      </c>
      <c r="AC498" s="186">
        <v>49</v>
      </c>
      <c r="AD498" s="185">
        <v>0</v>
      </c>
      <c r="AE498" s="177">
        <f t="shared" si="1"/>
        <v>0</v>
      </c>
      <c r="AF498" s="186">
        <v>0</v>
      </c>
      <c r="AI498" s="166"/>
      <c r="AJ498" s="166"/>
      <c r="AN498" s="169"/>
      <c r="AO498" s="169"/>
      <c r="AP498" s="169"/>
      <c r="AQ498" s="169"/>
      <c r="AR498" s="169"/>
      <c r="AS498" s="169"/>
      <c r="AT498" s="169"/>
      <c r="AU498" s="169"/>
    </row>
    <row r="499" spans="1:47" s="162" customFormat="1" ht="12.75">
      <c r="A499" s="170" t="s">
        <v>1449</v>
      </c>
      <c r="B499" s="160" t="s">
        <v>1428</v>
      </c>
      <c r="C499" s="161"/>
      <c r="D499" s="171" t="s">
        <v>310</v>
      </c>
      <c r="E499" s="172" t="s">
        <v>311</v>
      </c>
      <c r="F499" s="172"/>
      <c r="G499" s="172" t="s">
        <v>1354</v>
      </c>
      <c r="H499" s="172" t="s">
        <v>1418</v>
      </c>
      <c r="J499" s="162">
        <v>90</v>
      </c>
      <c r="K499" s="162">
        <v>180</v>
      </c>
      <c r="Q499" s="163" t="s">
        <v>1356</v>
      </c>
      <c r="R499" s="162">
        <v>0</v>
      </c>
      <c r="S499" s="174">
        <f t="shared" si="2"/>
        <v>59</v>
      </c>
      <c r="T499" s="162">
        <v>41</v>
      </c>
      <c r="U499" s="163">
        <v>0</v>
      </c>
      <c r="V499" s="184">
        <v>0</v>
      </c>
      <c r="W499" s="175">
        <f t="shared" si="3"/>
        <v>0</v>
      </c>
      <c r="X499" s="177">
        <v>9.4</v>
      </c>
      <c r="Y499" s="177">
        <f t="shared" si="4"/>
        <v>89.399999999999991</v>
      </c>
      <c r="Z499" s="188">
        <v>1.2</v>
      </c>
      <c r="AA499" s="185">
        <v>10</v>
      </c>
      <c r="AB499" s="177">
        <f t="shared" si="0"/>
        <v>41</v>
      </c>
      <c r="AC499" s="186">
        <v>49</v>
      </c>
      <c r="AD499" s="185">
        <v>0</v>
      </c>
      <c r="AE499" s="177">
        <f t="shared" si="1"/>
        <v>0</v>
      </c>
      <c r="AF499" s="186">
        <v>0</v>
      </c>
      <c r="AI499" s="166"/>
      <c r="AJ499" s="166"/>
      <c r="AN499" s="169"/>
      <c r="AO499" s="169"/>
      <c r="AP499" s="169"/>
      <c r="AQ499" s="169"/>
      <c r="AR499" s="169"/>
      <c r="AS499" s="169"/>
      <c r="AT499" s="169"/>
      <c r="AU499" s="169"/>
    </row>
    <row r="500" spans="1:47" s="162" customFormat="1" ht="12.75">
      <c r="A500" s="170" t="s">
        <v>1450</v>
      </c>
      <c r="B500" s="160" t="s">
        <v>1432</v>
      </c>
      <c r="C500" s="161"/>
      <c r="D500" s="171" t="s">
        <v>310</v>
      </c>
      <c r="E500" s="172" t="s">
        <v>311</v>
      </c>
      <c r="F500" s="172"/>
      <c r="G500" s="172" t="s">
        <v>1354</v>
      </c>
      <c r="H500" s="172" t="s">
        <v>1418</v>
      </c>
      <c r="J500" s="162">
        <v>90</v>
      </c>
      <c r="K500" s="162">
        <v>180</v>
      </c>
      <c r="Q500" s="163" t="s">
        <v>1356</v>
      </c>
      <c r="R500" s="162">
        <v>0</v>
      </c>
      <c r="S500" s="174">
        <f t="shared" si="2"/>
        <v>79.3</v>
      </c>
      <c r="T500" s="162">
        <v>20.7</v>
      </c>
      <c r="U500" s="163">
        <v>0</v>
      </c>
      <c r="V500" s="184">
        <v>0</v>
      </c>
      <c r="W500" s="175">
        <f t="shared" si="3"/>
        <v>0</v>
      </c>
      <c r="X500" s="177">
        <v>9.4</v>
      </c>
      <c r="Y500" s="177">
        <f t="shared" si="4"/>
        <v>89.399999999999991</v>
      </c>
      <c r="Z500" s="188">
        <v>1.2</v>
      </c>
      <c r="AA500" s="185">
        <v>10</v>
      </c>
      <c r="AB500" s="177">
        <f t="shared" si="0"/>
        <v>41</v>
      </c>
      <c r="AC500" s="186">
        <v>49</v>
      </c>
      <c r="AD500" s="185">
        <v>0</v>
      </c>
      <c r="AE500" s="177">
        <f t="shared" si="1"/>
        <v>0</v>
      </c>
      <c r="AF500" s="186">
        <v>0</v>
      </c>
      <c r="AI500" s="166"/>
      <c r="AJ500" s="166"/>
      <c r="AN500" s="169"/>
      <c r="AO500" s="169"/>
      <c r="AP500" s="169"/>
      <c r="AQ500" s="169"/>
      <c r="AR500" s="169"/>
      <c r="AS500" s="169"/>
      <c r="AT500" s="169"/>
      <c r="AU500" s="169"/>
    </row>
    <row r="501" spans="1:47" s="162" customFormat="1" ht="12.75">
      <c r="A501" s="170" t="s">
        <v>1451</v>
      </c>
      <c r="B501" s="160" t="s">
        <v>1451</v>
      </c>
      <c r="C501" s="161"/>
      <c r="D501" s="161" t="s">
        <v>310</v>
      </c>
      <c r="E501" s="162" t="s">
        <v>311</v>
      </c>
      <c r="G501" s="162" t="s">
        <v>414</v>
      </c>
      <c r="H501" s="162" t="s">
        <v>691</v>
      </c>
      <c r="J501" s="162">
        <v>0</v>
      </c>
      <c r="K501" s="162">
        <v>45</v>
      </c>
      <c r="L501" s="162" t="s">
        <v>38</v>
      </c>
      <c r="M501" s="162" t="s">
        <v>11</v>
      </c>
      <c r="N501" s="162" t="s">
        <v>1452</v>
      </c>
      <c r="O501" s="162" t="s">
        <v>739</v>
      </c>
      <c r="P501" s="162">
        <v>398</v>
      </c>
      <c r="Q501" s="163" t="s">
        <v>1453</v>
      </c>
      <c r="R501" s="162">
        <v>0</v>
      </c>
      <c r="S501" s="162">
        <f>100 - R501 - U501 - T501</f>
        <v>0</v>
      </c>
      <c r="T501" s="162">
        <v>100</v>
      </c>
      <c r="U501" s="163">
        <v>0</v>
      </c>
      <c r="V501" s="180">
        <v>0</v>
      </c>
      <c r="W501" s="181">
        <f>IF($R501 &gt; 0, 100 - $V501, 0)</f>
        <v>0</v>
      </c>
      <c r="X501" s="182">
        <v>0</v>
      </c>
      <c r="Y501" s="182">
        <f>IF($S501 &gt; 0, 100 - $X501 - $Z501, 0)</f>
        <v>0</v>
      </c>
      <c r="Z501" s="183">
        <v>0</v>
      </c>
      <c r="AA501" s="167">
        <f>INDEX(Chemical_analyses!$A:$L, MATCH($P501, Chemical_analyses!$A:$A), 9)/$AI$1/(INDEX(Chemical_analyses!$A:$L, MATCH($P501, Chemical_analyses!$A:$A), 9)/$AI$1+INDEX(Chemical_analyses!$A:$L, MATCH($P501, Chemical_analyses!$A:$A), 11)/$AJ$1+INDEX(Chemical_analyses!$A:$L, MATCH($P501, Chemical_analyses!$A:$A), 12)/$AK$1)*100</f>
        <v>8.5306745418409342</v>
      </c>
      <c r="AB501" s="167">
        <f>IF($T501 &gt; 0, 100 - $AA501 - $AC501, 0)</f>
        <v>42.76590630679766</v>
      </c>
      <c r="AC501" s="187">
        <f>INDEX(Chemical_analyses!$A:$L, MATCH($P501, Chemical_analyses!$A:$A), 12)/$AK$1/(INDEX(Chemical_analyses!$A:$L, MATCH($P501, Chemical_analyses!$A:$A), 9)/$AI$1+INDEX(Chemical_analyses!$A:$L, MATCH($P501, Chemical_analyses!$A:$A), 11)/$AJ$1+INDEX(Chemical_analyses!$A:$L, MATCH($P501, Chemical_analyses!$A:$A), 12)/$AK$1)*100</f>
        <v>48.703419151361402</v>
      </c>
      <c r="AD501" s="182">
        <v>0</v>
      </c>
      <c r="AE501" s="182">
        <f>IF($U501 &gt; 0, 100 - $AD501 - $AF501, 0)</f>
        <v>0</v>
      </c>
      <c r="AF501" s="183">
        <v>0</v>
      </c>
      <c r="AH501" s="166" t="str">
        <f>_xlfn.CONCAT("FeO: ", INDEX(Chemical_analyses!$A:$M, MATCH($P501, Chemical_analyses!$A:$A), 9), ", MgO: ", INDEX(Chemical_analyses!$A:$M, MATCH($P501, Chemical_analyses!$A:$A), 11), ", CaO: ", INDEX(Chemical_analyses!$A:$M, MATCH($P501, Chemical_analyses!$A:$A), 12), ", MnO: ", INDEX(Chemical_analyses!$A:$M, MATCH($P501, Chemical_analyses!$A:$A), 10), ", NaO2: ", INDEX(Chemical_analyses!$A:$M, MATCH($P501, Chemical_analyses!$A:$A), 13), ", Fe2O3: ", INDEX(Chemical_analyses!$A:$M, MATCH($P501, Chemical_analyses!$A:$A), 8), ", Al2O3: ", INDEX(Chemical_analyses!$A:$M, MATCH($P501, Chemical_analyses!$A:$A), 6))</f>
        <v>FeO: 4.69, MgO: 13.19, CaO: 20.9, MnO: 0.11, NaO2: 0.63, Fe2O3: 2.77, Al2O3: 8.28</v>
      </c>
      <c r="AI501" s="166"/>
      <c r="AJ501" s="166"/>
      <c r="AN501" s="169"/>
      <c r="AO501" s="169"/>
      <c r="AP501" s="169"/>
      <c r="AQ501" s="169"/>
      <c r="AR501" s="169"/>
      <c r="AS501" s="169"/>
      <c r="AT501" s="169"/>
      <c r="AU501" s="169"/>
    </row>
    <row r="502" spans="1:47" s="162" customFormat="1" ht="12.75">
      <c r="A502" s="170" t="s">
        <v>1454</v>
      </c>
      <c r="B502" s="160" t="s">
        <v>1455</v>
      </c>
      <c r="C502" s="161"/>
      <c r="D502" s="171" t="s">
        <v>310</v>
      </c>
      <c r="E502" s="172" t="s">
        <v>311</v>
      </c>
      <c r="F502" s="172"/>
      <c r="G502" s="172" t="s">
        <v>1354</v>
      </c>
      <c r="H502" s="172" t="s">
        <v>1418</v>
      </c>
      <c r="J502" s="162">
        <v>45</v>
      </c>
      <c r="K502" s="162">
        <v>90</v>
      </c>
      <c r="Q502" s="163" t="s">
        <v>1356</v>
      </c>
      <c r="R502" s="162">
        <v>0</v>
      </c>
      <c r="S502" s="162">
        <f t="shared" ref="S502:S511" si="5">100 - R502 - U502 - T502</f>
        <v>72.8</v>
      </c>
      <c r="T502" s="162">
        <v>27.2</v>
      </c>
      <c r="U502" s="163">
        <v>0</v>
      </c>
      <c r="V502" s="180">
        <v>0</v>
      </c>
      <c r="W502" s="181">
        <f t="shared" ref="W502:W511" si="6">IF($R502 &gt; 0, 100 - $V502, 0)</f>
        <v>0</v>
      </c>
      <c r="X502" s="182">
        <v>41</v>
      </c>
      <c r="Y502" s="182">
        <f t="shared" ref="Y502:Y511" si="7">IF($S502 &gt; 0, 100 - $X502 - $Z502, 0)</f>
        <v>55</v>
      </c>
      <c r="Z502" s="183">
        <v>4</v>
      </c>
      <c r="AA502" s="167">
        <v>8.5</v>
      </c>
      <c r="AB502" s="167">
        <f t="shared" ref="AB502:AB512" si="8">IF($T502 &gt; 0, 100 - $AA502 - $AC502, 0)</f>
        <v>42.8</v>
      </c>
      <c r="AC502" s="187">
        <v>48.7</v>
      </c>
      <c r="AD502" s="182">
        <v>0</v>
      </c>
      <c r="AE502" s="182">
        <f t="shared" ref="AE502:AE512" si="9">IF($U502 &gt; 0, 100 - $AD502 - $AF502, 0)</f>
        <v>0</v>
      </c>
      <c r="AF502" s="183">
        <v>0</v>
      </c>
      <c r="AI502" s="166"/>
      <c r="AJ502" s="166"/>
      <c r="AN502" s="169"/>
      <c r="AO502" s="169"/>
      <c r="AP502" s="169"/>
      <c r="AQ502" s="169"/>
      <c r="AR502" s="169"/>
      <c r="AS502" s="169"/>
      <c r="AT502" s="169"/>
      <c r="AU502" s="169"/>
    </row>
    <row r="503" spans="1:47" s="162" customFormat="1" ht="12.75">
      <c r="A503" s="170" t="s">
        <v>1456</v>
      </c>
      <c r="B503" s="160" t="s">
        <v>1457</v>
      </c>
      <c r="C503" s="161"/>
      <c r="D503" s="171" t="s">
        <v>310</v>
      </c>
      <c r="E503" s="172" t="s">
        <v>311</v>
      </c>
      <c r="F503" s="172"/>
      <c r="G503" s="172" t="s">
        <v>1354</v>
      </c>
      <c r="H503" s="172" t="s">
        <v>1418</v>
      </c>
      <c r="J503" s="162">
        <v>45</v>
      </c>
      <c r="K503" s="162">
        <v>90</v>
      </c>
      <c r="Q503" s="163" t="s">
        <v>1356</v>
      </c>
      <c r="R503" s="162">
        <v>0</v>
      </c>
      <c r="S503" s="162">
        <f t="shared" si="5"/>
        <v>48.8</v>
      </c>
      <c r="T503" s="162">
        <v>51.2</v>
      </c>
      <c r="U503" s="163">
        <v>0</v>
      </c>
      <c r="V503" s="180">
        <v>0</v>
      </c>
      <c r="W503" s="181">
        <f t="shared" si="6"/>
        <v>0</v>
      </c>
      <c r="X503" s="182">
        <v>41</v>
      </c>
      <c r="Y503" s="182">
        <f t="shared" si="7"/>
        <v>55</v>
      </c>
      <c r="Z503" s="183">
        <v>4</v>
      </c>
      <c r="AA503" s="167">
        <v>8.5</v>
      </c>
      <c r="AB503" s="167">
        <f t="shared" si="8"/>
        <v>42.8</v>
      </c>
      <c r="AC503" s="187">
        <v>48.7</v>
      </c>
      <c r="AD503" s="182">
        <v>0</v>
      </c>
      <c r="AE503" s="182">
        <f t="shared" si="9"/>
        <v>0</v>
      </c>
      <c r="AF503" s="183">
        <v>0</v>
      </c>
      <c r="AI503" s="166"/>
      <c r="AJ503" s="166"/>
      <c r="AN503" s="169"/>
      <c r="AO503" s="169"/>
      <c r="AP503" s="169"/>
      <c r="AQ503" s="169"/>
      <c r="AR503" s="169"/>
      <c r="AS503" s="169"/>
      <c r="AT503" s="169"/>
      <c r="AU503" s="169"/>
    </row>
    <row r="504" spans="1:47" s="162" customFormat="1" ht="12.75">
      <c r="A504" s="170" t="s">
        <v>1458</v>
      </c>
      <c r="B504" s="160" t="s">
        <v>1459</v>
      </c>
      <c r="C504" s="161"/>
      <c r="D504" s="171" t="s">
        <v>310</v>
      </c>
      <c r="E504" s="172" t="s">
        <v>311</v>
      </c>
      <c r="F504" s="172"/>
      <c r="G504" s="172" t="s">
        <v>1354</v>
      </c>
      <c r="H504" s="172" t="s">
        <v>1418</v>
      </c>
      <c r="J504" s="162">
        <v>45</v>
      </c>
      <c r="K504" s="162">
        <v>90</v>
      </c>
      <c r="Q504" s="163" t="s">
        <v>1356</v>
      </c>
      <c r="R504" s="162">
        <v>0</v>
      </c>
      <c r="S504" s="162">
        <f t="shared" si="5"/>
        <v>24.099999999999994</v>
      </c>
      <c r="T504" s="162">
        <v>75.900000000000006</v>
      </c>
      <c r="U504" s="163">
        <v>0</v>
      </c>
      <c r="V504" s="180">
        <v>0</v>
      </c>
      <c r="W504" s="181">
        <f t="shared" si="6"/>
        <v>0</v>
      </c>
      <c r="X504" s="182">
        <v>41</v>
      </c>
      <c r="Y504" s="182">
        <f t="shared" si="7"/>
        <v>55</v>
      </c>
      <c r="Z504" s="183">
        <v>4</v>
      </c>
      <c r="AA504" s="167">
        <v>8.5</v>
      </c>
      <c r="AB504" s="167">
        <f t="shared" si="8"/>
        <v>42.8</v>
      </c>
      <c r="AC504" s="187">
        <v>48.7</v>
      </c>
      <c r="AD504" s="182">
        <v>0</v>
      </c>
      <c r="AE504" s="182">
        <f t="shared" si="9"/>
        <v>0</v>
      </c>
      <c r="AF504" s="183">
        <v>0</v>
      </c>
      <c r="AI504" s="166"/>
      <c r="AJ504" s="166"/>
      <c r="AN504" s="169"/>
      <c r="AO504" s="169"/>
      <c r="AP504" s="169"/>
      <c r="AQ504" s="169"/>
      <c r="AR504" s="169"/>
      <c r="AS504" s="169"/>
      <c r="AT504" s="169"/>
      <c r="AU504" s="169"/>
    </row>
    <row r="505" spans="1:47" s="193" customFormat="1" ht="12">
      <c r="A505" s="193" t="s">
        <v>1460</v>
      </c>
      <c r="B505" s="194" t="s">
        <v>1461</v>
      </c>
      <c r="C505" s="195"/>
      <c r="D505" s="206" t="s">
        <v>310</v>
      </c>
      <c r="E505" s="207" t="s">
        <v>311</v>
      </c>
      <c r="F505" s="207"/>
      <c r="G505" s="207" t="s">
        <v>1354</v>
      </c>
      <c r="H505" s="193" t="s">
        <v>1355</v>
      </c>
      <c r="J505" s="193">
        <v>106</v>
      </c>
      <c r="K505" s="193">
        <v>250</v>
      </c>
      <c r="Q505" s="196" t="s">
        <v>1356</v>
      </c>
      <c r="R505" s="193">
        <v>100</v>
      </c>
      <c r="S505" s="193">
        <f t="shared" si="5"/>
        <v>0</v>
      </c>
      <c r="T505" s="193">
        <v>0</v>
      </c>
      <c r="U505" s="196">
        <v>0</v>
      </c>
      <c r="V505" s="197">
        <v>10</v>
      </c>
      <c r="W505" s="198">
        <f t="shared" si="6"/>
        <v>90</v>
      </c>
      <c r="X505" s="199">
        <v>0</v>
      </c>
      <c r="Y505" s="199">
        <f t="shared" si="7"/>
        <v>0</v>
      </c>
      <c r="Z505" s="200">
        <v>0</v>
      </c>
      <c r="AA505" s="201">
        <v>0</v>
      </c>
      <c r="AB505" s="201">
        <f t="shared" si="8"/>
        <v>0</v>
      </c>
      <c r="AC505" s="202">
        <v>0</v>
      </c>
      <c r="AD505" s="199">
        <v>0</v>
      </c>
      <c r="AE505" s="199">
        <f t="shared" si="9"/>
        <v>0</v>
      </c>
      <c r="AF505" s="200">
        <v>0</v>
      </c>
      <c r="AH505" s="203"/>
      <c r="AI505" s="203"/>
      <c r="AJ505" s="203"/>
      <c r="AN505" s="204"/>
      <c r="AO505" s="204"/>
      <c r="AP505" s="204"/>
      <c r="AQ505" s="204"/>
      <c r="AR505" s="204"/>
      <c r="AS505" s="204"/>
      <c r="AT505" s="204"/>
      <c r="AU505" s="204"/>
    </row>
    <row r="506" spans="1:47" s="193" customFormat="1" ht="12">
      <c r="A506" s="193" t="s">
        <v>1462</v>
      </c>
      <c r="B506" s="194" t="s">
        <v>1463</v>
      </c>
      <c r="C506" s="195"/>
      <c r="D506" s="206" t="s">
        <v>310</v>
      </c>
      <c r="E506" s="207" t="s">
        <v>311</v>
      </c>
      <c r="F506" s="207"/>
      <c r="G506" s="207" t="s">
        <v>1354</v>
      </c>
      <c r="H506" s="193" t="s">
        <v>1355</v>
      </c>
      <c r="J506" s="193">
        <v>106</v>
      </c>
      <c r="K506" s="193">
        <v>250</v>
      </c>
      <c r="Q506" s="196" t="s">
        <v>1356</v>
      </c>
      <c r="R506" s="193">
        <v>90.1</v>
      </c>
      <c r="S506" s="193">
        <f t="shared" si="5"/>
        <v>9.9000000000000057</v>
      </c>
      <c r="T506" s="193">
        <v>0</v>
      </c>
      <c r="U506" s="196">
        <v>0</v>
      </c>
      <c r="V506" s="193">
        <v>10</v>
      </c>
      <c r="W506" s="198">
        <f t="shared" si="6"/>
        <v>90</v>
      </c>
      <c r="X506" s="203">
        <v>33</v>
      </c>
      <c r="Y506" s="199">
        <f t="shared" si="7"/>
        <v>67</v>
      </c>
      <c r="Z506" s="205">
        <v>0</v>
      </c>
      <c r="AA506" s="201">
        <v>0</v>
      </c>
      <c r="AB506" s="201">
        <f t="shared" si="8"/>
        <v>0</v>
      </c>
      <c r="AC506" s="202">
        <v>0</v>
      </c>
      <c r="AD506" s="199">
        <v>0</v>
      </c>
      <c r="AE506" s="199">
        <f t="shared" si="9"/>
        <v>0</v>
      </c>
      <c r="AF506" s="200">
        <v>0</v>
      </c>
      <c r="AI506" s="203"/>
      <c r="AJ506" s="203"/>
      <c r="AN506" s="204"/>
      <c r="AO506" s="204"/>
      <c r="AP506" s="204"/>
      <c r="AQ506" s="204"/>
      <c r="AR506" s="204"/>
      <c r="AS506" s="204"/>
      <c r="AT506" s="204"/>
      <c r="AU506" s="204"/>
    </row>
    <row r="507" spans="1:47" s="193" customFormat="1" ht="12">
      <c r="A507" s="193" t="s">
        <v>1464</v>
      </c>
      <c r="B507" s="194" t="s">
        <v>1465</v>
      </c>
      <c r="C507" s="195"/>
      <c r="D507" s="206" t="s">
        <v>310</v>
      </c>
      <c r="E507" s="207" t="s">
        <v>311</v>
      </c>
      <c r="F507" s="207"/>
      <c r="G507" s="207" t="s">
        <v>1354</v>
      </c>
      <c r="H507" s="193" t="s">
        <v>1355</v>
      </c>
      <c r="J507" s="193">
        <v>106</v>
      </c>
      <c r="K507" s="193">
        <v>250</v>
      </c>
      <c r="Q507" s="196" t="s">
        <v>1356</v>
      </c>
      <c r="R507" s="193">
        <v>75.3</v>
      </c>
      <c r="S507" s="193">
        <f t="shared" si="5"/>
        <v>24.700000000000003</v>
      </c>
      <c r="T507" s="193">
        <v>0</v>
      </c>
      <c r="U507" s="196">
        <v>0</v>
      </c>
      <c r="V507" s="193">
        <v>10</v>
      </c>
      <c r="W507" s="198">
        <f t="shared" si="6"/>
        <v>90</v>
      </c>
      <c r="X507" s="203">
        <v>33</v>
      </c>
      <c r="Y507" s="199">
        <f t="shared" si="7"/>
        <v>67</v>
      </c>
      <c r="Z507" s="205">
        <v>0</v>
      </c>
      <c r="AA507" s="201">
        <v>0</v>
      </c>
      <c r="AB507" s="201">
        <f t="shared" si="8"/>
        <v>0</v>
      </c>
      <c r="AC507" s="202">
        <v>0</v>
      </c>
      <c r="AD507" s="199">
        <v>0</v>
      </c>
      <c r="AE507" s="199">
        <f t="shared" si="9"/>
        <v>0</v>
      </c>
      <c r="AF507" s="200">
        <v>0</v>
      </c>
      <c r="AI507" s="203"/>
      <c r="AJ507" s="203"/>
      <c r="AN507" s="204"/>
      <c r="AO507" s="204"/>
      <c r="AP507" s="204"/>
      <c r="AQ507" s="204"/>
      <c r="AR507" s="204"/>
      <c r="AS507" s="204"/>
      <c r="AT507" s="204"/>
      <c r="AU507" s="204"/>
    </row>
    <row r="508" spans="1:47" s="193" customFormat="1" ht="12">
      <c r="A508" s="193" t="s">
        <v>1466</v>
      </c>
      <c r="B508" s="194" t="s">
        <v>1467</v>
      </c>
      <c r="C508" s="195"/>
      <c r="D508" s="206" t="s">
        <v>310</v>
      </c>
      <c r="E508" s="207" t="s">
        <v>311</v>
      </c>
      <c r="F508" s="207"/>
      <c r="G508" s="207" t="s">
        <v>1354</v>
      </c>
      <c r="H508" s="193" t="s">
        <v>1355</v>
      </c>
      <c r="J508" s="193">
        <v>106</v>
      </c>
      <c r="K508" s="193">
        <v>250</v>
      </c>
      <c r="Q508" s="196" t="s">
        <v>1356</v>
      </c>
      <c r="R508" s="193">
        <v>50.4</v>
      </c>
      <c r="S508" s="193">
        <f t="shared" si="5"/>
        <v>49.6</v>
      </c>
      <c r="T508" s="193">
        <v>0</v>
      </c>
      <c r="U508" s="196">
        <v>0</v>
      </c>
      <c r="V508" s="193">
        <v>10</v>
      </c>
      <c r="W508" s="198">
        <f t="shared" si="6"/>
        <v>90</v>
      </c>
      <c r="X508" s="203">
        <v>33</v>
      </c>
      <c r="Y508" s="199">
        <f t="shared" si="7"/>
        <v>67</v>
      </c>
      <c r="Z508" s="205">
        <v>0</v>
      </c>
      <c r="AA508" s="201">
        <v>0</v>
      </c>
      <c r="AB508" s="201">
        <f t="shared" si="8"/>
        <v>0</v>
      </c>
      <c r="AC508" s="202">
        <v>0</v>
      </c>
      <c r="AD508" s="199">
        <v>0</v>
      </c>
      <c r="AE508" s="199">
        <f t="shared" si="9"/>
        <v>0</v>
      </c>
      <c r="AF508" s="200">
        <v>0</v>
      </c>
      <c r="AI508" s="203"/>
      <c r="AJ508" s="203"/>
      <c r="AN508" s="204"/>
      <c r="AO508" s="204"/>
      <c r="AP508" s="204"/>
      <c r="AQ508" s="204"/>
      <c r="AR508" s="204"/>
      <c r="AS508" s="204"/>
      <c r="AT508" s="204"/>
      <c r="AU508" s="204"/>
    </row>
    <row r="509" spans="1:47" s="193" customFormat="1" ht="12">
      <c r="A509" s="193" t="s">
        <v>1468</v>
      </c>
      <c r="B509" s="194" t="s">
        <v>1469</v>
      </c>
      <c r="C509" s="195"/>
      <c r="D509" s="206" t="s">
        <v>310</v>
      </c>
      <c r="E509" s="207" t="s">
        <v>311</v>
      </c>
      <c r="F509" s="207"/>
      <c r="G509" s="207" t="s">
        <v>1354</v>
      </c>
      <c r="H509" s="193" t="s">
        <v>1355</v>
      </c>
      <c r="J509" s="193">
        <v>106</v>
      </c>
      <c r="K509" s="193">
        <v>250</v>
      </c>
      <c r="Q509" s="196" t="s">
        <v>1356</v>
      </c>
      <c r="R509" s="193">
        <v>25.3</v>
      </c>
      <c r="S509" s="193">
        <f t="shared" si="5"/>
        <v>74.7</v>
      </c>
      <c r="T509" s="193">
        <v>0</v>
      </c>
      <c r="U509" s="196">
        <v>0</v>
      </c>
      <c r="V509" s="193">
        <v>10</v>
      </c>
      <c r="W509" s="198">
        <f t="shared" si="6"/>
        <v>90</v>
      </c>
      <c r="X509" s="203">
        <v>33</v>
      </c>
      <c r="Y509" s="199">
        <f t="shared" si="7"/>
        <v>67</v>
      </c>
      <c r="Z509" s="205">
        <v>0</v>
      </c>
      <c r="AA509" s="201">
        <v>0</v>
      </c>
      <c r="AB509" s="201">
        <f t="shared" si="8"/>
        <v>0</v>
      </c>
      <c r="AC509" s="202">
        <v>0</v>
      </c>
      <c r="AD509" s="199">
        <v>0</v>
      </c>
      <c r="AE509" s="199">
        <f t="shared" si="9"/>
        <v>0</v>
      </c>
      <c r="AF509" s="200">
        <v>0</v>
      </c>
      <c r="AI509" s="203"/>
      <c r="AJ509" s="203"/>
      <c r="AN509" s="204"/>
      <c r="AO509" s="204"/>
      <c r="AP509" s="204"/>
      <c r="AQ509" s="204"/>
      <c r="AR509" s="204"/>
      <c r="AS509" s="204"/>
      <c r="AT509" s="204"/>
      <c r="AU509" s="204"/>
    </row>
    <row r="510" spans="1:47" s="193" customFormat="1" ht="12">
      <c r="A510" s="193" t="s">
        <v>1470</v>
      </c>
      <c r="B510" s="194" t="s">
        <v>1471</v>
      </c>
      <c r="C510" s="195"/>
      <c r="D510" s="206" t="s">
        <v>310</v>
      </c>
      <c r="E510" s="207" t="s">
        <v>311</v>
      </c>
      <c r="F510" s="207"/>
      <c r="G510" s="207" t="s">
        <v>1354</v>
      </c>
      <c r="H510" s="193" t="s">
        <v>1355</v>
      </c>
      <c r="J510" s="193">
        <v>106</v>
      </c>
      <c r="K510" s="193">
        <v>250</v>
      </c>
      <c r="Q510" s="196" t="s">
        <v>1356</v>
      </c>
      <c r="R510" s="193">
        <v>10.1</v>
      </c>
      <c r="S510" s="193">
        <f t="shared" si="5"/>
        <v>89.9</v>
      </c>
      <c r="T510" s="193">
        <v>0</v>
      </c>
      <c r="U510" s="196">
        <v>0</v>
      </c>
      <c r="V510" s="193">
        <v>10</v>
      </c>
      <c r="W510" s="198">
        <f t="shared" si="6"/>
        <v>90</v>
      </c>
      <c r="X510" s="203">
        <v>33</v>
      </c>
      <c r="Y510" s="199">
        <f t="shared" si="7"/>
        <v>67</v>
      </c>
      <c r="Z510" s="205">
        <v>0</v>
      </c>
      <c r="AA510" s="201">
        <v>0</v>
      </c>
      <c r="AB510" s="201">
        <f t="shared" si="8"/>
        <v>0</v>
      </c>
      <c r="AC510" s="202">
        <v>0</v>
      </c>
      <c r="AD510" s="199">
        <v>0</v>
      </c>
      <c r="AE510" s="199">
        <f t="shared" si="9"/>
        <v>0</v>
      </c>
      <c r="AF510" s="200">
        <v>0</v>
      </c>
      <c r="AI510" s="203"/>
      <c r="AJ510" s="203"/>
      <c r="AN510" s="204"/>
      <c r="AO510" s="204"/>
      <c r="AP510" s="204"/>
      <c r="AQ510" s="204"/>
      <c r="AR510" s="204"/>
      <c r="AS510" s="204"/>
      <c r="AT510" s="204"/>
      <c r="AU510" s="204"/>
    </row>
    <row r="511" spans="1:47" s="193" customFormat="1" ht="12">
      <c r="A511" s="193" t="s">
        <v>1472</v>
      </c>
      <c r="B511" s="194" t="s">
        <v>1473</v>
      </c>
      <c r="C511" s="195"/>
      <c r="D511" s="206" t="s">
        <v>310</v>
      </c>
      <c r="E511" s="207" t="s">
        <v>311</v>
      </c>
      <c r="F511" s="207"/>
      <c r="G511" s="207" t="s">
        <v>1354</v>
      </c>
      <c r="H511" s="193" t="s">
        <v>1355</v>
      </c>
      <c r="J511" s="193">
        <v>106</v>
      </c>
      <c r="K511" s="193">
        <v>250</v>
      </c>
      <c r="Q511" s="196" t="s">
        <v>1356</v>
      </c>
      <c r="R511" s="193">
        <v>0</v>
      </c>
      <c r="S511" s="193">
        <f t="shared" si="5"/>
        <v>100</v>
      </c>
      <c r="T511" s="193">
        <v>0</v>
      </c>
      <c r="U511" s="196">
        <v>0</v>
      </c>
      <c r="V511" s="193">
        <v>0</v>
      </c>
      <c r="W511" s="198">
        <f t="shared" si="6"/>
        <v>0</v>
      </c>
      <c r="X511" s="203">
        <v>33</v>
      </c>
      <c r="Y511" s="199">
        <f t="shared" si="7"/>
        <v>67</v>
      </c>
      <c r="Z511" s="205">
        <v>0</v>
      </c>
      <c r="AA511" s="201">
        <v>0</v>
      </c>
      <c r="AB511" s="201">
        <f t="shared" si="8"/>
        <v>0</v>
      </c>
      <c r="AC511" s="202">
        <v>0</v>
      </c>
      <c r="AD511" s="199">
        <v>0</v>
      </c>
      <c r="AE511" s="199">
        <f t="shared" si="9"/>
        <v>0</v>
      </c>
      <c r="AF511" s="200">
        <v>0</v>
      </c>
      <c r="AI511" s="203"/>
      <c r="AJ511" s="203"/>
      <c r="AN511" s="204"/>
      <c r="AO511" s="204"/>
      <c r="AP511" s="204"/>
      <c r="AQ511" s="204"/>
      <c r="AR511" s="204"/>
      <c r="AS511" s="204"/>
      <c r="AT511" s="204"/>
      <c r="AU511" s="204"/>
    </row>
    <row r="512" spans="1:47">
      <c r="AA512" s="101"/>
      <c r="AB512" s="101"/>
      <c r="AC512" s="102"/>
      <c r="AD512" s="191"/>
      <c r="AE512" s="191"/>
      <c r="AF512" s="192"/>
    </row>
    <row r="524" ht="12"/>
    <row r="525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90" ht="12"/>
    <row r="724" ht="12"/>
    <row r="731" ht="12"/>
    <row r="732" ht="12"/>
    <row r="733" ht="12"/>
    <row r="926" ht="12"/>
    <row r="1135" ht="12"/>
    <row r="1153" ht="12"/>
    <row r="1186" ht="12"/>
    <row r="1188" ht="12"/>
    <row r="1189" ht="12"/>
    <row r="1190" ht="12"/>
    <row r="1192" ht="12"/>
    <row r="1193" ht="12"/>
    <row r="1194" ht="12"/>
    <row r="1195" ht="12"/>
    <row r="1196" ht="12"/>
    <row r="1263" ht="12"/>
    <row r="1270" ht="12"/>
    <row r="1271" ht="12"/>
    <row r="1272" ht="12"/>
    <row r="1279" ht="12"/>
    <row r="1280" ht="12"/>
    <row r="1281" ht="12"/>
    <row r="1283" ht="12"/>
    <row r="1284" ht="12"/>
    <row r="1285" ht="12"/>
    <row r="1286" ht="12"/>
    <row r="1287" ht="12"/>
    <row r="1288" ht="12"/>
    <row r="1289" ht="12"/>
    <row r="1290" ht="12"/>
    <row r="1291" ht="12"/>
    <row r="1292" ht="12"/>
    <row r="1293" ht="12"/>
    <row r="1294" ht="12"/>
    <row r="1303" ht="12"/>
    <row r="1304" ht="12"/>
    <row r="1306" ht="12"/>
    <row r="1307" ht="12"/>
    <row r="1308" ht="12"/>
    <row r="1309" ht="12"/>
    <row r="1310" ht="12"/>
    <row r="1311" ht="12"/>
    <row r="1337" ht="12"/>
    <row r="1363" ht="12"/>
    <row r="1364" ht="12"/>
    <row r="1367" ht="12"/>
    <row r="1368" ht="12"/>
    <row r="1371" ht="12"/>
    <row r="1374" ht="12"/>
    <row r="1422" ht="12"/>
    <row r="1425" ht="12"/>
    <row r="1426" ht="12"/>
    <row r="1509" ht="12"/>
    <row r="1510" ht="12"/>
    <row r="1512" ht="12"/>
    <row r="1513" ht="12"/>
    <row r="1514" ht="12"/>
    <row r="1515" ht="12"/>
    <row r="1516" ht="12"/>
    <row r="1517" ht="12"/>
    <row r="1518" ht="12"/>
    <row r="1519" ht="12"/>
    <row r="1520" ht="12"/>
    <row r="1521" ht="12"/>
    <row r="1522" ht="12"/>
    <row r="1523" ht="12"/>
    <row r="1524" ht="12"/>
    <row r="1525" ht="12"/>
    <row r="1526" ht="12"/>
    <row r="1527" ht="12"/>
    <row r="1528" ht="12"/>
    <row r="1529" ht="12"/>
    <row r="1530" ht="12"/>
    <row r="1531" ht="12"/>
    <row r="1532" ht="12"/>
    <row r="1533" ht="12"/>
    <row r="1534" ht="12"/>
    <row r="1535" ht="12"/>
    <row r="1536" ht="12"/>
    <row r="1537" ht="12"/>
    <row r="1538" ht="12"/>
    <row r="1539" ht="12"/>
    <row r="1540" ht="12"/>
    <row r="1541" ht="12"/>
    <row r="1542" ht="12"/>
    <row r="1543" ht="12"/>
    <row r="1544" ht="12"/>
    <row r="1545" ht="12"/>
    <row r="1546" ht="12"/>
    <row r="1547" ht="12"/>
    <row r="1548" ht="12"/>
    <row r="1549" ht="12"/>
    <row r="1550" ht="12"/>
    <row r="1551" ht="12"/>
    <row r="1552" ht="12"/>
    <row r="1553" ht="12"/>
    <row r="1554" ht="12"/>
    <row r="1555" ht="12"/>
    <row r="1556" ht="12"/>
    <row r="1557" ht="12"/>
    <row r="1558" ht="12"/>
    <row r="1559" ht="12"/>
    <row r="1560" ht="12"/>
    <row r="1570" ht="12"/>
    <row r="1604" ht="12"/>
    <row r="1606" ht="12"/>
    <row r="1607" ht="12"/>
    <row r="1608" ht="12"/>
    <row r="1609" ht="12"/>
    <row r="1610" ht="12"/>
    <row r="1611" ht="12"/>
    <row r="1612" ht="12"/>
    <row r="1708" ht="12"/>
    <row r="1747" ht="12"/>
    <row r="1801" ht="12"/>
    <row r="1814" ht="12"/>
    <row r="1815" ht="12"/>
    <row r="1816" ht="12"/>
    <row r="1824" ht="12"/>
    <row r="1825" ht="12"/>
    <row r="1828" ht="12"/>
    <row r="1833" ht="12"/>
    <row r="1835" ht="12"/>
    <row r="1836" ht="12"/>
    <row r="1839" ht="12"/>
    <row r="1840" ht="12"/>
    <row r="1847" ht="12"/>
    <row r="1852" ht="12"/>
    <row r="1853" ht="12"/>
    <row r="1860" ht="12"/>
    <row r="1861" ht="12"/>
    <row r="1866" ht="12"/>
    <row r="1871" ht="12"/>
    <row r="1894" ht="12"/>
    <row r="1895" ht="12"/>
    <row r="1923" ht="12"/>
    <row r="1938" ht="12"/>
    <row r="1952" ht="12"/>
    <row r="1958" ht="12"/>
    <row r="1986" ht="12"/>
    <row r="1987" ht="12"/>
    <row r="1988" ht="12"/>
    <row r="1989" ht="12"/>
    <row r="1990" ht="12"/>
    <row r="1991" ht="12"/>
    <row r="1992" ht="12"/>
    <row r="2011" ht="12"/>
    <row r="2012" ht="12"/>
    <row r="2013" ht="12"/>
    <row r="2014" ht="12"/>
    <row r="2015" ht="12"/>
    <row r="2016" ht="12"/>
    <row r="2049" ht="12"/>
    <row r="2050" ht="12"/>
    <row r="2051" ht="12"/>
    <row r="2052" ht="12"/>
    <row r="2053" ht="12"/>
    <row r="2054" ht="12"/>
    <row r="2055" ht="12"/>
    <row r="2056" ht="12"/>
    <row r="2057" ht="12"/>
    <row r="2058" ht="12"/>
    <row r="2060" ht="12"/>
    <row r="2061" ht="12"/>
    <row r="2062" ht="12"/>
    <row r="2063" ht="12"/>
    <row r="2064" ht="12"/>
    <row r="2065" ht="12"/>
    <row r="2072" ht="12"/>
    <row r="2073" ht="12"/>
    <row r="2074" ht="12"/>
    <row r="2075" ht="12"/>
    <row r="2076" ht="12"/>
    <row r="2077" ht="12"/>
    <row r="2114" ht="12"/>
    <row r="2127" ht="12"/>
    <row r="2128" ht="12"/>
    <row r="2129" ht="12"/>
    <row r="2130" ht="12"/>
    <row r="2131" ht="12"/>
    <row r="2141" ht="12"/>
    <row r="2142" ht="12"/>
    <row r="2143" ht="12"/>
    <row r="2144" ht="12"/>
    <row r="2145" ht="12"/>
    <row r="2150" ht="12"/>
    <row r="2151" ht="12"/>
    <row r="2152" ht="12"/>
    <row r="2153" ht="12"/>
    <row r="2154" ht="12"/>
    <row r="2155" ht="12"/>
    <row r="2156" ht="12"/>
    <row r="2158" ht="12"/>
    <row r="2165" ht="12"/>
    <row r="2166" ht="12"/>
    <row r="2167" ht="12"/>
    <row r="2168" ht="12"/>
    <row r="2169" ht="12"/>
    <row r="2170" ht="12"/>
    <row r="2171" ht="12"/>
    <row r="2204" ht="12"/>
    <row r="2205" ht="12"/>
    <row r="2208" ht="12"/>
    <row r="2210" ht="12"/>
    <row r="2211" ht="12"/>
    <row r="2212" ht="12"/>
    <row r="2213" ht="12"/>
    <row r="2214" ht="12"/>
    <row r="2215" ht="12"/>
    <row r="2216" ht="12"/>
    <row r="2217" ht="12"/>
    <row r="2218" ht="12"/>
    <row r="2219" ht="12"/>
    <row r="2220" ht="12"/>
    <row r="2221" ht="12"/>
    <row r="2222" ht="12"/>
    <row r="2226" ht="12"/>
    <row r="2227" ht="12"/>
    <row r="2228" ht="12"/>
    <row r="2229" ht="12"/>
    <row r="2230" ht="12"/>
    <row r="2231" ht="12"/>
    <row r="2232" ht="12"/>
    <row r="2233" ht="12"/>
    <row r="2234" ht="12"/>
    <row r="2235" ht="12"/>
    <row r="2236" ht="12"/>
    <row r="2237" ht="12"/>
    <row r="2238" ht="12"/>
    <row r="2239" ht="12"/>
    <row r="2240" ht="12"/>
    <row r="2241" ht="12"/>
    <row r="2242" ht="12"/>
    <row r="2243" ht="12"/>
    <row r="2244" ht="12"/>
    <row r="2245" ht="12"/>
    <row r="2246" ht="12"/>
    <row r="2247" ht="12"/>
    <row r="2248" ht="12"/>
    <row r="2249" ht="12"/>
    <row r="2250" ht="12"/>
    <row r="2251" ht="12"/>
    <row r="2252" ht="12"/>
    <row r="2253" ht="12"/>
    <row r="2254" ht="12"/>
    <row r="2255" ht="12"/>
    <row r="2256" ht="12"/>
    <row r="2257" ht="12"/>
    <row r="2258" ht="12"/>
    <row r="2259" ht="12"/>
    <row r="2260" ht="12"/>
    <row r="2261" ht="12"/>
    <row r="2262" ht="12"/>
    <row r="2263" ht="12"/>
    <row r="2264" ht="12"/>
    <row r="2265" ht="12"/>
    <row r="2266" ht="12"/>
    <row r="2267" ht="12"/>
    <row r="2268" ht="12"/>
    <row r="2269" ht="12"/>
    <row r="2270" ht="12"/>
    <row r="2271" ht="12"/>
    <row r="2272" ht="12"/>
    <row r="2273" ht="12"/>
    <row r="2274" ht="12"/>
    <row r="2275" ht="12"/>
    <row r="2276" ht="12"/>
    <row r="2277" ht="12"/>
    <row r="2278" ht="12"/>
    <row r="2279" ht="12"/>
    <row r="2280" ht="12"/>
    <row r="2281" ht="12"/>
    <row r="2282" ht="12"/>
    <row r="2283" ht="12"/>
    <row r="2284" ht="12"/>
    <row r="2285" ht="12"/>
    <row r="2286" ht="12"/>
    <row r="2287" ht="12"/>
    <row r="2288" ht="12"/>
    <row r="2289" ht="12"/>
    <row r="2290" ht="12"/>
    <row r="2330" ht="12"/>
    <row r="2361" ht="12"/>
    <row r="2367" ht="12"/>
    <row r="2368" ht="12"/>
    <row r="2369" ht="12"/>
    <row r="2370" ht="12"/>
    <row r="2371" ht="12"/>
    <row r="2372" ht="12"/>
    <row r="2373" ht="12"/>
    <row r="2374" ht="12"/>
    <row r="2379" ht="12"/>
    <row r="2380" ht="12"/>
    <row r="2411" ht="12"/>
    <row r="2477" ht="12"/>
    <row r="2479" ht="12"/>
    <row r="2480" ht="12"/>
    <row r="2496" ht="12"/>
    <row r="2517" ht="12"/>
    <row r="2518" ht="12"/>
    <row r="2520" ht="12"/>
    <row r="2521" ht="12"/>
    <row r="2523" ht="12"/>
    <row r="2524" ht="12"/>
    <row r="2525" ht="12"/>
    <row r="2526" ht="12"/>
    <row r="2527" ht="12"/>
    <row r="2529" ht="12"/>
    <row r="2539" ht="12"/>
    <row r="2540" ht="12"/>
    <row r="2541" ht="12"/>
    <row r="2542" ht="12"/>
    <row r="2543" ht="12"/>
    <row r="2544" ht="12"/>
    <row r="2545" ht="12"/>
    <row r="2546" ht="12"/>
    <row r="2555" ht="12"/>
    <row r="2557" ht="12"/>
    <row r="2558" ht="12"/>
    <row r="2559" ht="12"/>
    <row r="2560" ht="12"/>
    <row r="2561" ht="12"/>
    <row r="2562" ht="12"/>
    <row r="2563" ht="12"/>
    <row r="2564" ht="12"/>
    <row r="2567" ht="12"/>
    <row r="2568" ht="12"/>
    <row r="2569" ht="12"/>
    <row r="2570" ht="12"/>
    <row r="2571" ht="12"/>
    <row r="2574" ht="12"/>
    <row r="2575" ht="12"/>
    <row r="2582" ht="12"/>
    <row r="2583" ht="12"/>
    <row r="2584" ht="12"/>
    <row r="2585" ht="12"/>
    <row r="2586" ht="12"/>
    <row r="2587" ht="12"/>
    <row r="2588" ht="12"/>
    <row r="2589" ht="12"/>
    <row r="2590" ht="12"/>
    <row r="2591" ht="12"/>
    <row r="2592" ht="12"/>
    <row r="2595" ht="12"/>
    <row r="2596" ht="12"/>
    <row r="2597" ht="12"/>
    <row r="2598" ht="12"/>
    <row r="2600" ht="12"/>
    <row r="2601" ht="12"/>
    <row r="2602" ht="12"/>
    <row r="2603" ht="12"/>
    <row r="2604" ht="12"/>
    <row r="2605" ht="12"/>
    <row r="2606" ht="12"/>
    <row r="2607" ht="12"/>
    <row r="2608" ht="12"/>
    <row r="2609" ht="12"/>
    <row r="2610" ht="12"/>
    <row r="2611" ht="12"/>
    <row r="2612" ht="12"/>
    <row r="2613" ht="12"/>
    <row r="2614" ht="12"/>
    <row r="2615" ht="12"/>
    <row r="2616" ht="12"/>
    <row r="2617" ht="12"/>
    <row r="2618" ht="12"/>
    <row r="2619" ht="12"/>
    <row r="2620" ht="12"/>
    <row r="2621" ht="12"/>
    <row r="2622" ht="12"/>
    <row r="2623" ht="12"/>
    <row r="2624" ht="12"/>
    <row r="2625" ht="12"/>
    <row r="2626" ht="12"/>
    <row r="2629" ht="12"/>
    <row r="2631" ht="12"/>
    <row r="2632" ht="12"/>
    <row r="2633" ht="12"/>
    <row r="2634" ht="12"/>
    <row r="2635" ht="12"/>
    <row r="2636" ht="12"/>
    <row r="2637" ht="12"/>
    <row r="2638" ht="12"/>
    <row r="2639" ht="12"/>
    <row r="2640" ht="12"/>
    <row r="2641" ht="12"/>
    <row r="2642" ht="12"/>
    <row r="2643" ht="12"/>
    <row r="2644" ht="12"/>
    <row r="2645" ht="12"/>
    <row r="2646" ht="12"/>
    <row r="2647" ht="12"/>
    <row r="2648" ht="12"/>
    <row r="2649" ht="12"/>
    <row r="2650" ht="12"/>
    <row r="2651" ht="12"/>
    <row r="2652" ht="12"/>
    <row r="2653" ht="12"/>
    <row r="2654" ht="12"/>
    <row r="2655" ht="12"/>
    <row r="2656" ht="12"/>
    <row r="2657" ht="12"/>
    <row r="2658" ht="12"/>
    <row r="2659" ht="12"/>
    <row r="2660" ht="12"/>
    <row r="2661" ht="12"/>
    <row r="2662" ht="12"/>
    <row r="2666" ht="12"/>
    <row r="2675" ht="12"/>
    <row r="2677" ht="12"/>
    <row r="2678" ht="12"/>
    <row r="2681" ht="12"/>
    <row r="2682" ht="12"/>
    <row r="2688" ht="12"/>
    <row r="2689" ht="12"/>
    <row r="2711" ht="12"/>
    <row r="2712" ht="12"/>
    <row r="2713" ht="12"/>
    <row r="2714" ht="12"/>
    <row r="2715" ht="12"/>
    <row r="2716" ht="12"/>
    <row r="2717" ht="12"/>
    <row r="2724" ht="12"/>
    <row r="2726" ht="12"/>
    <row r="2757" ht="12"/>
    <row r="2758" ht="12"/>
    <row r="2759" ht="12"/>
    <row r="2760" ht="12"/>
    <row r="2761" ht="12"/>
    <row r="2762" ht="12"/>
    <row r="2763" ht="12"/>
    <row r="2764" ht="12"/>
    <row r="2765" ht="12"/>
    <row r="2766" ht="12"/>
    <row r="2767" ht="12"/>
    <row r="2768" ht="12"/>
    <row r="2769" ht="12"/>
    <row r="2770" ht="12"/>
    <row r="2771" ht="12"/>
    <row r="2772" ht="12"/>
    <row r="2773" ht="12"/>
    <row r="2774" ht="12"/>
    <row r="2775" ht="12"/>
    <row r="2776" ht="12"/>
    <row r="2777" ht="12"/>
    <row r="2778" ht="12"/>
    <row r="2779" ht="12"/>
    <row r="2780" ht="12"/>
    <row r="2781" ht="12"/>
    <row r="2782" ht="12"/>
    <row r="2783" ht="12"/>
    <row r="2784" ht="12"/>
    <row r="2785" ht="12"/>
    <row r="2786" ht="12"/>
    <row r="2787" ht="12"/>
    <row r="2788" ht="12"/>
    <row r="2789" ht="12"/>
    <row r="2790" ht="12"/>
    <row r="2791" ht="12"/>
    <row r="2792" ht="12"/>
    <row r="2793" ht="12"/>
    <row r="2795" ht="12"/>
    <row r="2796" ht="12"/>
    <row r="2797" ht="12"/>
    <row r="2798" ht="12"/>
    <row r="2799" ht="12"/>
    <row r="2800" ht="12"/>
    <row r="2801" ht="12"/>
    <row r="2802" ht="12"/>
    <row r="2803" ht="12"/>
    <row r="2804" ht="12"/>
    <row r="2805" ht="12"/>
    <row r="2806" ht="12"/>
    <row r="2807" ht="12"/>
    <row r="2808" ht="12"/>
    <row r="2809" ht="12"/>
    <row r="2810" ht="12"/>
    <row r="2811" ht="12"/>
    <row r="2812" ht="12"/>
    <row r="2813" ht="12"/>
    <row r="2814" ht="12"/>
    <row r="2815" ht="12"/>
    <row r="2816" ht="12"/>
    <row r="2817" ht="12"/>
    <row r="2818" ht="12"/>
    <row r="2821" ht="12"/>
    <row r="2822" ht="12"/>
    <row r="2824" ht="12"/>
    <row r="2825" ht="12"/>
    <row r="2826" ht="12"/>
    <row r="2827" ht="12"/>
    <row r="2829" ht="12"/>
    <row r="2830" ht="12"/>
    <row r="2831" ht="12"/>
    <row r="2832" ht="12"/>
    <row r="2833" ht="12"/>
    <row r="2834" ht="12"/>
    <row r="2835" ht="12"/>
    <row r="2836" ht="12"/>
    <row r="2837" ht="12"/>
    <row r="2838" ht="12"/>
    <row r="2839" ht="12"/>
    <row r="2840" ht="12"/>
    <row r="2841" ht="12"/>
    <row r="2842" ht="12"/>
    <row r="2843" ht="12"/>
    <row r="2844" ht="12"/>
    <row r="2845" ht="12"/>
    <row r="2846" ht="12"/>
    <row r="2847" ht="12"/>
    <row r="2848" ht="12"/>
    <row r="2849" ht="12"/>
    <row r="2850" ht="12"/>
    <row r="2851" ht="12"/>
    <row r="2852" ht="12"/>
    <row r="2942" ht="12"/>
    <row r="2957" ht="12"/>
    <row r="2958" ht="12"/>
    <row r="2960" ht="12"/>
    <row r="2970" ht="12"/>
    <row r="2971" ht="12"/>
    <row r="2972" ht="12"/>
    <row r="2973" ht="12"/>
    <row r="2974" ht="12"/>
    <row r="2980" ht="12"/>
    <row r="2981" ht="12"/>
    <row r="2982" ht="12"/>
    <row r="2983" ht="12"/>
    <row r="2984" ht="12"/>
    <row r="2985" ht="12"/>
    <row r="2986" ht="12"/>
    <row r="2987" ht="12"/>
    <row r="2988" ht="12"/>
    <row r="2989" ht="12"/>
    <row r="2990" ht="12"/>
    <row r="3011" ht="12"/>
    <row r="3012" ht="12"/>
    <row r="3013" ht="12"/>
    <row r="3014" ht="12"/>
    <row r="3051" ht="12"/>
    <row r="3052" ht="12"/>
    <row r="3053" ht="12"/>
    <row r="3054" ht="12"/>
    <row r="3055" ht="12"/>
    <row r="3056" ht="12"/>
    <row r="3057" ht="12"/>
    <row r="3058" ht="12"/>
    <row r="3059" ht="12"/>
    <row r="3060" ht="12"/>
    <row r="3061" ht="12"/>
    <row r="3062" ht="12"/>
    <row r="3063" ht="12"/>
    <row r="3064" ht="12"/>
    <row r="3070" ht="12"/>
    <row r="3071" ht="12"/>
    <row r="3072" ht="12"/>
    <row r="3140" ht="12"/>
    <row r="3141" ht="12"/>
    <row r="3143" ht="12"/>
    <row r="3149" ht="12"/>
    <row r="3150" ht="12"/>
    <row r="3151" ht="12"/>
    <row r="3152" ht="12"/>
    <row r="3153" ht="12"/>
    <row r="3154" ht="12"/>
    <row r="3155" ht="12"/>
    <row r="3156" ht="12"/>
    <row r="3157" ht="12"/>
    <row r="3158" ht="12"/>
    <row r="3159" ht="12"/>
    <row r="3160" ht="12"/>
    <row r="3161" ht="12"/>
    <row r="3162" ht="12"/>
    <row r="3163" ht="12"/>
    <row r="3164" ht="12"/>
    <row r="3165" ht="12"/>
    <row r="3166" ht="12"/>
    <row r="3167" ht="12"/>
    <row r="3168" ht="12"/>
    <row r="3179" ht="12"/>
    <row r="3180" ht="12"/>
    <row r="3181" ht="12"/>
    <row r="3182" ht="12"/>
    <row r="3183" ht="12"/>
    <row r="3184" ht="12"/>
    <row r="3185" ht="12"/>
    <row r="3186" ht="12"/>
    <row r="3187" ht="12"/>
    <row r="3188" ht="12"/>
    <row r="3189" ht="12"/>
    <row r="3190" ht="12"/>
    <row r="3191" ht="12"/>
    <row r="3192" ht="12"/>
    <row r="3193" ht="12"/>
    <row r="3194" ht="12"/>
    <row r="3195" ht="12"/>
    <row r="3196" ht="12"/>
    <row r="3197" ht="12"/>
    <row r="3198" ht="12"/>
    <row r="3199" ht="12"/>
    <row r="3200" ht="12"/>
    <row r="3201" ht="12"/>
    <row r="3202" ht="12"/>
    <row r="3203" ht="12"/>
    <row r="3204" ht="12"/>
    <row r="3205" ht="12"/>
    <row r="3209" ht="12"/>
    <row r="3210" ht="12"/>
    <row r="3211" ht="12"/>
    <row r="3226" ht="12"/>
    <row r="3227" ht="12"/>
    <row r="3229" ht="12"/>
    <row r="3230" ht="12"/>
    <row r="3231" ht="12"/>
    <row r="3232" ht="12"/>
    <row r="3240" ht="12"/>
    <row r="3241" ht="12"/>
    <row r="3242" ht="12"/>
    <row r="3243" ht="12"/>
    <row r="3244" ht="12"/>
    <row r="3245" ht="12"/>
    <row r="3246" ht="12"/>
    <row r="3247" ht="12"/>
    <row r="3248" ht="12"/>
    <row r="3249" ht="12"/>
    <row r="3250" ht="12"/>
    <row r="3251" ht="12"/>
    <row r="3252" ht="12"/>
    <row r="3253" ht="12"/>
    <row r="3254" ht="12"/>
    <row r="3255" ht="12"/>
    <row r="3256" ht="12"/>
    <row r="3257" ht="12"/>
    <row r="3258" ht="12"/>
    <row r="3259" ht="12"/>
    <row r="3260" ht="12"/>
    <row r="3261" ht="12"/>
    <row r="3263" ht="12"/>
    <row r="3265" ht="12"/>
    <row r="3266" ht="12"/>
    <row r="3267" ht="12"/>
    <row r="3268" ht="12"/>
    <row r="3269" ht="12"/>
    <row r="3270" ht="12"/>
    <row r="3271" ht="12"/>
    <row r="3272" ht="12"/>
    <row r="3273" ht="12"/>
    <row r="3274" ht="12"/>
    <row r="3275" ht="12"/>
    <row r="3276" ht="12"/>
    <row r="3277" ht="12"/>
    <row r="3278" ht="12"/>
    <row r="3279" ht="12"/>
    <row r="3280" ht="12"/>
    <row r="3281" ht="12"/>
    <row r="3282" ht="12"/>
    <row r="3283" ht="12"/>
    <row r="3284" ht="12"/>
    <row r="3285" ht="12"/>
    <row r="3287" ht="12"/>
    <row r="3288" ht="12"/>
    <row r="3289" ht="12"/>
    <row r="3295" ht="12"/>
    <row r="3296" ht="12"/>
    <row r="3302" ht="12"/>
    <row r="3303" ht="12"/>
    <row r="3309" ht="12"/>
    <row r="3310" ht="12"/>
    <row r="3311" ht="12"/>
    <row r="3312" ht="12"/>
    <row r="3313" ht="12"/>
    <row r="3318" ht="12"/>
    <row r="3319" ht="12"/>
    <row r="3320" ht="12"/>
    <row r="3327" ht="12"/>
    <row r="3328" ht="12"/>
    <row r="3334" ht="12"/>
    <row r="3336" ht="12"/>
    <row r="3337" ht="12"/>
    <row r="3340" ht="12"/>
    <row r="3346" ht="12"/>
    <row r="3350" ht="12"/>
    <row r="3351" ht="12"/>
    <row r="3352" ht="12"/>
    <row r="3353" ht="12"/>
    <row r="3354" ht="12"/>
    <row r="3356" ht="12"/>
    <row r="3357" ht="12"/>
    <row r="3358" ht="12"/>
    <row r="3359" ht="12"/>
    <row r="3360" ht="12"/>
    <row r="3362" ht="12"/>
    <row r="3363" ht="12"/>
    <row r="3364" ht="12"/>
    <row r="3365" ht="12"/>
    <row r="3366" ht="12"/>
    <row r="3367" ht="12"/>
    <row r="3368" ht="12"/>
    <row r="3369" ht="12"/>
    <row r="3370" ht="12"/>
    <row r="3371" ht="12"/>
    <row r="3372" ht="12"/>
    <row r="3373" ht="12"/>
    <row r="3374" ht="12"/>
    <row r="3381" ht="12"/>
    <row r="3382" ht="12"/>
    <row r="3383" ht="12"/>
    <row r="3404" ht="12"/>
    <row r="3442" ht="12"/>
    <row r="3443" ht="12"/>
    <row r="3444" ht="12"/>
    <row r="3462" ht="12"/>
    <row r="3463" ht="12"/>
    <row r="3464" ht="12"/>
    <row r="3467" ht="12"/>
    <row r="3475" ht="12"/>
    <row r="3476" ht="12"/>
    <row r="3477" ht="12"/>
    <row r="3484" ht="12"/>
    <row r="3487" ht="12"/>
    <row r="3500" ht="12"/>
    <row r="3501" ht="12"/>
    <row r="3502" ht="12"/>
    <row r="3503" ht="12"/>
    <row r="3504" ht="12"/>
    <row r="3505" ht="12"/>
    <row r="3506" ht="12"/>
    <row r="3507" ht="12"/>
    <row r="3508" ht="12"/>
    <row r="3509" ht="12"/>
    <row r="3510" ht="12"/>
    <row r="3511" ht="12"/>
    <row r="3512" ht="12"/>
    <row r="3513" ht="12"/>
    <row r="3514" ht="12"/>
    <row r="3515" ht="12"/>
    <row r="3516" ht="12"/>
    <row r="3517" ht="12"/>
    <row r="3518" ht="12"/>
    <row r="3519" ht="12"/>
    <row r="3520" ht="12"/>
    <row r="3521" ht="12"/>
    <row r="3522" ht="12"/>
    <row r="3527" ht="12"/>
    <row r="3528" ht="12"/>
    <row r="3529" ht="12"/>
    <row r="3530" ht="12"/>
    <row r="3531" ht="12"/>
    <row r="3532" ht="12"/>
    <row r="3533" ht="12"/>
    <row r="3534" ht="12"/>
    <row r="3535" ht="12"/>
    <row r="3536" ht="12"/>
    <row r="3539" ht="12"/>
    <row r="3540" ht="12"/>
    <row r="3557" ht="12"/>
    <row r="3558" ht="12"/>
    <row r="3559" ht="12"/>
    <row r="3560" ht="12"/>
    <row r="3562" ht="12"/>
    <row r="3563" ht="12"/>
    <row r="3564" ht="12"/>
    <row r="3565" ht="12"/>
    <row r="3566" ht="12"/>
    <row r="3567" ht="12"/>
    <row r="3568" ht="12"/>
    <row r="3569" ht="12"/>
    <row r="3570" ht="12"/>
    <row r="3573" ht="12"/>
    <row r="3574" ht="12"/>
    <row r="3575" ht="12"/>
    <row r="3576" ht="12"/>
    <row r="3577" ht="12"/>
    <row r="3578" ht="12"/>
    <row r="3579" ht="12"/>
    <row r="3580" ht="12"/>
    <row r="3581" ht="12"/>
    <row r="3582" ht="12"/>
    <row r="3583" ht="12"/>
    <row r="3584" ht="12"/>
    <row r="3585" ht="12"/>
    <row r="3586" ht="12"/>
    <row r="3587" ht="12"/>
    <row r="3588" ht="12"/>
    <row r="3589" ht="12"/>
    <row r="3590" ht="12"/>
    <row r="3591" ht="12"/>
    <row r="3592" ht="12"/>
    <row r="3593" ht="12"/>
    <row r="3594" ht="12"/>
    <row r="3595" ht="12"/>
    <row r="3596" ht="12"/>
    <row r="3597" ht="12"/>
    <row r="3598" ht="12"/>
    <row r="3599" ht="12"/>
    <row r="3600" ht="12"/>
    <row r="3601" ht="12"/>
    <row r="3602" ht="12"/>
    <row r="3603" ht="12"/>
    <row r="3604" ht="12"/>
    <row r="3605" ht="12"/>
    <row r="3606" ht="12"/>
    <row r="3607" ht="12"/>
    <row r="3608" ht="12"/>
    <row r="3609" ht="12"/>
    <row r="3610" ht="12"/>
    <row r="3611" ht="12"/>
    <row r="3612" ht="12"/>
    <row r="3613" ht="12"/>
    <row r="3614" ht="12"/>
    <row r="3615" ht="12"/>
    <row r="3616" ht="12"/>
    <row r="3618" ht="12"/>
    <row r="3619" ht="12"/>
    <row r="3620" ht="12"/>
    <row r="3621" ht="12"/>
    <row r="3622" ht="12"/>
    <row r="3623" ht="12"/>
    <row r="3624" ht="12"/>
    <row r="3625" ht="12"/>
    <row r="3626" ht="12"/>
    <row r="3627" ht="12"/>
    <row r="3628" ht="12"/>
    <row r="3629" ht="12"/>
    <row r="3630" ht="12"/>
    <row r="3631" ht="12"/>
    <row r="3632" ht="12"/>
    <row r="3633" ht="12"/>
    <row r="3634" ht="12"/>
    <row r="3635" ht="12"/>
    <row r="3636" ht="12"/>
    <row r="3637" ht="12"/>
    <row r="3638" ht="12"/>
    <row r="3639" ht="12"/>
    <row r="3641" ht="12"/>
    <row r="3642" ht="12"/>
    <row r="3643" ht="12"/>
    <row r="3644" ht="12"/>
    <row r="3645" ht="12"/>
    <row r="3646" ht="12"/>
    <row r="3647" ht="12"/>
    <row r="3648" ht="12"/>
    <row r="3654" ht="12"/>
    <row r="3656" ht="12"/>
    <row r="3664" ht="12"/>
    <row r="3665" ht="12"/>
    <row r="3666" ht="12"/>
    <row r="3667" ht="12"/>
    <row r="3668" ht="12"/>
    <row r="3669" ht="12"/>
    <row r="3670" ht="12"/>
    <row r="3671" ht="12"/>
    <row r="3673" ht="12"/>
    <row r="3674" ht="12"/>
    <row r="3675" ht="12"/>
    <row r="3676" ht="12"/>
    <row r="3677" ht="12"/>
    <row r="3678" ht="12"/>
    <row r="3696" ht="12"/>
    <row r="3697" ht="12"/>
    <row r="3698" ht="12"/>
    <row r="3699" ht="12"/>
    <row r="3700" ht="12"/>
    <row r="3704" ht="12"/>
    <row r="3708" ht="12"/>
    <row r="3709" ht="12"/>
    <row r="3710" ht="12"/>
    <row r="3711" ht="12"/>
    <row r="3712" ht="12"/>
    <row r="3719" ht="12"/>
    <row r="3720" ht="12"/>
    <row r="3721" ht="12"/>
    <row r="3722" ht="12"/>
    <row r="3723" ht="12"/>
    <row r="3724" ht="12"/>
    <row r="3725" ht="12"/>
    <row r="3726" ht="12"/>
    <row r="3727" ht="12"/>
    <row r="3728" ht="12"/>
    <row r="3731" ht="12"/>
    <row r="3732" ht="12"/>
    <row r="3733" ht="12"/>
    <row r="3734" ht="12"/>
    <row r="3735" ht="12"/>
    <row r="3736" ht="12"/>
    <row r="3737" ht="12"/>
    <row r="3738" ht="12"/>
    <row r="3739" ht="12"/>
    <row r="3740" ht="12"/>
    <row r="3741" ht="12"/>
    <row r="3743" ht="12"/>
    <row r="3744" ht="12"/>
    <row r="3745" ht="12"/>
    <row r="3746" ht="12"/>
    <row r="3747" ht="12"/>
    <row r="3748" ht="12"/>
    <row r="3749" ht="12"/>
    <row r="3750" ht="12"/>
    <row r="3751" ht="12"/>
    <row r="3752" ht="12"/>
    <row r="3753" ht="12"/>
    <row r="3754" ht="12"/>
    <row r="3755" ht="12"/>
    <row r="3756" ht="12"/>
    <row r="3757" ht="12"/>
    <row r="3759" ht="12"/>
    <row r="3760" ht="12"/>
    <row r="3761" ht="12"/>
    <row r="3762" ht="12"/>
    <row r="3763" ht="12"/>
    <row r="3764" ht="12"/>
    <row r="3765" ht="12"/>
    <row r="3766" ht="12"/>
    <row r="3767" ht="12"/>
    <row r="3768" ht="12"/>
    <row r="3769" ht="12"/>
    <row r="3770" ht="12"/>
    <row r="3771" ht="12"/>
    <row r="3772" ht="12"/>
    <row r="3774" ht="12"/>
    <row r="3775" ht="12"/>
    <row r="3776" ht="12"/>
    <row r="3778" ht="12"/>
    <row r="3779" ht="12"/>
    <row r="3780" ht="12"/>
    <row r="3781" ht="12"/>
    <row r="3782" ht="12"/>
    <row r="3784" ht="12"/>
    <row r="3785" ht="12"/>
    <row r="3786" ht="12"/>
    <row r="3787" ht="12"/>
    <row r="3788" ht="12"/>
    <row r="3789" ht="12"/>
    <row r="3790" ht="12"/>
    <row r="3791" ht="12"/>
    <row r="3792" ht="12"/>
    <row r="3793" ht="12"/>
    <row r="3794" ht="12"/>
    <row r="3795" ht="12"/>
    <row r="3796" ht="12"/>
    <row r="3797" ht="12"/>
    <row r="3798" ht="12"/>
    <row r="3799" ht="12"/>
    <row r="3800" ht="12"/>
    <row r="3801" ht="12"/>
    <row r="3802" ht="12"/>
    <row r="3803" ht="12"/>
    <row r="3804" ht="12"/>
    <row r="3805" ht="12"/>
    <row r="3806" ht="12"/>
    <row r="3811" ht="12"/>
    <row r="3812" ht="12"/>
    <row r="3813" ht="12"/>
    <row r="3814" ht="12"/>
    <row r="3815" ht="12"/>
    <row r="3816" ht="12"/>
    <row r="3817" ht="12"/>
    <row r="3818" ht="12"/>
    <row r="3819" ht="12"/>
    <row r="3820" ht="12"/>
    <row r="3821" ht="12"/>
    <row r="3822" ht="12"/>
    <row r="3823" ht="12"/>
    <row r="3824" ht="12"/>
    <row r="3827" ht="12"/>
    <row r="3829" ht="12"/>
    <row r="3830" ht="12"/>
    <row r="3831" ht="12"/>
    <row r="3832" ht="12"/>
    <row r="3833" ht="12"/>
    <row r="3834" ht="12"/>
    <row r="3835" ht="12"/>
    <row r="3836" ht="12"/>
    <row r="3837" ht="12"/>
    <row r="3838" ht="12"/>
    <row r="3839" ht="12"/>
    <row r="3840" ht="12"/>
    <row r="3841" ht="12"/>
    <row r="3842" ht="12"/>
    <row r="3843" ht="12"/>
    <row r="3844" ht="12"/>
    <row r="3845" ht="12"/>
    <row r="3846" ht="12"/>
    <row r="3847" ht="12"/>
    <row r="3848" ht="12"/>
    <row r="3849" ht="12"/>
    <row r="3850" ht="12"/>
    <row r="3851" ht="12"/>
    <row r="3852" ht="12"/>
    <row r="3853" ht="12"/>
    <row r="3854" ht="12"/>
    <row r="3855" ht="12"/>
    <row r="3856" ht="12"/>
    <row r="3857" ht="12"/>
    <row r="3858" ht="12"/>
    <row r="3859" ht="12"/>
    <row r="3860" ht="12"/>
    <row r="3861" ht="12"/>
    <row r="3862" ht="12"/>
    <row r="3863" ht="12"/>
    <row r="3864" ht="12"/>
    <row r="3865" ht="12"/>
    <row r="3866" ht="12"/>
    <row r="3867" ht="12"/>
    <row r="3868" ht="12"/>
    <row r="3869" ht="12"/>
    <row r="3870" ht="12"/>
    <row r="3871" ht="12"/>
    <row r="3872" ht="12"/>
    <row r="3873" ht="12"/>
    <row r="3874" ht="12"/>
    <row r="3875" ht="12"/>
    <row r="3876" ht="12"/>
    <row r="3877" ht="12"/>
    <row r="3880" ht="12"/>
    <row r="3883" ht="12"/>
    <row r="3884" ht="12"/>
    <row r="3885" ht="12"/>
    <row r="3886" ht="12"/>
    <row r="3887" ht="12"/>
    <row r="3888" ht="12"/>
    <row r="3889" ht="12"/>
    <row r="3890" ht="12"/>
    <row r="3891" ht="12"/>
    <row r="3892" ht="12"/>
    <row r="3893" ht="12"/>
    <row r="3894" ht="12"/>
    <row r="3895" ht="12"/>
    <row r="3896" ht="12"/>
    <row r="3897" ht="12"/>
    <row r="3898" ht="12"/>
    <row r="3899" ht="12"/>
    <row r="3900" ht="12"/>
    <row r="3901" ht="12"/>
    <row r="3902" ht="12"/>
    <row r="3903" ht="12"/>
    <row r="3904" ht="12"/>
    <row r="3905" ht="12"/>
    <row r="3906" ht="12"/>
    <row r="3907" ht="12"/>
    <row r="3908" ht="12"/>
    <row r="3909" ht="12"/>
    <row r="3910" ht="12"/>
    <row r="3911" ht="12"/>
    <row r="3912" ht="12"/>
    <row r="3913" ht="12"/>
    <row r="3914" ht="12"/>
    <row r="3915" ht="12"/>
    <row r="3918" ht="12"/>
    <row r="3919" ht="12"/>
    <row r="3920" ht="12"/>
    <row r="3921" ht="12"/>
    <row r="3922" ht="12"/>
    <row r="3923" ht="12"/>
    <row r="3932" ht="12"/>
    <row r="3933" ht="12"/>
    <row r="3934" ht="12"/>
    <row r="3935" ht="12"/>
    <row r="3936" ht="12"/>
    <row r="3937" ht="12"/>
    <row r="3938" ht="12"/>
    <row r="3940" ht="12"/>
    <row r="3941" ht="12"/>
    <row r="3942" ht="12"/>
    <row r="3943" ht="12"/>
    <row r="3944" ht="12"/>
    <row r="3945" ht="12"/>
    <row r="3946" ht="12"/>
    <row r="3949" ht="12"/>
    <row r="3950" ht="12"/>
    <row r="3951" ht="12"/>
    <row r="3952" ht="12"/>
    <row r="3953" ht="12"/>
    <row r="3955" ht="12"/>
    <row r="3956" ht="12"/>
    <row r="3957" ht="12"/>
    <row r="3958" ht="12"/>
    <row r="3959" ht="12"/>
    <row r="3960" ht="12"/>
    <row r="3961" ht="12"/>
    <row r="3962" ht="12"/>
    <row r="3963" ht="12"/>
    <row r="3964" ht="12"/>
    <row r="3965" ht="12"/>
    <row r="3966" ht="12"/>
    <row r="3967" ht="12"/>
    <row r="3968" ht="12"/>
    <row r="3969" ht="12"/>
    <row r="3970" ht="12"/>
    <row r="3971" ht="12"/>
    <row r="3975" ht="12"/>
    <row r="3977" ht="12"/>
    <row r="3978" ht="12"/>
    <row r="3979" ht="12"/>
    <row r="3980" ht="12"/>
    <row r="3985" ht="12"/>
    <row r="3986" ht="12"/>
    <row r="3987" ht="12"/>
    <row r="3988" ht="12"/>
    <row r="3989" ht="12"/>
    <row r="3994" ht="12"/>
    <row r="4024" ht="12"/>
    <row r="4031" ht="12"/>
    <row r="4032" ht="12"/>
    <row r="4033" ht="12"/>
    <row r="4034" ht="12"/>
    <row r="4042" ht="12"/>
    <row r="4043" ht="12"/>
    <row r="4044" ht="12"/>
    <row r="4045" ht="12"/>
    <row r="4046" ht="12"/>
    <row r="4048" ht="12"/>
    <row r="4049" ht="12"/>
    <row r="4050" ht="12"/>
    <row r="4051" ht="12"/>
    <row r="4052" ht="12"/>
    <row r="4053" ht="12"/>
    <row r="4054" ht="12"/>
    <row r="4055" ht="12"/>
    <row r="4056" ht="12"/>
    <row r="4057" ht="12"/>
    <row r="4058" ht="12"/>
    <row r="4059" ht="12"/>
    <row r="4060" ht="12"/>
    <row r="4061" ht="12"/>
    <row r="4062" ht="12"/>
    <row r="4063" ht="12"/>
    <row r="4064" ht="12"/>
    <row r="4065" ht="12"/>
    <row r="4066" ht="12"/>
    <row r="4067" ht="12"/>
    <row r="4069" ht="12"/>
    <row r="4070" ht="12"/>
    <row r="4071" ht="12"/>
    <row r="4072" ht="12"/>
    <row r="4073" ht="12"/>
    <row r="4074" ht="12"/>
    <row r="4075" ht="12"/>
    <row r="4076" ht="12"/>
    <row r="4077" ht="12"/>
    <row r="4078" ht="12"/>
    <row r="4079" ht="12"/>
    <row r="4080" ht="12"/>
    <row r="4081" ht="12"/>
    <row r="4082" ht="12"/>
    <row r="4083" ht="12"/>
    <row r="4084" ht="12"/>
    <row r="4085" ht="12"/>
    <row r="4086" ht="12"/>
    <row r="4087" ht="12"/>
    <row r="4088" ht="12"/>
    <row r="4089" ht="12"/>
    <row r="4090" ht="12"/>
    <row r="4091" ht="12"/>
    <row r="4092" ht="12"/>
    <row r="4093" ht="12"/>
    <row r="4094" ht="12"/>
    <row r="4095" ht="12"/>
    <row r="4096" ht="12"/>
    <row r="4097" ht="12"/>
    <row r="4099" ht="12"/>
    <row r="4100" ht="12"/>
    <row r="4101" ht="12"/>
    <row r="4102" ht="12"/>
    <row r="4103" ht="12"/>
    <row r="4105" ht="12"/>
    <row r="4107" ht="12"/>
    <row r="4113" ht="12"/>
    <row r="4114" ht="12"/>
    <row r="4115" ht="12"/>
    <row r="4116" ht="12"/>
    <row r="4117" ht="12"/>
    <row r="4118" ht="12"/>
    <row r="4119" ht="12"/>
    <row r="4120" ht="12"/>
    <row r="4121" ht="12"/>
    <row r="4122" ht="12"/>
    <row r="4126" ht="12"/>
    <row r="4127" ht="12"/>
    <row r="4146" ht="12"/>
    <row r="4147" ht="12"/>
    <row r="4148" ht="12"/>
    <row r="4149" ht="12"/>
    <row r="4155" ht="12"/>
    <row r="4156" ht="12"/>
    <row r="4157" ht="12"/>
    <row r="4158" ht="12"/>
    <row r="4163" ht="12"/>
    <row r="4166" ht="12"/>
    <row r="4167" ht="12"/>
    <row r="4177" ht="12"/>
    <row r="4178" ht="12"/>
    <row r="4179" ht="12"/>
    <row r="4180" ht="12"/>
    <row r="4181" ht="12"/>
    <row r="4182" ht="12"/>
    <row r="4183" ht="12"/>
    <row r="4184" ht="12"/>
    <row r="4185" ht="12"/>
    <row r="4186" ht="12"/>
    <row r="4187" ht="12"/>
    <row r="4188" ht="12"/>
    <row r="4189" ht="12"/>
    <row r="4190" ht="12"/>
    <row r="4191" ht="12"/>
    <row r="4192" ht="12"/>
    <row r="4193" ht="12"/>
    <row r="4195" ht="12"/>
    <row r="4196" ht="12"/>
    <row r="4197" ht="12"/>
    <row r="4198" ht="12"/>
    <row r="4201" ht="12"/>
    <row r="4202" ht="12"/>
    <row r="4203" ht="12"/>
    <row r="4204" ht="12"/>
    <row r="4205" ht="12"/>
    <row r="4208" ht="12"/>
    <row r="4209" ht="12"/>
    <row r="4210" ht="12"/>
    <row r="4211" ht="12"/>
    <row r="4212" ht="12"/>
    <row r="4213" ht="12"/>
    <row r="4214" ht="12"/>
    <row r="4215" ht="12"/>
    <row r="4216" ht="12"/>
    <row r="4217" ht="12"/>
    <row r="4218" ht="12"/>
    <row r="4219" ht="12"/>
    <row r="4220" ht="12"/>
    <row r="4228" ht="12"/>
    <row r="4229" ht="12"/>
    <row r="4230" ht="12"/>
    <row r="4231" ht="12"/>
    <row r="4232" ht="12"/>
    <row r="4233" ht="12"/>
    <row r="4234" ht="12"/>
    <row r="4235" ht="12"/>
    <row r="4236" ht="12"/>
    <row r="4237" ht="12"/>
    <row r="4238" ht="12"/>
    <row r="4239" ht="12"/>
    <row r="4240" ht="12"/>
    <row r="4241" ht="12"/>
    <row r="4242" ht="12"/>
    <row r="4243" ht="12"/>
    <row r="4244" ht="12"/>
    <row r="4245" ht="12"/>
    <row r="4246" ht="12"/>
    <row r="4247" ht="12"/>
    <row r="4248" ht="12"/>
    <row r="4249" ht="12"/>
    <row r="4250" ht="12"/>
    <row r="4252" ht="12"/>
    <row r="4253" ht="12"/>
    <row r="4257" ht="12"/>
    <row r="4258" ht="12"/>
    <row r="4259" ht="12"/>
    <row r="4260" ht="12"/>
    <row r="4261" ht="12"/>
    <row r="4262" ht="12"/>
    <row r="4263" ht="12"/>
    <row r="4264" ht="12"/>
    <row r="4265" ht="12"/>
    <row r="4269" ht="12"/>
    <row r="4270" ht="12"/>
    <row r="4271" ht="12"/>
    <row r="4272" ht="12"/>
    <row r="4273" ht="12"/>
    <row r="4274" ht="12"/>
    <row r="4275" ht="12"/>
    <row r="4276" ht="12"/>
    <row r="4277" ht="12"/>
    <row r="4278" ht="12"/>
    <row r="4279" ht="12"/>
    <row r="4289" ht="12"/>
    <row r="4290" ht="12"/>
    <row r="4298" ht="12"/>
    <row r="4299" ht="12"/>
    <row r="4300" ht="12"/>
    <row r="4301" ht="12"/>
    <row r="4303" ht="12"/>
    <row r="4304" ht="12"/>
    <row r="4309" ht="12"/>
    <row r="4310" ht="12"/>
    <row r="4311" ht="12"/>
    <row r="4313" ht="12"/>
    <row r="4318" ht="12"/>
    <row r="4327" ht="12"/>
    <row r="4328" ht="12"/>
    <row r="4336" ht="12"/>
    <row r="4337" ht="12"/>
    <row r="4341" ht="12"/>
    <row r="4344" ht="12"/>
    <row r="4345" ht="12"/>
    <row r="4348" ht="12"/>
    <row r="4349" ht="12"/>
    <row r="4350" ht="12"/>
    <row r="4355" ht="12"/>
    <row r="4356" ht="12"/>
    <row r="4357" ht="12"/>
    <row r="4358" ht="12"/>
    <row r="4359" ht="12"/>
    <row r="4360" ht="12"/>
    <row r="4363" ht="12"/>
    <row r="4364" ht="12"/>
    <row r="4365" ht="12"/>
    <row r="4366" ht="12"/>
    <row r="4367" ht="12"/>
    <row r="4368" ht="12"/>
    <row r="4369" ht="12"/>
    <row r="4370" ht="12"/>
    <row r="4371" ht="12"/>
    <row r="4372" ht="12"/>
    <row r="4373" ht="12"/>
    <row r="4374" ht="12"/>
    <row r="4375" ht="12"/>
    <row r="4376" ht="12"/>
    <row r="4377" ht="12"/>
    <row r="4378" ht="12"/>
    <row r="4379" ht="12"/>
    <row r="4380" ht="12"/>
    <row r="4381" ht="12"/>
    <row r="4382" ht="12"/>
    <row r="4383" ht="12"/>
    <row r="4384" ht="12"/>
    <row r="4385" ht="12"/>
    <row r="4386" ht="12"/>
    <row r="4387" ht="12"/>
    <row r="4388" ht="12"/>
    <row r="4389" ht="12"/>
    <row r="4390" ht="12"/>
    <row r="4391" ht="12"/>
    <row r="4392" ht="12"/>
    <row r="4402" ht="12"/>
    <row r="4403" ht="12"/>
    <row r="4404" ht="12"/>
    <row r="4405" ht="12"/>
    <row r="4406" ht="12"/>
    <row r="4407" ht="12"/>
    <row r="4408" ht="12"/>
    <row r="4409" ht="12"/>
    <row r="4410" ht="12"/>
    <row r="4411" ht="12"/>
    <row r="4412" ht="12"/>
    <row r="4421" ht="12"/>
    <row r="4422" ht="12"/>
    <row r="4423" ht="12"/>
    <row r="4424" ht="12"/>
    <row r="4426" ht="12"/>
    <row r="4494" ht="12"/>
    <row r="4495" ht="12"/>
    <row r="4601" ht="12"/>
    <row r="4653" ht="12"/>
    <row r="4655" ht="12"/>
    <row r="4663" ht="12"/>
    <row r="4680" ht="12"/>
    <row r="4793" ht="12"/>
    <row r="4794" ht="12"/>
    <row r="4796" ht="12"/>
    <row r="4829" ht="12"/>
    <row r="4832" ht="12"/>
    <row r="4837" ht="12"/>
    <row r="4838" ht="12"/>
    <row r="4867" ht="12"/>
    <row r="4868" ht="12"/>
    <row r="4869" ht="12"/>
    <row r="4914" ht="12"/>
    <row r="4915" ht="12"/>
    <row r="4916" ht="12"/>
    <row r="4917" ht="12"/>
    <row r="4918" ht="12"/>
    <row r="4919" ht="12"/>
    <row r="4920" ht="12"/>
    <row r="4925" ht="12"/>
    <row r="4926" ht="12"/>
    <row r="4952" ht="12"/>
    <row r="4953" ht="12"/>
    <row r="4954" ht="12"/>
    <row r="4955" ht="12"/>
    <row r="4982" ht="12"/>
    <row r="4997" ht="12"/>
    <row r="5004" ht="12"/>
    <row r="5010" ht="12"/>
    <row r="5033" ht="12"/>
    <row r="5043" ht="12"/>
    <row r="5044" ht="12"/>
    <row r="5045" ht="12"/>
    <row r="5046" ht="12"/>
    <row r="5047" ht="12"/>
    <row r="5048" ht="12"/>
    <row r="5049" ht="12"/>
    <row r="5050" ht="12"/>
    <row r="5051" ht="12"/>
    <row r="5052" ht="12"/>
    <row r="5053" ht="12"/>
    <row r="5054" ht="12"/>
    <row r="5055" ht="12"/>
    <row r="5056" ht="12"/>
    <row r="5069" ht="12"/>
    <row r="5070" ht="12"/>
    <row r="5072" ht="12"/>
    <row r="5073" ht="12"/>
    <row r="5074" ht="12"/>
    <row r="5075" ht="12"/>
    <row r="5076" ht="12"/>
    <row r="5077" ht="12"/>
    <row r="5078" ht="12"/>
    <row r="5079" ht="12"/>
    <row r="5080" ht="12"/>
    <row r="5081" ht="12"/>
    <row r="5082" ht="12"/>
    <row r="5083" ht="12"/>
    <row r="5084" ht="12"/>
    <row r="5085" ht="12"/>
    <row r="5086" ht="12"/>
    <row r="5087" ht="12"/>
    <row r="5088" ht="12"/>
    <row r="5089" ht="12"/>
    <row r="5090" ht="12"/>
    <row r="5091" ht="12"/>
    <row r="5092" ht="12"/>
    <row r="5093" ht="12"/>
    <row r="5094" ht="12"/>
    <row r="5147" ht="12"/>
    <row r="5148" ht="12"/>
    <row r="5149" ht="12"/>
    <row r="5173" ht="12"/>
    <row r="5174" ht="12"/>
    <row r="5175" ht="12"/>
    <row r="5176" ht="12"/>
    <row r="5177" ht="12"/>
    <row r="5178" ht="12"/>
    <row r="5179" ht="12"/>
    <row r="5180" ht="12"/>
    <row r="5181" ht="12"/>
    <row r="5182" ht="12"/>
    <row r="5190" ht="12"/>
    <row r="5191" ht="12"/>
    <row r="5240" ht="12"/>
    <row r="5271" ht="12"/>
    <row r="5272" ht="12"/>
    <row r="5273" ht="12"/>
    <row r="5274" ht="12"/>
    <row r="5275" ht="12"/>
    <row r="5303" ht="12"/>
    <row r="5304" ht="12"/>
    <row r="5305" ht="12"/>
    <row r="5359" ht="12"/>
    <row r="5360" ht="12"/>
    <row r="5378" ht="12"/>
    <row r="5379" ht="12"/>
    <row r="5380" ht="12"/>
    <row r="5381" ht="12"/>
    <row r="5388" ht="12"/>
    <row r="5391" ht="12"/>
    <row r="5392" ht="12"/>
    <row r="5393" ht="12"/>
    <row r="5394" ht="12"/>
    <row r="5395" ht="12"/>
    <row r="5396" ht="12"/>
    <row r="5397" ht="12"/>
    <row r="5398" ht="12"/>
    <row r="5399" ht="12"/>
    <row r="5400" ht="12"/>
    <row r="5401" ht="12"/>
    <row r="5402" ht="12"/>
    <row r="5403" ht="12"/>
    <row r="5411" ht="12"/>
    <row r="5412" ht="12"/>
    <row r="5413" ht="12"/>
    <row r="5414" ht="12"/>
    <row r="5415" ht="12"/>
    <row r="5416" ht="12"/>
    <row r="5417" ht="12"/>
    <row r="5418" ht="12"/>
    <row r="5419" ht="12"/>
    <row r="5420" ht="12"/>
    <row r="5421" ht="12"/>
    <row r="5422" ht="12"/>
    <row r="5423" ht="12"/>
    <row r="5424" ht="12"/>
    <row r="5425" ht="12"/>
    <row r="5426" ht="12"/>
    <row r="5427" ht="12"/>
    <row r="5428" ht="12"/>
    <row r="5429" ht="12"/>
    <row r="5430" ht="12"/>
    <row r="5431" ht="12"/>
    <row r="5432" ht="12"/>
    <row r="5433" ht="12"/>
    <row r="5435" ht="12"/>
    <row r="5436" ht="12"/>
    <row r="5440" ht="12"/>
    <row r="5441" ht="12"/>
    <row r="5442" ht="12"/>
    <row r="5444" ht="12"/>
    <row r="5447" ht="12"/>
    <row r="5448" ht="12"/>
    <row r="5449" ht="12"/>
    <row r="5450" ht="12"/>
    <row r="5484" ht="12"/>
    <row r="5485" ht="12"/>
    <row r="5598" ht="12"/>
    <row r="5606" ht="12"/>
    <row r="5663" ht="12"/>
    <row r="5850" ht="12"/>
    <row r="5851" ht="12"/>
    <row r="5867" ht="12"/>
    <row r="5869" ht="12"/>
    <row r="5870" ht="12"/>
    <row r="5874" ht="12"/>
    <row r="5879" ht="12"/>
    <row r="5888" ht="12"/>
    <row r="5889" ht="12"/>
    <row r="5892" ht="12"/>
    <row r="5912" ht="12"/>
    <row r="5913" ht="12"/>
    <row r="5918" ht="12"/>
    <row r="5919" ht="12"/>
    <row r="5922" ht="12"/>
    <row r="5928" ht="12"/>
    <row r="5929" ht="12"/>
    <row r="5931" ht="12"/>
    <row r="5934" ht="12"/>
    <row r="5935" ht="12"/>
    <row r="5939" ht="12"/>
    <row r="5941" ht="12"/>
    <row r="5944" ht="12"/>
    <row r="5946" ht="12"/>
    <row r="5947" ht="12"/>
    <row r="5948" ht="12"/>
    <row r="5949" ht="12"/>
    <row r="5951" ht="12"/>
    <row r="5953" ht="12"/>
    <row r="5955" ht="12"/>
    <row r="5958" ht="12"/>
    <row r="5960" ht="12"/>
    <row r="5961" ht="12"/>
    <row r="5964" ht="12"/>
    <row r="5966" ht="12"/>
    <row r="5968" ht="12"/>
    <row r="6079" ht="12"/>
    <row r="6080" ht="12"/>
    <row r="6132" ht="12"/>
    <row r="6133" ht="12"/>
    <row r="6134" ht="12"/>
    <row r="6183" ht="12"/>
    <row r="6184" ht="12"/>
    <row r="6185" ht="12"/>
    <row r="6186" ht="12"/>
    <row r="6187" ht="12"/>
    <row r="6188" ht="12"/>
    <row r="6190" ht="12"/>
    <row r="6191" ht="12"/>
    <row r="6192" ht="12"/>
    <row r="6195" ht="12"/>
    <row r="6196" ht="12"/>
    <row r="6197" ht="12"/>
    <row r="6204" ht="12"/>
    <row r="6205" ht="12"/>
    <row r="6207" ht="12"/>
    <row r="6208" ht="12"/>
    <row r="6209" ht="12"/>
    <row r="6219" ht="12"/>
    <row r="6220" ht="12"/>
    <row r="6221" ht="12"/>
    <row r="6222" ht="12"/>
    <row r="6223" ht="12"/>
    <row r="6225" ht="12"/>
    <row r="6226" ht="12"/>
    <row r="6227" ht="12"/>
    <row r="6228" ht="12"/>
    <row r="6229" ht="12"/>
    <row r="6230" ht="12"/>
    <row r="6231" ht="12"/>
    <row r="6232" ht="12"/>
    <row r="6235" ht="12"/>
    <row r="6236" ht="12"/>
    <row r="6237" ht="12"/>
    <row r="6238" ht="12"/>
    <row r="6239" ht="12"/>
    <row r="6241" ht="12"/>
    <row r="6242" ht="12"/>
    <row r="6243" ht="12"/>
    <row r="6244" ht="12"/>
    <row r="6245" ht="12"/>
    <row r="6246" ht="12"/>
    <row r="6247" ht="12"/>
    <row r="6248" ht="12"/>
    <row r="6249" ht="12"/>
    <row r="6250" ht="12"/>
    <row r="6251" ht="12"/>
    <row r="6252" ht="12"/>
    <row r="6253" ht="12"/>
    <row r="6254" ht="12"/>
    <row r="6256" ht="12"/>
    <row r="6257" ht="12"/>
    <row r="6258" ht="12"/>
    <row r="6288" ht="12"/>
    <row r="6289" ht="12"/>
    <row r="6290" ht="12"/>
    <row r="6291" ht="12"/>
    <row r="6293" ht="12"/>
    <row r="6294" ht="12"/>
    <row r="6295" ht="12"/>
    <row r="6296" ht="12"/>
    <row r="6297" ht="12"/>
    <row r="6298" ht="12"/>
    <row r="6299" ht="12"/>
    <row r="6300" ht="12"/>
    <row r="6301" ht="12"/>
    <row r="6302" ht="12"/>
    <row r="6309" ht="12"/>
    <row r="6310" ht="12"/>
    <row r="6331" ht="12"/>
    <row r="6403" ht="12"/>
    <row r="6404" ht="12"/>
    <row r="6416" ht="12"/>
    <row r="6417" ht="12"/>
    <row r="6418" ht="12"/>
    <row r="6419" ht="12"/>
    <row r="6421" ht="12"/>
    <row r="6423" ht="12"/>
    <row r="6424" ht="12"/>
    <row r="6425" ht="12"/>
    <row r="6426" ht="12"/>
    <row r="6427" ht="12"/>
    <row r="6431" ht="12"/>
    <row r="6432" ht="12"/>
    <row r="6433" ht="12"/>
    <row r="6434" ht="12"/>
    <row r="6435" ht="12"/>
    <row r="6436" ht="12"/>
    <row r="6440" ht="12"/>
    <row r="6441" ht="12"/>
    <row r="6443" ht="12"/>
    <row r="6444" ht="12"/>
    <row r="6447" ht="12"/>
    <row r="6448" ht="12"/>
    <row r="6449" ht="12"/>
    <row r="6450" ht="12"/>
    <row r="6451" ht="12"/>
    <row r="6452" ht="12"/>
    <row r="6453" ht="12"/>
    <row r="6454" ht="12"/>
    <row r="6455" ht="12"/>
    <row r="6456" ht="12"/>
    <row r="6457" ht="12"/>
    <row r="6458" ht="12"/>
    <row r="6459" ht="12"/>
    <row r="6460" ht="12"/>
    <row r="6461" ht="12"/>
    <row r="6462" ht="12"/>
    <row r="6463" ht="12"/>
    <row r="6464" ht="12"/>
    <row r="6465" ht="12"/>
    <row r="6466" ht="12"/>
    <row r="6467" ht="12"/>
    <row r="6468" ht="12"/>
    <row r="6469" ht="12"/>
    <row r="6472" ht="12"/>
    <row r="6473" ht="12"/>
    <row r="6474" ht="12"/>
    <row r="6478" ht="12"/>
    <row r="6480" ht="12"/>
    <row r="6481" ht="12"/>
    <row r="6482" ht="12"/>
    <row r="6483" ht="12"/>
    <row r="6484" ht="12"/>
    <row r="6485" ht="12"/>
    <row r="6486" ht="12"/>
    <row r="6487" ht="12"/>
    <row r="6488" ht="12"/>
    <row r="6493" ht="12"/>
    <row r="6494" ht="12"/>
    <row r="6495" ht="12"/>
    <row r="6510" ht="12"/>
    <row r="6513" ht="12"/>
    <row r="6514" ht="12"/>
    <row r="6515" ht="12"/>
    <row r="6516" ht="12"/>
    <row r="6518" ht="12"/>
    <row r="6520" ht="12"/>
    <row r="6521" ht="12"/>
    <row r="6522" ht="12"/>
    <row r="6523" ht="12"/>
    <row r="6524" ht="12"/>
    <row r="6525" ht="12"/>
    <row r="6526" ht="12"/>
    <row r="6527" ht="12"/>
    <row r="6528" ht="12"/>
    <row r="6529" ht="12"/>
    <row r="6530" ht="12"/>
    <row r="6531" ht="12"/>
    <row r="6532" ht="12"/>
    <row r="6533" ht="12"/>
    <row r="6534" ht="12"/>
    <row r="6535" ht="12"/>
    <row r="6536" ht="12"/>
    <row r="6537" ht="12"/>
    <row r="6538" ht="12"/>
    <row r="6539" ht="12"/>
    <row r="6540" ht="12"/>
    <row r="6541" ht="12"/>
    <row r="6542" ht="12"/>
    <row r="6543" ht="12"/>
    <row r="6549" ht="12"/>
    <row r="6550" ht="12"/>
    <row r="6551" ht="12"/>
    <row r="6552" ht="12"/>
    <row r="6553" ht="12"/>
    <row r="6554" ht="12"/>
    <row r="6555" ht="12"/>
    <row r="6556" ht="12"/>
    <row r="6557" ht="12"/>
    <row r="6558" ht="12"/>
    <row r="6559" ht="12"/>
    <row r="6560" ht="12"/>
    <row r="6561" ht="12"/>
    <row r="6562" ht="12"/>
    <row r="6564" ht="12"/>
    <row r="6565" ht="12"/>
    <row r="6566" ht="12"/>
    <row r="6567" ht="12"/>
    <row r="6568" ht="12"/>
    <row r="6569" ht="12"/>
    <row r="6570" ht="12"/>
    <row r="6571" ht="12"/>
    <row r="6572" ht="12"/>
    <row r="6573" ht="12"/>
    <row r="6574" ht="12"/>
    <row r="6575" ht="12"/>
    <row r="6576" ht="12"/>
    <row r="6577" ht="12"/>
    <row r="6578" ht="12"/>
    <row r="6579" ht="12"/>
    <row r="6580" ht="12"/>
    <row r="6581" ht="12"/>
    <row r="6582" ht="12"/>
    <row r="6583" ht="12"/>
    <row r="6592" ht="12"/>
    <row r="6593" ht="12"/>
    <row r="6594" ht="12"/>
    <row r="6595" ht="12"/>
    <row r="6596" ht="12"/>
    <row r="6597" ht="12"/>
    <row r="6598" ht="12"/>
    <row r="6599" ht="12"/>
    <row r="6600" ht="12"/>
    <row r="6601" ht="12"/>
    <row r="6602" ht="12"/>
    <row r="6603" ht="12"/>
    <row r="6604" ht="12"/>
    <row r="6605" ht="12"/>
    <row r="6606" ht="12"/>
    <row r="6607" ht="12"/>
    <row r="6624" ht="12"/>
    <row r="6625" ht="12"/>
    <row r="6626" ht="12"/>
    <row r="6627" ht="12"/>
    <row r="6628" ht="12"/>
    <row r="6629" ht="12"/>
    <row r="6630" ht="12"/>
    <row r="6631" ht="12"/>
    <row r="6641" ht="12"/>
    <row r="6642" ht="12"/>
    <row r="6643" ht="12"/>
    <row r="6644" ht="12"/>
    <row r="6645" ht="12"/>
    <row r="6651" ht="12"/>
    <row r="6652" ht="12"/>
    <row r="6653" ht="12"/>
    <row r="6654" ht="12"/>
    <row r="6655" ht="12"/>
    <row r="6656" ht="12"/>
    <row r="6658" ht="12"/>
    <row r="6659" ht="12"/>
    <row r="6660" ht="12"/>
    <row r="6661" ht="12"/>
    <row r="6663" ht="12"/>
    <row r="6665" ht="12"/>
    <row r="6667" ht="12"/>
    <row r="6668" ht="12"/>
    <row r="6669" ht="12"/>
    <row r="6670" ht="12"/>
    <row r="6671" ht="12"/>
    <row r="6672" ht="12"/>
    <row r="6673" ht="12"/>
    <row r="6675" ht="12"/>
    <row r="6682" ht="12"/>
    <row r="6683" ht="12"/>
    <row r="6684" ht="12"/>
    <row r="6685" ht="12"/>
    <row r="6686" ht="12"/>
    <row r="6687" ht="12"/>
    <row r="6688" ht="12"/>
    <row r="6689" ht="12"/>
    <row r="6690" ht="12"/>
    <row r="6691" ht="12"/>
    <row r="6693" ht="12"/>
    <row r="6694" ht="12"/>
    <row r="6695" ht="12"/>
    <row r="6697" ht="12"/>
    <row r="6698" ht="12"/>
    <row r="6699" ht="12"/>
    <row r="6700" ht="12"/>
    <row r="6701" ht="12"/>
    <row r="6702" ht="12"/>
    <row r="6703" ht="12"/>
    <row r="6704" ht="12"/>
    <row r="6705" ht="12"/>
    <row r="6706" ht="12"/>
    <row r="6707" ht="12"/>
    <row r="6708" ht="12"/>
    <row r="6709" ht="12"/>
    <row r="6711" ht="12"/>
    <row r="6713" ht="12"/>
    <row r="6714" ht="12"/>
    <row r="6715" ht="12"/>
    <row r="6716" ht="12"/>
    <row r="6717" ht="12"/>
    <row r="6718" ht="12"/>
    <row r="6719" ht="12"/>
    <row r="6720" ht="12"/>
    <row r="6721" ht="12"/>
    <row r="6722" ht="12"/>
    <row r="6723" ht="12"/>
    <row r="6724" ht="12"/>
    <row r="6725" ht="12"/>
    <row r="6726" ht="12"/>
    <row r="6727" ht="12"/>
    <row r="6735" ht="12"/>
    <row r="6736" ht="12"/>
    <row r="6737" ht="12"/>
    <row r="6738" ht="12"/>
    <row r="6739" ht="12"/>
    <row r="6740" ht="12"/>
    <row r="6741" ht="12"/>
    <row r="6742" ht="12"/>
    <row r="6743" ht="12"/>
    <row r="6744" ht="12"/>
    <row r="6745" ht="12"/>
    <row r="6746" ht="12"/>
    <row r="6747" ht="12"/>
    <row r="6748" ht="12"/>
    <row r="6749" ht="12"/>
    <row r="6750" ht="12"/>
    <row r="6777" ht="12"/>
    <row r="6778" ht="12"/>
    <row r="6780" ht="12"/>
    <row r="6781" ht="12"/>
    <row r="6784" ht="12"/>
    <row r="6785" ht="12"/>
    <row r="6787" ht="12"/>
    <row r="6788" ht="12"/>
    <row r="6793" ht="12"/>
    <row r="6795" ht="12"/>
    <row r="6797" ht="12"/>
    <row r="6798" ht="12"/>
    <row r="6801" ht="12"/>
    <row r="6803" ht="12"/>
    <row r="6804" ht="12"/>
    <row r="6829" ht="12"/>
    <row r="6834" ht="12"/>
    <row r="6835" ht="12"/>
    <row r="6840" ht="12"/>
    <row r="6841" ht="12"/>
    <row r="6842" ht="12"/>
    <row r="6843" ht="12"/>
    <row r="6849" ht="12"/>
    <row r="6850" ht="12"/>
    <row r="6856" ht="12"/>
    <row r="6857" ht="12"/>
    <row r="6858" ht="12"/>
    <row r="6859" ht="12"/>
    <row r="6860" ht="12"/>
    <row r="6873" ht="12"/>
    <row r="6874" ht="12"/>
    <row r="6875" ht="12"/>
    <row r="6876" ht="12"/>
    <row r="6877" ht="12"/>
    <row r="6878" ht="12"/>
    <row r="6879" ht="12"/>
    <row r="6880" ht="12"/>
    <row r="6881" ht="12"/>
    <row r="6882" ht="12"/>
    <row r="6883" ht="12"/>
    <row r="6884" ht="12"/>
    <row r="6885" ht="12"/>
    <row r="6886" ht="12"/>
    <row r="6887" ht="12"/>
    <row r="6888" ht="12"/>
    <row r="6889" ht="12"/>
    <row r="6890" ht="12"/>
    <row r="6891" ht="12"/>
    <row r="6892" ht="12"/>
    <row r="6893" ht="12"/>
    <row r="6894" ht="12"/>
    <row r="6895" ht="12"/>
    <row r="6896" ht="12"/>
    <row r="6897" ht="12"/>
    <row r="6898" ht="12"/>
    <row r="6899" ht="12"/>
    <row r="6900" ht="12"/>
    <row r="6902" ht="12"/>
    <row r="6905" ht="12"/>
    <row r="6906" ht="12"/>
    <row r="6907" ht="12"/>
    <row r="6912" ht="12"/>
    <row r="6928" ht="12"/>
    <row r="6929" ht="12"/>
    <row r="6930" ht="12"/>
    <row r="6931" ht="12"/>
    <row r="6932" ht="12"/>
    <row r="6933" ht="12"/>
    <row r="6934" ht="12"/>
    <row r="6935" ht="12"/>
    <row r="6936" ht="12"/>
    <row r="6937" ht="12"/>
    <row r="6938" ht="12"/>
    <row r="6939" ht="12"/>
    <row r="6940" ht="12"/>
    <row r="6941" ht="12"/>
    <row r="6942" ht="12"/>
    <row r="6943" ht="12"/>
    <row r="6944" ht="12"/>
    <row r="6945" ht="12"/>
    <row r="6946" ht="12"/>
    <row r="6947" ht="12"/>
    <row r="6949" ht="12"/>
    <row r="6951" ht="12"/>
    <row r="6952" ht="12"/>
    <row r="6953" ht="12"/>
    <row r="6954" ht="12"/>
    <row r="6955" ht="12"/>
    <row r="6958" ht="12"/>
    <row r="6961" ht="12"/>
    <row r="6962" ht="12"/>
    <row r="6965" ht="12"/>
    <row r="6966" ht="12"/>
    <row r="6967" ht="12"/>
    <row r="6974" ht="12"/>
    <row r="6975" ht="12"/>
    <row r="6976" ht="12"/>
    <row r="6977" ht="12"/>
    <row r="6978" ht="12"/>
    <row r="6979" ht="12"/>
    <row r="6980" ht="12"/>
    <row r="6981" ht="12"/>
    <row r="6984" ht="12"/>
    <row r="6985" ht="12"/>
    <row r="6986" ht="12"/>
    <row r="6987" ht="12"/>
    <row r="6988" ht="12"/>
    <row r="6989" ht="12"/>
    <row r="6990" ht="12"/>
    <row r="6991" ht="12"/>
    <row r="6992" ht="12"/>
    <row r="6993" ht="12"/>
    <row r="6994" ht="12"/>
    <row r="6995" ht="12"/>
    <row r="6996" ht="12"/>
    <row r="6997" ht="12"/>
    <row r="6998" ht="12"/>
    <row r="6999" ht="12"/>
    <row r="7000" ht="12"/>
    <row r="7001" ht="12"/>
    <row r="7002" ht="12"/>
    <row r="7003" ht="12"/>
    <row r="7004" ht="12"/>
    <row r="7005" ht="12"/>
    <row r="7006" ht="12"/>
    <row r="7007" ht="12"/>
    <row r="7008" ht="12"/>
    <row r="7009" ht="12"/>
    <row r="7010" ht="12"/>
    <row r="7013" ht="12"/>
    <row r="7019" ht="12"/>
    <row r="7021" ht="12"/>
    <row r="7022" ht="12"/>
    <row r="7026" ht="12"/>
    <row r="7027" ht="12"/>
    <row r="7028" ht="12"/>
    <row r="7029" ht="12"/>
    <row r="7030" ht="12"/>
    <row r="7032" ht="12"/>
    <row r="7033" ht="12"/>
    <row r="7037" ht="12"/>
    <row r="7038" ht="12"/>
    <row r="7040" ht="12"/>
    <row r="7041" ht="12"/>
    <row r="7044" ht="12"/>
    <row r="7091" ht="12"/>
    <row r="7178" ht="12"/>
    <row r="7283" ht="12"/>
    <row r="7343" ht="12"/>
    <row r="7468" ht="12"/>
    <row r="7485" ht="12"/>
    <row r="7488" ht="12"/>
    <row r="7489" ht="12"/>
    <row r="7553" ht="12"/>
    <row r="7572" ht="12"/>
    <row r="7573" ht="12"/>
    <row r="7578" ht="12"/>
    <row r="7579" ht="12"/>
    <row r="7580" ht="12"/>
    <row r="7585" ht="12"/>
    <row r="7586" ht="12"/>
    <row r="7587" ht="12"/>
    <row r="7588" ht="12"/>
    <row r="7589" ht="12"/>
    <row r="7600" ht="12"/>
    <row r="7601" ht="12"/>
    <row r="7602" ht="12"/>
    <row r="7603" ht="12"/>
    <row r="7606" ht="12"/>
    <row r="7625" ht="12"/>
    <row r="7671" ht="12"/>
    <row r="7681" ht="12"/>
    <row r="7682" ht="12"/>
    <row r="7683" ht="12"/>
    <row r="7684" ht="12"/>
    <row r="7685" ht="12"/>
    <row r="7686" ht="12"/>
    <row r="7708" ht="12"/>
    <row r="7710" ht="12"/>
    <row r="7711" ht="12"/>
    <row r="7712" ht="12"/>
    <row r="7713" ht="12"/>
    <row r="7714" ht="12"/>
    <row r="7715" ht="12"/>
    <row r="7716" ht="12"/>
    <row r="7717" ht="12"/>
    <row r="7718" ht="12"/>
    <row r="7719" ht="12"/>
    <row r="7720" ht="12"/>
    <row r="7728" ht="12"/>
    <row r="7729" ht="12"/>
    <row r="7730" ht="12"/>
    <row r="7731" ht="12"/>
    <row r="7732" ht="12"/>
    <row r="7733" ht="12"/>
    <row r="7734" ht="12"/>
    <row r="7735" ht="12"/>
    <row r="7736" ht="12"/>
    <row r="7737" ht="12"/>
    <row r="7738" ht="12"/>
    <row r="7739" ht="12"/>
    <row r="7740" ht="12"/>
    <row r="7741" ht="12"/>
    <row r="7742" ht="12"/>
    <row r="7743" ht="12"/>
    <row r="7745" ht="12"/>
    <row r="7746" ht="12"/>
    <row r="7747" ht="12"/>
    <row r="7748" ht="12"/>
    <row r="7749" ht="12"/>
    <row r="7750" ht="12"/>
    <row r="7751" ht="12"/>
    <row r="7752" ht="12"/>
    <row r="7753" ht="12"/>
    <row r="7758" ht="12"/>
    <row r="7759" ht="12"/>
    <row r="7760" ht="12"/>
    <row r="7761" ht="12"/>
    <row r="7762" ht="12"/>
    <row r="7763" ht="12"/>
    <row r="7764" ht="12"/>
    <row r="7765" ht="12"/>
    <row r="7766" ht="12"/>
    <row r="7767" ht="12"/>
    <row r="7768" ht="12"/>
    <row r="7769" ht="12"/>
    <row r="7770" ht="12"/>
    <row r="7771" ht="12"/>
    <row r="7772" ht="12"/>
    <row r="7773" ht="12"/>
    <row r="7774" ht="12"/>
    <row r="7775" ht="12"/>
    <row r="7776" ht="12"/>
    <row r="7777" ht="12"/>
    <row r="7778" ht="12"/>
    <row r="7779" ht="12"/>
    <row r="7780" ht="12"/>
    <row r="7781" ht="12"/>
    <row r="7782" ht="12"/>
    <row r="7783" ht="12"/>
    <row r="7784" ht="12"/>
    <row r="7785" ht="12"/>
    <row r="7786" ht="12"/>
    <row r="7787" ht="12"/>
    <row r="7788" ht="12"/>
    <row r="7789" ht="12"/>
    <row r="7790" ht="12"/>
    <row r="7791" ht="12"/>
    <row r="7796" ht="12"/>
    <row r="7801" ht="12"/>
    <row r="7802" ht="12"/>
    <row r="7803" ht="12"/>
    <row r="7804" ht="12"/>
    <row r="7805" ht="12"/>
    <row r="7806" ht="12"/>
    <row r="7807" ht="12"/>
    <row r="7808" ht="12"/>
    <row r="7809" ht="12"/>
    <row r="7810" ht="12"/>
    <row r="7811" ht="12"/>
    <row r="7812" ht="12"/>
    <row r="7813" ht="12"/>
    <row r="7814" ht="12"/>
    <row r="7815" ht="12"/>
    <row r="7818" ht="12"/>
    <row r="7819" ht="12"/>
    <row r="7820" ht="12"/>
    <row r="7821" ht="12"/>
    <row r="7823" ht="12"/>
    <row r="7824" ht="12"/>
    <row r="7825" ht="12"/>
    <row r="7827" ht="12"/>
    <row r="7832" ht="12"/>
    <row r="7834" ht="12"/>
    <row r="7835" ht="12"/>
    <row r="7836" ht="12"/>
    <row r="7845" ht="12"/>
    <row r="7846" ht="12"/>
    <row r="7847" ht="12"/>
    <row r="7848" ht="12"/>
    <row r="7849" ht="12"/>
    <row r="7850" ht="12"/>
    <row r="7851" ht="12"/>
    <row r="7852" ht="12"/>
    <row r="7853" ht="12"/>
    <row r="7854" ht="12"/>
    <row r="7855" ht="12"/>
    <row r="7856" ht="12"/>
    <row r="7857" ht="12"/>
    <row r="7860" ht="12"/>
    <row r="7861" ht="12"/>
    <row r="7862" ht="12"/>
    <row r="7883" ht="12"/>
    <row r="7884" ht="12"/>
    <row r="7885" ht="12"/>
    <row r="7886" ht="12"/>
    <row r="7887" ht="12"/>
    <row r="7888" ht="12"/>
    <row r="7889" ht="12"/>
    <row r="7890" ht="12"/>
    <row r="7891" ht="12"/>
    <row r="7892" ht="12"/>
    <row r="7893" ht="12"/>
    <row r="7894" ht="12"/>
    <row r="7895" ht="12"/>
    <row r="7896" ht="12"/>
    <row r="7913" ht="12"/>
    <row r="7920" ht="12"/>
    <row r="7921" ht="12"/>
    <row r="7922" ht="12"/>
    <row r="7923" ht="12"/>
    <row r="7924" ht="12"/>
    <row r="7925" ht="12"/>
    <row r="7926" ht="12"/>
    <row r="7927" ht="12"/>
    <row r="7928" ht="12"/>
    <row r="7929" ht="12"/>
    <row r="7930" ht="12"/>
    <row r="7931" ht="12"/>
    <row r="7932" ht="12"/>
    <row r="7933" ht="12"/>
    <row r="7934" ht="12"/>
    <row r="7935" ht="12"/>
    <row r="7936" ht="12"/>
    <row r="7937" ht="12"/>
    <row r="7938" ht="12"/>
    <row r="7939" ht="12"/>
    <row r="7940" ht="12"/>
    <row r="7941" ht="12"/>
    <row r="7942" ht="12"/>
    <row r="7943" ht="12"/>
    <row r="7944" ht="12"/>
    <row r="7945" ht="12"/>
    <row r="7946" ht="12"/>
    <row r="7947" ht="12"/>
    <row r="7948" ht="12"/>
    <row r="7949" ht="12"/>
    <row r="7950" ht="12"/>
    <row r="7951" ht="12"/>
    <row r="7952" ht="12"/>
    <row r="7953" ht="12"/>
    <row r="7954" ht="12"/>
    <row r="7955" ht="12"/>
    <row r="7956" ht="12"/>
    <row r="7957" ht="12"/>
    <row r="7958" ht="12"/>
    <row r="7959" ht="12"/>
    <row r="7960" ht="12"/>
    <row r="7961" ht="12"/>
    <row r="7962" ht="12"/>
    <row r="7967" ht="12"/>
    <row r="7968" ht="12"/>
    <row r="7969" ht="12"/>
    <row r="7970" ht="12"/>
    <row r="7971" ht="12"/>
    <row r="7972" ht="12"/>
    <row r="7973" ht="12"/>
    <row r="7974" ht="12"/>
    <row r="7975" ht="12"/>
    <row r="7976" ht="12"/>
    <row r="7977" ht="12"/>
    <row r="7982" ht="12"/>
    <row r="7983" ht="12"/>
    <row r="7984" ht="12"/>
    <row r="7985" ht="12"/>
    <row r="7986" ht="12"/>
    <row r="7987" ht="12"/>
    <row r="7988" ht="12"/>
    <row r="7989" ht="12"/>
    <row r="7994" ht="12"/>
    <row r="7995" ht="12"/>
    <row r="7996" ht="12"/>
    <row r="7997" ht="12"/>
    <row r="7998" ht="12"/>
    <row r="7999" ht="12"/>
    <row r="8000" ht="12"/>
    <row r="8001" ht="12"/>
    <row r="8002" ht="12"/>
    <row r="8003" ht="12"/>
    <row r="8004" ht="12"/>
    <row r="8005" ht="12"/>
    <row r="8006" ht="12"/>
    <row r="8007" ht="12"/>
    <row r="8008" ht="12"/>
    <row r="8009" ht="12"/>
    <row r="8010" ht="12"/>
    <row r="8011" ht="12"/>
    <row r="8012" ht="12"/>
    <row r="8013" ht="12"/>
    <row r="8014" ht="12"/>
    <row r="8015" ht="12"/>
    <row r="8016" ht="12"/>
    <row r="8019" ht="12"/>
    <row r="8020" ht="12"/>
    <row r="8021" ht="12"/>
    <row r="8022" ht="12"/>
    <row r="8023" ht="12"/>
    <row r="8024" ht="12"/>
    <row r="8026" ht="12"/>
    <row r="8027" ht="12"/>
    <row r="8028" ht="12"/>
    <row r="8029" ht="12"/>
    <row r="8030" ht="12"/>
    <row r="8031" ht="12"/>
    <row r="8032" ht="12"/>
    <row r="8033" ht="12"/>
    <row r="8041" ht="12"/>
    <row r="8042" ht="12"/>
    <row r="8043" ht="12"/>
    <row r="8044" ht="12"/>
    <row r="8045" ht="12"/>
    <row r="8046" ht="12"/>
    <row r="8047" ht="12"/>
    <row r="8048" ht="12"/>
    <row r="8049" ht="12"/>
    <row r="8050" ht="12"/>
    <row r="8051" ht="12"/>
    <row r="8052" ht="12"/>
    <row r="8053" ht="12"/>
    <row r="8054" ht="12"/>
    <row r="8055" ht="12"/>
    <row r="8056" ht="12"/>
    <row r="8058" ht="12"/>
    <row r="8063" ht="12"/>
    <row r="8064" ht="12"/>
    <row r="8065" ht="12"/>
    <row r="8066" ht="12"/>
    <row r="8067" ht="12"/>
    <row r="8068" ht="12"/>
    <row r="8069" ht="12"/>
    <row r="8070" ht="12"/>
    <row r="8071" ht="12"/>
    <row r="8072" ht="12"/>
    <row r="8073" ht="12"/>
    <row r="8075" ht="12"/>
    <row r="8076" ht="12"/>
    <row r="8077" ht="12"/>
    <row r="8078" ht="12"/>
    <row r="8079" ht="12"/>
    <row r="8080" ht="12"/>
    <row r="8081" ht="12"/>
    <row r="8082" ht="12"/>
    <row r="8083" ht="12"/>
    <row r="8084" ht="12"/>
    <row r="8085" ht="12"/>
    <row r="8086" ht="12"/>
    <row r="8087" ht="12"/>
    <row r="8089" ht="12"/>
    <row r="8090" ht="12"/>
    <row r="8091" ht="12"/>
    <row r="8092" ht="12"/>
    <row r="8093" ht="12"/>
    <row r="8094" ht="12"/>
    <row r="8095" ht="12"/>
    <row r="8096" ht="12"/>
    <row r="8097" ht="12"/>
    <row r="8098" ht="12"/>
    <row r="8099" ht="12"/>
    <row r="8100" ht="12"/>
    <row r="8101" ht="12"/>
    <row r="8102" ht="12"/>
    <row r="8103" ht="12"/>
    <row r="8107" ht="12"/>
    <row r="8108" ht="12"/>
    <row r="8109" ht="12"/>
    <row r="8110" ht="12"/>
    <row r="8111" ht="12"/>
    <row r="8112" ht="12"/>
    <row r="8113" ht="12"/>
    <row r="8114" ht="12"/>
    <row r="8115" ht="12"/>
    <row r="8116" ht="12"/>
    <row r="8117" ht="12"/>
    <row r="8118" ht="12"/>
    <row r="8119" ht="12"/>
    <row r="8120" ht="12"/>
    <row r="8121" ht="12"/>
    <row r="8122" ht="12"/>
    <row r="8123" ht="12"/>
    <row r="8124" ht="12"/>
    <row r="8125" ht="12"/>
    <row r="8126" ht="12"/>
    <row r="8127" ht="12"/>
    <row r="8128" ht="12"/>
    <row r="8129" ht="12"/>
    <row r="8130" ht="12"/>
    <row r="8131" ht="12"/>
    <row r="8132" ht="12"/>
    <row r="8133" ht="12"/>
    <row r="8134" ht="12"/>
    <row r="8135" ht="12"/>
    <row r="8136" ht="12"/>
    <row r="8137" ht="12"/>
    <row r="8138" ht="12"/>
    <row r="8143" ht="12"/>
    <row r="8144" ht="12"/>
    <row r="8147" ht="12"/>
    <row r="8184" ht="12"/>
    <row r="8185" ht="12"/>
    <row r="8186" ht="12"/>
    <row r="8246" ht="12"/>
    <row r="8247" ht="12"/>
    <row r="8338" ht="12"/>
    <row r="8339" ht="12"/>
    <row r="8340" ht="12"/>
    <row r="8341" ht="12"/>
    <row r="8342" ht="12"/>
    <row r="8343" ht="12"/>
    <row r="8344" ht="12"/>
    <row r="8345" ht="12"/>
    <row r="8346" ht="12"/>
    <row r="8347" ht="12"/>
    <row r="8348" ht="12"/>
    <row r="8349" ht="12"/>
    <row r="8350" ht="12"/>
    <row r="8351" ht="12"/>
    <row r="8352" ht="12"/>
    <row r="8353" ht="12"/>
    <row r="8354" ht="12"/>
    <row r="8355" ht="12"/>
    <row r="8356" ht="12"/>
    <row r="8357" ht="12"/>
    <row r="8358" ht="12"/>
    <row r="8359" ht="12"/>
    <row r="8360" ht="12"/>
    <row r="8361" ht="12"/>
    <row r="8362" ht="12"/>
    <row r="8363" ht="12"/>
    <row r="8366" ht="12"/>
    <row r="8368" ht="12"/>
    <row r="8370" ht="12"/>
    <row r="8371" ht="12"/>
    <row r="8372" ht="12"/>
    <row r="8373" ht="12"/>
    <row r="8374" ht="12"/>
    <row r="8375" ht="12"/>
    <row r="8376" ht="12"/>
    <row r="8377" ht="12"/>
    <row r="8378" ht="12"/>
    <row r="8379" ht="12"/>
    <row r="8380" ht="12"/>
    <row r="8381" ht="12"/>
    <row r="8382" ht="12"/>
    <row r="8383" ht="12"/>
    <row r="8384" ht="12"/>
    <row r="8385" ht="12"/>
    <row r="8386" ht="12"/>
    <row r="8387" ht="12"/>
    <row r="8388" ht="12"/>
    <row r="8390" ht="12"/>
    <row r="8391" ht="12"/>
    <row r="8392" ht="12"/>
    <row r="8393" ht="12"/>
    <row r="8404" ht="12"/>
    <row r="8405" ht="12"/>
    <row r="8408" ht="12"/>
    <row r="8409" ht="12"/>
    <row r="8410" ht="12"/>
    <row r="8411" ht="12"/>
    <row r="8412" ht="12"/>
    <row r="8413" ht="12"/>
    <row r="8414" ht="12"/>
    <row r="8415" ht="12"/>
    <row r="8416" ht="12"/>
    <row r="8417" ht="12"/>
    <row r="8418" ht="12"/>
    <row r="8419" ht="12"/>
    <row r="8420" ht="12"/>
    <row r="8421" ht="12"/>
    <row r="8422" ht="12"/>
    <row r="8423" ht="12"/>
    <row r="8425" ht="12"/>
    <row r="8430" ht="12"/>
    <row r="8432" ht="12"/>
    <row r="8433" ht="12"/>
    <row r="8434" ht="12"/>
    <row r="8435" ht="12"/>
    <row r="8436" ht="12"/>
    <row r="8437" ht="12"/>
    <row r="8438" ht="12"/>
    <row r="8440" ht="12"/>
    <row r="8441" ht="12"/>
    <row r="8442" ht="12"/>
    <row r="8443" ht="12"/>
    <row r="8444" ht="12"/>
    <row r="8445" ht="12"/>
    <row r="8446" ht="12"/>
    <row r="8447" ht="12"/>
    <row r="8448" ht="12"/>
    <row r="8449" ht="12"/>
    <row r="8450" ht="12"/>
    <row r="8451" ht="12"/>
    <row r="8452" ht="12"/>
    <row r="8453" ht="12"/>
    <row r="8454" ht="12"/>
    <row r="8455" ht="12"/>
    <row r="8456" ht="12"/>
    <row r="8457" ht="12"/>
    <row r="8458" ht="12"/>
    <row r="8459" ht="12"/>
    <row r="8460" ht="12"/>
    <row r="8461" ht="12"/>
    <row r="8462" ht="12"/>
    <row r="8463" ht="12"/>
    <row r="8464" ht="12"/>
    <row r="8467" ht="12"/>
    <row r="8468" ht="12"/>
    <row r="8470" ht="12"/>
    <row r="8471" ht="12"/>
    <row r="8472" ht="12"/>
    <row r="8473" ht="12"/>
    <row r="8479" ht="12"/>
    <row r="8480" ht="12"/>
    <row r="8481" ht="12"/>
    <row r="8482" ht="12"/>
    <row r="8483" ht="12"/>
    <row r="8484" ht="12"/>
    <row r="8485" ht="12"/>
    <row r="8486" ht="12"/>
    <row r="8487" ht="12"/>
    <row r="8488" ht="12"/>
    <row r="8489" ht="12"/>
    <row r="8490" ht="12"/>
    <row r="8492" ht="12"/>
    <row r="8500" ht="12"/>
    <row r="8501" ht="12"/>
    <row r="8502" ht="12"/>
    <row r="8503" ht="12"/>
    <row r="8507" ht="12"/>
    <row r="8508" ht="12"/>
    <row r="8509" ht="12"/>
    <row r="8511" ht="12"/>
    <row r="8512" ht="12"/>
    <row r="8513" ht="12"/>
    <row r="8515" ht="12"/>
    <row r="8518" ht="12"/>
    <row r="8519" ht="12"/>
    <row r="8524" ht="12"/>
    <row r="8537" ht="12"/>
    <row r="8538" ht="12"/>
    <row r="8540" ht="12"/>
    <row r="8542" ht="12"/>
    <row r="8543" ht="12"/>
    <row r="8544" ht="12"/>
    <row r="8545" ht="12"/>
    <row r="8546" ht="12"/>
    <row r="8547" ht="12"/>
    <row r="8548" ht="12"/>
    <row r="8549" ht="12"/>
    <row r="8550" ht="12"/>
    <row r="8551" ht="12"/>
    <row r="8552" ht="12"/>
    <row r="8553" ht="12"/>
    <row r="8554" ht="12"/>
    <row r="8555" ht="12"/>
    <row r="8558" ht="12"/>
    <row r="8559" ht="12"/>
    <row r="8560" ht="12"/>
    <row r="8565" ht="12"/>
    <row r="8568" ht="12"/>
    <row r="8570" ht="12"/>
    <row r="8571" ht="12"/>
    <row r="8572" ht="12"/>
    <row r="8573" ht="12"/>
    <row r="8574" ht="12"/>
    <row r="8582" ht="12"/>
    <row r="8583" ht="12"/>
    <row r="8584" ht="12"/>
    <row r="8590" ht="12"/>
    <row r="8592" ht="12"/>
    <row r="8603" ht="12"/>
    <row r="8604" ht="12"/>
    <row r="8605" ht="12"/>
    <row r="8606" ht="12"/>
    <row r="8607" ht="12"/>
    <row r="8608" ht="12"/>
    <row r="8609" ht="12"/>
    <row r="8610" ht="12"/>
    <row r="8611" ht="12"/>
    <row r="8612" ht="12"/>
    <row r="8613" ht="12"/>
    <row r="8614" ht="12"/>
    <row r="8615" ht="12"/>
    <row r="8616" ht="12"/>
    <row r="8617" ht="12"/>
    <row r="8618" ht="12"/>
    <row r="8619" ht="12"/>
    <row r="8620" ht="12"/>
    <row r="8621" ht="12"/>
    <row r="8626" ht="12"/>
    <row r="8627" ht="12"/>
    <row r="8628" ht="12"/>
    <row r="8629" ht="12"/>
    <row r="8630" ht="12"/>
    <row r="8631" ht="12"/>
    <row r="8633" ht="12"/>
    <row r="8634" ht="12"/>
    <row r="8635" ht="12"/>
    <row r="8636" ht="12"/>
    <row r="8637" ht="12"/>
    <row r="8642" ht="12"/>
    <row r="8643" ht="12"/>
    <row r="8644" ht="12"/>
    <row r="8645" ht="12"/>
    <row r="8646" ht="12"/>
    <row r="8647" ht="12"/>
    <row r="8648" ht="12"/>
    <row r="8649" ht="12"/>
    <row r="8659" ht="12"/>
    <row r="8660" ht="12"/>
    <row r="8661" ht="12"/>
    <row r="8662" ht="12"/>
    <row r="8663" ht="12"/>
    <row r="8664" ht="12"/>
    <row r="8668" ht="12"/>
    <row r="8669" ht="12"/>
    <row r="8671" ht="12"/>
    <row r="8672" ht="12"/>
    <row r="8673" ht="12"/>
    <row r="8674" ht="12"/>
    <row r="8693" ht="12"/>
    <row r="8701" ht="12"/>
    <row r="8702" ht="12"/>
    <row r="8710" ht="12"/>
    <row r="8711" ht="12"/>
    <row r="8736" ht="12"/>
    <row r="8739" ht="12"/>
    <row r="8740" ht="12"/>
    <row r="8741" ht="12"/>
    <row r="8742" ht="12"/>
    <row r="8754" ht="12"/>
    <row r="8755" ht="12"/>
    <row r="8756" ht="12"/>
    <row r="8757" ht="12"/>
    <row r="8764" ht="12"/>
    <row r="8780" ht="12"/>
    <row r="8795" ht="12"/>
    <row r="8820" ht="12"/>
    <row r="8821" ht="12"/>
    <row r="8828" ht="12"/>
    <row r="8852" ht="12"/>
    <row r="8853" ht="12"/>
    <row r="8854" ht="12"/>
    <row r="8885" ht="12"/>
    <row r="8886" ht="12"/>
    <row r="8887" ht="12"/>
    <row r="8889" ht="12"/>
    <row r="8890" ht="12"/>
    <row r="8891" ht="12"/>
    <row r="8892" ht="12"/>
    <row r="8893" ht="12"/>
    <row r="8899" ht="12"/>
    <row r="8900" ht="12"/>
    <row r="8901" ht="12"/>
    <row r="8902" ht="12"/>
    <row r="8903" ht="12"/>
    <row r="8904" ht="12"/>
    <row r="8905" ht="12"/>
    <row r="8906" ht="12"/>
    <row r="8907" ht="12"/>
    <row r="8908" ht="12"/>
    <row r="8909" ht="12"/>
    <row r="8910" ht="12"/>
    <row r="8911" ht="12"/>
    <row r="8912" ht="12"/>
    <row r="8913" ht="12"/>
    <row r="8914" ht="12"/>
    <row r="8915" ht="12"/>
    <row r="8916" ht="12"/>
    <row r="8917" ht="12"/>
    <row r="8918" ht="12"/>
    <row r="8919" ht="12"/>
    <row r="8922" ht="12"/>
    <row r="8929" ht="12"/>
    <row r="8930" ht="12"/>
    <row r="8931" ht="12"/>
    <row r="8932" ht="12"/>
    <row r="8933" ht="12"/>
    <row r="8955" ht="12"/>
    <row r="8956" ht="12"/>
    <row r="8957" ht="12"/>
    <row r="8958" ht="12"/>
    <row r="8959" ht="12"/>
    <row r="8960" ht="12"/>
    <row r="8961" ht="12"/>
    <row r="8962" ht="12"/>
    <row r="8963" ht="12"/>
    <row r="8964" ht="12"/>
    <row r="8965" ht="12"/>
    <row r="8969" ht="12"/>
    <row r="8970" ht="12"/>
    <row r="8971" ht="12"/>
    <row r="8972" ht="12"/>
    <row r="8973" ht="12"/>
    <row r="8974" ht="12"/>
    <row r="8978" ht="12"/>
    <row r="8980" ht="12"/>
    <row r="8981" ht="12"/>
    <row r="8982" ht="12"/>
    <row r="8983" ht="12"/>
    <row r="8984" ht="12"/>
    <row r="8985" ht="12"/>
    <row r="8986" ht="12"/>
    <row r="8987" ht="12"/>
    <row r="8992" ht="12"/>
    <row r="8997" ht="12"/>
    <row r="8998" ht="12"/>
    <row r="8999" ht="12"/>
    <row r="9000" ht="12"/>
    <row r="9001" ht="12"/>
    <row r="9002" ht="12"/>
    <row r="9003" ht="12"/>
    <row r="9004" ht="12"/>
    <row r="9005" ht="12"/>
    <row r="9006" ht="12"/>
    <row r="9007" ht="12"/>
    <row r="9008" ht="12"/>
    <row r="9009" ht="12"/>
    <row r="9010" ht="12"/>
    <row r="9011" ht="12"/>
    <row r="9012" ht="12"/>
    <row r="9013" ht="12"/>
    <row r="9014" ht="12"/>
    <row r="9015" ht="12"/>
    <row r="9016" ht="12"/>
    <row r="9017" ht="12"/>
    <row r="9018" ht="12"/>
    <row r="9019" ht="12"/>
    <row r="9020" ht="12"/>
    <row r="9021" ht="12"/>
    <row r="9022" ht="12"/>
    <row r="9023" ht="12"/>
    <row r="9024" ht="12"/>
    <row r="9025" ht="12"/>
    <row r="9026" ht="12"/>
    <row r="9027" ht="12"/>
    <row r="9028" ht="12"/>
    <row r="9029" ht="12"/>
    <row r="9030" ht="12"/>
    <row r="9031" ht="12"/>
    <row r="9032" ht="12"/>
    <row r="9033" ht="12"/>
    <row r="9034" ht="12"/>
    <row r="9035" ht="12"/>
    <row r="9036" ht="12"/>
    <row r="9037" ht="12"/>
    <row r="9038" ht="12"/>
    <row r="9039" ht="12"/>
    <row r="9040" ht="12"/>
    <row r="9041" ht="12"/>
    <row r="9042" ht="12"/>
    <row r="9043" ht="12"/>
    <row r="9072" ht="12"/>
    <row r="9074" ht="12"/>
    <row r="9076" ht="12"/>
    <row r="9077" ht="12"/>
    <row r="9078" ht="12"/>
    <row r="9079" ht="12"/>
    <row r="9080" ht="12"/>
    <row r="9081" ht="12"/>
    <row r="9082" ht="12"/>
    <row r="9083" ht="12"/>
    <row r="9084" ht="12"/>
    <row r="9085" ht="12"/>
    <row r="9086" ht="12"/>
    <row r="9087" ht="12"/>
    <row r="9088" ht="12"/>
    <row r="9093" ht="12"/>
    <row r="9094" ht="12"/>
    <row r="9095" ht="12"/>
    <row r="9096" ht="12"/>
    <row r="9097" ht="12"/>
    <row r="9098" ht="12"/>
    <row r="9099" ht="12"/>
    <row r="9100" ht="12"/>
    <row r="9101" ht="12"/>
    <row r="9102" ht="12"/>
    <row r="9103" ht="12"/>
    <row r="9104" ht="12"/>
    <row r="9110" ht="12"/>
    <row r="9111" ht="12"/>
    <row r="9112" ht="12"/>
    <row r="9113" ht="12"/>
    <row r="9114" ht="12"/>
    <row r="9115" ht="12"/>
    <row r="9116" ht="12"/>
    <row r="9117" ht="12"/>
    <row r="9118" ht="12"/>
    <row r="9119" ht="12"/>
    <row r="9121" ht="12"/>
    <row r="9122" ht="12"/>
    <row r="9123" ht="12"/>
    <row r="9124" ht="12"/>
    <row r="9128" ht="12"/>
    <row r="9129" ht="12"/>
    <row r="9130" ht="12"/>
    <row r="9131" ht="12"/>
    <row r="9132" ht="12"/>
    <row r="9133" ht="12"/>
    <row r="9134" ht="12"/>
    <row r="9135" ht="12"/>
    <row r="9136" ht="12"/>
    <row r="9137" ht="12"/>
    <row r="9139" ht="12"/>
    <row r="9140" ht="12"/>
    <row r="9141" ht="12"/>
    <row r="9142" ht="12"/>
    <row r="9143" ht="12"/>
    <row r="9144" ht="12"/>
    <row r="9145" ht="12"/>
    <row r="9146" ht="12"/>
    <row r="9147" ht="12"/>
    <row r="9148" ht="12"/>
    <row r="9149" ht="12"/>
    <row r="9150" ht="12"/>
    <row r="9151" ht="12"/>
    <row r="9152" ht="12"/>
    <row r="9153" ht="12"/>
    <row r="9154" ht="12"/>
    <row r="9160" ht="12"/>
    <row r="9161" ht="12"/>
    <row r="9162" ht="12"/>
    <row r="9163" ht="12"/>
    <row r="9165" ht="12"/>
    <row r="9167" ht="12"/>
    <row r="9168" ht="12"/>
    <row r="9170" ht="12"/>
    <row r="9172" ht="12"/>
    <row r="9173" ht="12"/>
    <row r="9174" ht="12"/>
    <row r="9176" ht="12"/>
    <row r="9177" ht="12"/>
    <row r="9178" ht="12"/>
    <row r="9179" ht="12"/>
    <row r="9180" ht="12"/>
    <row r="9181" ht="12"/>
    <row r="9182" ht="12"/>
    <row r="9183" ht="12"/>
    <row r="9185" ht="12"/>
    <row r="9195" ht="12"/>
    <row r="9196" ht="12"/>
    <row r="9197" ht="12"/>
    <row r="9198" ht="12"/>
    <row r="9199" ht="12"/>
    <row r="9200" ht="12"/>
    <row r="9201" ht="12"/>
    <row r="9202" ht="12"/>
    <row r="9203" ht="12"/>
    <row r="9204" ht="12"/>
    <row r="9205" ht="12"/>
    <row r="9206" ht="12"/>
    <row r="9207" ht="12"/>
    <row r="9208" ht="12"/>
    <row r="9209" ht="12"/>
    <row r="9210" ht="12"/>
    <row r="9211" ht="12"/>
    <row r="9212" ht="12"/>
    <row r="9213" ht="12"/>
    <row r="9214" ht="12"/>
    <row r="9215" ht="12"/>
    <row r="9216" ht="12"/>
    <row r="9217" ht="12"/>
    <row r="9218" ht="12"/>
    <row r="9219" ht="12"/>
    <row r="9220" ht="12"/>
    <row r="9221" ht="12"/>
    <row r="9222" ht="12"/>
    <row r="9223" ht="12"/>
    <row r="9225" ht="12"/>
    <row r="9228" ht="12"/>
    <row r="9229" ht="12"/>
    <row r="9230" ht="12"/>
    <row r="9231" ht="12"/>
    <row r="9233" ht="12"/>
    <row r="9235" ht="12"/>
    <row r="9237" ht="12"/>
    <row r="9240" ht="12"/>
    <row r="9241" ht="12"/>
    <row r="9242" ht="12"/>
    <row r="9243" ht="12"/>
    <row r="9244" ht="12"/>
    <row r="9245" ht="12"/>
    <row r="9246" ht="12"/>
    <row r="9247" ht="12"/>
    <row r="9248" ht="12"/>
    <row r="9249" ht="12"/>
    <row r="9250" ht="12"/>
    <row r="9251" ht="12"/>
    <row r="9252" ht="12"/>
    <row r="9253" ht="12"/>
    <row r="9254" ht="12"/>
    <row r="9255" ht="12"/>
    <row r="9256" ht="12"/>
    <row r="9257" ht="12"/>
    <row r="9259" ht="12"/>
    <row r="9260" ht="12"/>
    <row r="9262" ht="12"/>
    <row r="9263" ht="12"/>
    <row r="9264" ht="12"/>
    <row r="9265" ht="12"/>
    <row r="9267" ht="12"/>
    <row r="9268" ht="12"/>
    <row r="9276" ht="12"/>
    <row r="9277" ht="12"/>
    <row r="9278" ht="12"/>
    <row r="9279" ht="12"/>
    <row r="9280" ht="12"/>
    <row r="9281" ht="12"/>
    <row r="9282" ht="12"/>
    <row r="9283" ht="12"/>
    <row r="9284" ht="12"/>
    <row r="9285" ht="12"/>
    <row r="9286" ht="12"/>
    <row r="9287" ht="12"/>
    <row r="9288" ht="12"/>
    <row r="9289" ht="12"/>
    <row r="9290" ht="12"/>
    <row r="9291" ht="12"/>
    <row r="9292" ht="12"/>
    <row r="9293" ht="12"/>
    <row r="9294" ht="12"/>
    <row r="9295" ht="12"/>
    <row r="9296" ht="12"/>
    <row r="9297" ht="12"/>
    <row r="9298" ht="12"/>
    <row r="9299" ht="12"/>
    <row r="9300" ht="12"/>
    <row r="9301" ht="12"/>
    <row r="9302" ht="12"/>
    <row r="9305" ht="12"/>
    <row r="9306" ht="12"/>
    <row r="9307" ht="12"/>
    <row r="9308" ht="12"/>
    <row r="9309" ht="12"/>
    <row r="9310" ht="12"/>
    <row r="9311" ht="12"/>
    <row r="9312" ht="12"/>
    <row r="9313" ht="12"/>
    <row r="9314" ht="12"/>
    <row r="9315" ht="12"/>
    <row r="9316" ht="12"/>
    <row r="9317" ht="12"/>
    <row r="9318" ht="12"/>
    <row r="9319" ht="12"/>
    <row r="9320" ht="12"/>
    <row r="9321" ht="12"/>
    <row r="9322" ht="12"/>
    <row r="9323" ht="12"/>
    <row r="9324" ht="12"/>
    <row r="9325" ht="12"/>
    <row r="9326" ht="12"/>
    <row r="9327" ht="12"/>
    <row r="9328" ht="12"/>
    <row r="9329" ht="12"/>
    <row r="9330" ht="12"/>
    <row r="9331" ht="12"/>
    <row r="9332" ht="12"/>
    <row r="9333" ht="12"/>
    <row r="9334" ht="12"/>
    <row r="9335" ht="12"/>
    <row r="9336" ht="12"/>
    <row r="9337" ht="12"/>
    <row r="9338" ht="12"/>
    <row r="9339" ht="12"/>
    <row r="9340" ht="12"/>
    <row r="9341" ht="12"/>
    <row r="9342" ht="12"/>
    <row r="9343" ht="12"/>
    <row r="9344" ht="12"/>
    <row r="9345" ht="12"/>
    <row r="9346" ht="12"/>
    <row r="9347" ht="12"/>
    <row r="9348" ht="12"/>
    <row r="9349" ht="12"/>
    <row r="9350" ht="12"/>
    <row r="9351" ht="12"/>
    <row r="9352" ht="12"/>
    <row r="9353" ht="12"/>
    <row r="9354" ht="12"/>
    <row r="9355" ht="12"/>
    <row r="9356" ht="12"/>
    <row r="9357" ht="12"/>
    <row r="9358" ht="12"/>
    <row r="9359" ht="12"/>
    <row r="9360" ht="12"/>
    <row r="9361" ht="12"/>
    <row r="9362" ht="12"/>
    <row r="9363" ht="12"/>
    <row r="9364" ht="12"/>
    <row r="9365" ht="12"/>
    <row r="9366" ht="12"/>
    <row r="9367" ht="12"/>
    <row r="9368" ht="12"/>
    <row r="9369" ht="12"/>
    <row r="9370" ht="12"/>
    <row r="9371" ht="12"/>
    <row r="9372" ht="12"/>
    <row r="9373" ht="12"/>
    <row r="9374" ht="12"/>
    <row r="9375" ht="12"/>
    <row r="9376" ht="12"/>
    <row r="9377" ht="12"/>
    <row r="9378" ht="12"/>
    <row r="9379" ht="12"/>
    <row r="9380" ht="12"/>
    <row r="9381" ht="12"/>
    <row r="9382" ht="12"/>
    <row r="9383" ht="12"/>
    <row r="9384" ht="12"/>
    <row r="9385" ht="12"/>
    <row r="9386" ht="12"/>
    <row r="9387" ht="12"/>
    <row r="9388" ht="12"/>
    <row r="9389" ht="12"/>
    <row r="9390" ht="12"/>
    <row r="9391" ht="12"/>
    <row r="9392" ht="12"/>
    <row r="9393" ht="12"/>
    <row r="9394" ht="12"/>
    <row r="9395" ht="12"/>
    <row r="9396" ht="12"/>
    <row r="9397" ht="12"/>
    <row r="9398" ht="12"/>
    <row r="9399" ht="12"/>
    <row r="9400" ht="12"/>
    <row r="9401" ht="12"/>
    <row r="9402" ht="12"/>
    <row r="9403" ht="12"/>
    <row r="9404" ht="12"/>
    <row r="9405" ht="12"/>
    <row r="9406" ht="12"/>
    <row r="9407" ht="12"/>
    <row r="9408" ht="12"/>
    <row r="9409" ht="12"/>
    <row r="9410" ht="12"/>
    <row r="9411" ht="12"/>
    <row r="9412" ht="12"/>
    <row r="9413" ht="12"/>
    <row r="9414" ht="12"/>
    <row r="9415" ht="12"/>
    <row r="9416" ht="12"/>
    <row r="9417" ht="12"/>
    <row r="9418" ht="12"/>
    <row r="9419" ht="12"/>
    <row r="9432" ht="12"/>
    <row r="9437" ht="12"/>
    <row r="9444" ht="12"/>
    <row r="9445" ht="12"/>
    <row r="9446" ht="12"/>
    <row r="9448" ht="12"/>
    <row r="9450" ht="12"/>
    <row r="9451" ht="12"/>
    <row r="9452" ht="12"/>
    <row r="9453" ht="12"/>
    <row r="9454" ht="12"/>
    <row r="9455" ht="12"/>
    <row r="9456" ht="12"/>
    <row r="9457" ht="12"/>
    <row r="9458" ht="12"/>
    <row r="9459" ht="12"/>
    <row r="9460" ht="12"/>
    <row r="9461" ht="12"/>
    <row r="9466" ht="12"/>
    <row r="9467" ht="12"/>
    <row r="9468" ht="12"/>
    <row r="9470" ht="12"/>
    <row r="9471" ht="12"/>
    <row r="9472" ht="12"/>
    <row r="9473" ht="12"/>
    <row r="9474" ht="12"/>
    <row r="9475" ht="12"/>
    <row r="9476" ht="12"/>
    <row r="9477" ht="12"/>
    <row r="9480" ht="12"/>
    <row r="9492" ht="12"/>
    <row r="9497" ht="12"/>
    <row r="9499" ht="12"/>
    <row r="9501" ht="12"/>
    <row r="9502" ht="12"/>
    <row r="9503" ht="12"/>
    <row r="9504" ht="12"/>
    <row r="9505" ht="12"/>
    <row r="9510" ht="12"/>
    <row r="9511" ht="12"/>
    <row r="9512" ht="12"/>
    <row r="9517" ht="12"/>
    <row r="9577" ht="12"/>
    <row r="9649" ht="12"/>
    <row r="9668" ht="12"/>
    <row r="9671" ht="12"/>
    <row r="9759" ht="12"/>
    <row r="9770" ht="12"/>
    <row r="9787" ht="12"/>
    <row r="9788" ht="12"/>
    <row r="9789" ht="12"/>
    <row r="9792" ht="12"/>
    <row r="9794" ht="12"/>
    <row r="9795" ht="12"/>
    <row r="9796" ht="12"/>
    <row r="9797" ht="12"/>
    <row r="9803" ht="12"/>
    <row r="9805" ht="12"/>
    <row r="9806" ht="12"/>
    <row r="9807" ht="12"/>
    <row r="9808" ht="12"/>
    <row r="9809" ht="12"/>
    <row r="9811" ht="12"/>
    <row r="9825" ht="12"/>
    <row r="9826" ht="12"/>
    <row r="9827" ht="12"/>
    <row r="9828" ht="12"/>
    <row r="9829" ht="12"/>
    <row r="9830" ht="12"/>
    <row r="9831" ht="12"/>
    <row r="9879" ht="12"/>
    <row r="9880" ht="12"/>
    <row r="9894" ht="12"/>
    <row r="9912" ht="12"/>
    <row r="9913" ht="12"/>
    <row r="9924" ht="12"/>
    <row r="9925" ht="12"/>
    <row r="9926" ht="12"/>
    <row r="9927" ht="12"/>
    <row r="9930" ht="12"/>
    <row r="9938" ht="12"/>
    <row r="9939" ht="12"/>
    <row r="9940" ht="12"/>
    <row r="9941" ht="12"/>
    <row r="9942" ht="12"/>
    <row r="9943" ht="12"/>
    <row r="9944" ht="12"/>
    <row r="9945" ht="12"/>
    <row r="9946" ht="12"/>
    <row r="9947" ht="12"/>
    <row r="9948" ht="12"/>
    <row r="9949" ht="12"/>
    <row r="9950" ht="12"/>
    <row r="9951" ht="12"/>
    <row r="9952" ht="12"/>
    <row r="9953" ht="12"/>
    <row r="9954" ht="12"/>
    <row r="9955" ht="12"/>
    <row r="9956" ht="12"/>
    <row r="9957" ht="12"/>
    <row r="9958" ht="12"/>
    <row r="9959" ht="12"/>
    <row r="9960" ht="12"/>
    <row r="9961" ht="12"/>
    <row r="9962" ht="12"/>
    <row r="9963" ht="12"/>
    <row r="9964" ht="12"/>
    <row r="9965" ht="12"/>
    <row r="9967" ht="12"/>
    <row r="9968" ht="12"/>
    <row r="9969" ht="12"/>
    <row r="9970" ht="12"/>
    <row r="9971" ht="12"/>
    <row r="9972" ht="12"/>
    <row r="9973" ht="12"/>
    <row r="9974" ht="12"/>
    <row r="9975" ht="12"/>
    <row r="9980" ht="12"/>
    <row r="9981" ht="12"/>
    <row r="9982" ht="12"/>
    <row r="9983" ht="12"/>
    <row r="9984" ht="12"/>
    <row r="9985" ht="12"/>
    <row r="9986" ht="12"/>
    <row r="9987" ht="12"/>
    <row r="9988" ht="12"/>
    <row r="9989" ht="12"/>
    <row r="9990" ht="12"/>
    <row r="9991" ht="12"/>
    <row r="9992" ht="12"/>
    <row r="9997" ht="12"/>
    <row r="9998" ht="12"/>
    <row r="9999" ht="12"/>
    <row r="10000" ht="12"/>
    <row r="10001" ht="12"/>
    <row r="10002" ht="12"/>
    <row r="10008" ht="12"/>
    <row r="10009" ht="12"/>
    <row r="10010" ht="12"/>
    <row r="10011" ht="12"/>
    <row r="10012" ht="12"/>
    <row r="10013" ht="12"/>
    <row r="10014" ht="12"/>
    <row r="10015" ht="12"/>
    <row r="10016" ht="12"/>
    <row r="10017" ht="12"/>
    <row r="10018" ht="12"/>
    <row r="10019" ht="12"/>
    <row r="10020" ht="12"/>
    <row r="10021" ht="12"/>
    <row r="10022" ht="12"/>
    <row r="10023" ht="12"/>
    <row r="10024" ht="12"/>
    <row r="10025" ht="12"/>
    <row r="10026" ht="12"/>
    <row r="10027" ht="12"/>
    <row r="10033" ht="12"/>
    <row r="10034" ht="12"/>
    <row r="10035" ht="12"/>
    <row r="10039" ht="12"/>
    <row r="10040" ht="12"/>
    <row r="10041" ht="12"/>
    <row r="10042" ht="12"/>
    <row r="10043" ht="12"/>
    <row r="10044" ht="12"/>
    <row r="10051" ht="12"/>
    <row r="10052" ht="12"/>
    <row r="10053" ht="12"/>
    <row r="10054" ht="12"/>
    <row r="10055" ht="12"/>
    <row r="10062" ht="12"/>
    <row r="10064" ht="12"/>
    <row r="10065" ht="12"/>
    <row r="10066" ht="12"/>
    <row r="10067" ht="12"/>
    <row r="10068" ht="12"/>
    <row r="10069" ht="12"/>
    <row r="10070" ht="12"/>
    <row r="10071" ht="12"/>
    <row r="10072" ht="12"/>
    <row r="10075" ht="12"/>
    <row r="10076" ht="12"/>
    <row r="10105" ht="12"/>
    <row r="10106" ht="12"/>
    <row r="10107" ht="12"/>
    <row r="10108" ht="12"/>
    <row r="10109" ht="12"/>
    <row r="10110" ht="12"/>
    <row r="10111" ht="12"/>
    <row r="10112" ht="12"/>
    <row r="10113" ht="12"/>
    <row r="10114" ht="12"/>
    <row r="10115" ht="12"/>
    <row r="10116" ht="12"/>
    <row r="10117" ht="12"/>
    <row r="10118" ht="12"/>
    <row r="10119" ht="12"/>
    <row r="10120" ht="12"/>
    <row r="10121" ht="12"/>
    <row r="10122" ht="12"/>
    <row r="10123" ht="12"/>
    <row r="10124" ht="12"/>
    <row r="10125" ht="12"/>
    <row r="10127" ht="12"/>
    <row r="10128" ht="12"/>
    <row r="10129" ht="12"/>
    <row r="10130" ht="12"/>
    <row r="10132" ht="12"/>
    <row r="10135" ht="12"/>
    <row r="10136" ht="12"/>
    <row r="10140" ht="12"/>
    <row r="10144" ht="12"/>
    <row r="10145" ht="12"/>
    <row r="10172" ht="12"/>
    <row r="10173" ht="12"/>
    <row r="10180" ht="12"/>
    <row r="10231" ht="12"/>
    <row r="10232" ht="12"/>
    <row r="10233" ht="12"/>
    <row r="10234" ht="12"/>
    <row r="10262" ht="12"/>
    <row r="10283" ht="12"/>
    <row r="10284" ht="12"/>
    <row r="10285" ht="12"/>
    <row r="10286" ht="12"/>
    <row r="10287" ht="12"/>
    <row r="10288" ht="12"/>
    <row r="10289" ht="12"/>
    <row r="10290" ht="12"/>
    <row r="10291" ht="12"/>
    <row r="10292" ht="12"/>
    <row r="10293" ht="12"/>
    <row r="10294" ht="12"/>
    <row r="10295" ht="12"/>
    <row r="10296" ht="12"/>
    <row r="10297" ht="12"/>
    <row r="10298" ht="12"/>
    <row r="10299" ht="12"/>
    <row r="10300" ht="12"/>
    <row r="10301" ht="12"/>
    <row r="10302" ht="12"/>
    <row r="10303" ht="12"/>
    <row r="10305" ht="12"/>
    <row r="10306" ht="12"/>
    <row r="10307" ht="12"/>
    <row r="10308" ht="12"/>
    <row r="10312" ht="12"/>
    <row r="10313" ht="12"/>
    <row r="10314" ht="12"/>
    <row r="10315" ht="12"/>
    <row r="10316" ht="12"/>
    <row r="10317" ht="12"/>
    <row r="10318" ht="12"/>
    <row r="10319" ht="12"/>
    <row r="10320" ht="12"/>
    <row r="10321" ht="12"/>
    <row r="10322" ht="12"/>
    <row r="10331" ht="12"/>
    <row r="10332" ht="12"/>
    <row r="10333" ht="12"/>
    <row r="10334" ht="12"/>
    <row r="10335" ht="12"/>
    <row r="10337" ht="12"/>
    <row r="10339" ht="12"/>
    <row r="10341" ht="12"/>
    <row r="10344" ht="12"/>
    <row r="10346" ht="12"/>
    <row r="10347" ht="12"/>
    <row r="10348" ht="12"/>
    <row r="10349" ht="12"/>
    <row r="10353" ht="12"/>
    <row r="10354" ht="12"/>
    <row r="10355" ht="12"/>
    <row r="10363" ht="12"/>
    <row r="10365" ht="12"/>
    <row r="10368" ht="12"/>
    <row r="10412" ht="12"/>
    <row r="10413" ht="12"/>
    <row r="10418" ht="12"/>
    <row r="10419" ht="12"/>
    <row r="10420" ht="12"/>
    <row r="10421" ht="12"/>
    <row r="10422" ht="12"/>
    <row r="10423" ht="12"/>
    <row r="10424" ht="12"/>
    <row r="10425" ht="12"/>
    <row r="10426" ht="12"/>
    <row r="10427" ht="12"/>
    <row r="10428" ht="12"/>
    <row r="10429" ht="12"/>
    <row r="10430" ht="12"/>
    <row r="10431" ht="12"/>
    <row r="10432" ht="12"/>
    <row r="10433" ht="12"/>
    <row r="10434" ht="12"/>
    <row r="10435" ht="12"/>
    <row r="10436" ht="12"/>
    <row r="10437" ht="12"/>
    <row r="10438" ht="12"/>
    <row r="10439" ht="12"/>
    <row r="10440" ht="12"/>
    <row r="10441" ht="12"/>
    <row r="10442" ht="12"/>
    <row r="10455" ht="12"/>
    <row r="10456" ht="12"/>
    <row r="10457" ht="12"/>
    <row r="10458" ht="12"/>
    <row r="10468" ht="12"/>
    <row r="10470" ht="12"/>
    <row r="10471" ht="12"/>
    <row r="10473" ht="12"/>
    <row r="10474" ht="12"/>
    <row r="10475" ht="12"/>
    <row r="10476" ht="12"/>
    <row r="10478" ht="12"/>
    <row r="10480" ht="12"/>
    <row r="10481" ht="12"/>
    <row r="10494" ht="12"/>
    <row r="10495" ht="12"/>
    <row r="10497" ht="12"/>
    <row r="10498" ht="12"/>
    <row r="10499" ht="12"/>
    <row r="10500" ht="12"/>
    <row r="10501" ht="12"/>
    <row r="10502" ht="12"/>
    <row r="10503" ht="12"/>
    <row r="10504" ht="12"/>
    <row r="10506" ht="12"/>
    <row r="10507" ht="12"/>
    <row r="10508" ht="12"/>
    <row r="10509" ht="12"/>
    <row r="10510" ht="12"/>
    <row r="10511" ht="12"/>
    <row r="10512" ht="12"/>
    <row r="10514" ht="12"/>
    <row r="10516" ht="12"/>
    <row r="10517" ht="12"/>
    <row r="10518" ht="12"/>
    <row r="10519" ht="12"/>
    <row r="10521" ht="12"/>
    <row r="10522" ht="12"/>
    <row r="10523" ht="12"/>
    <row r="10524" ht="12"/>
    <row r="10525" ht="12"/>
    <row r="10526" ht="12"/>
    <row r="10527" ht="12"/>
    <row r="10528" ht="12"/>
    <row r="10529" ht="12"/>
    <row r="10530" ht="12"/>
    <row r="10531" ht="12"/>
    <row r="10532" ht="12"/>
    <row r="10533" ht="12"/>
    <row r="10534" ht="12"/>
    <row r="10535" ht="12"/>
    <row r="10536" ht="12"/>
    <row r="10540" ht="12"/>
    <row r="10550" ht="12"/>
    <row r="10551" ht="12"/>
    <row r="10552" ht="12"/>
    <row r="10553" ht="12"/>
    <row r="10555" ht="12"/>
    <row r="10556" ht="12"/>
    <row r="10557" ht="12"/>
    <row r="10558" ht="12"/>
    <row r="10559" ht="12"/>
    <row r="10560" ht="12"/>
    <row r="10561" ht="12"/>
    <row r="10566" ht="12"/>
    <row r="10567" ht="12"/>
    <row r="10568" ht="12"/>
    <row r="10569" ht="12"/>
    <row r="10570" ht="12"/>
    <row r="10571" ht="12"/>
    <row r="10572" ht="12"/>
    <row r="10573" ht="12"/>
    <row r="10574" ht="12"/>
    <row r="10575" ht="12"/>
    <row r="10576" ht="12"/>
    <row r="10577" ht="12"/>
    <row r="10578" ht="12"/>
    <row r="10579" ht="12"/>
    <row r="10580" ht="12"/>
    <row r="10581" ht="12"/>
    <row r="10582" ht="12"/>
    <row r="10583" ht="12"/>
    <row r="10584" ht="12"/>
    <row r="10585" ht="12"/>
    <row r="10586" ht="12"/>
    <row r="10587" ht="12"/>
    <row r="10588" ht="12"/>
    <row r="10589" ht="12"/>
    <row r="10590" ht="12"/>
    <row r="10591" ht="12"/>
    <row r="10592" ht="12"/>
    <row r="10593" ht="12"/>
    <row r="10594" ht="12"/>
    <row r="10595" ht="12"/>
    <row r="10596" ht="12"/>
    <row r="10597" ht="12"/>
    <row r="10598" ht="12"/>
    <row r="10599" ht="12"/>
    <row r="10600" ht="12"/>
    <row r="10602" ht="12"/>
    <row r="10603" ht="12"/>
    <row r="10604" ht="12"/>
    <row r="10605" ht="12"/>
    <row r="10607" ht="12"/>
    <row r="10608" ht="12"/>
    <row r="10609" ht="12"/>
    <row r="10610" ht="12"/>
    <row r="10611" ht="12"/>
    <row r="10612" ht="12"/>
    <row r="10613" ht="12"/>
    <row r="10614" ht="12"/>
    <row r="10615" ht="12"/>
    <row r="10616" ht="12"/>
    <row r="10617" ht="12"/>
    <row r="10618" ht="12"/>
    <row r="10619" ht="12"/>
    <row r="10620" ht="12"/>
    <row r="10621" ht="12"/>
    <row r="10622" ht="12"/>
    <row r="10623" ht="12"/>
    <row r="10624" ht="12"/>
    <row r="10625" ht="12"/>
    <row r="10626" ht="12"/>
    <row r="10627" ht="12"/>
    <row r="10628" ht="12"/>
    <row r="10629" ht="12"/>
    <row r="10630" ht="12"/>
    <row r="10631" ht="12"/>
    <row r="10632" ht="12"/>
    <row r="10633" ht="12"/>
    <row r="10634" ht="12"/>
    <row r="10635" ht="12"/>
    <row r="10636" ht="12"/>
    <row r="10637" ht="12"/>
    <row r="10638" ht="12"/>
    <row r="10639" ht="12"/>
    <row r="10640" ht="12"/>
    <row r="10641" ht="12"/>
    <row r="10642" ht="12"/>
    <row r="10643" ht="12"/>
    <row r="10644" ht="12"/>
    <row r="10645" ht="12"/>
    <row r="10646" ht="12"/>
    <row r="10647" ht="12"/>
    <row r="10648" ht="12"/>
    <row r="10649" ht="12"/>
    <row r="10650" ht="12"/>
    <row r="10651" ht="12"/>
    <row r="10652" ht="12"/>
    <row r="10653" ht="12"/>
    <row r="10654" ht="12"/>
    <row r="10663" ht="12"/>
    <row r="10664" ht="12"/>
    <row r="10665" ht="12"/>
    <row r="10666" ht="12"/>
    <row r="10667" ht="12"/>
    <row r="10668" ht="12"/>
    <row r="10669" ht="12"/>
    <row r="10670" ht="12"/>
    <row r="10671" ht="12"/>
    <row r="10672" ht="12"/>
    <row r="10673" ht="12"/>
    <row r="10674" ht="12"/>
    <row r="10675" ht="12"/>
    <row r="10676" ht="12"/>
    <row r="10677" ht="12"/>
    <row r="10678" ht="12"/>
    <row r="10679" ht="12"/>
    <row r="10680" ht="12"/>
    <row r="10681" ht="12"/>
    <row r="10682" ht="12"/>
    <row r="10683" ht="12"/>
    <row r="10684" ht="12"/>
    <row r="10685" ht="12"/>
    <row r="10686" ht="12"/>
    <row r="10687" ht="12"/>
    <row r="10688" ht="12"/>
    <row r="10689" ht="12"/>
    <row r="10690" ht="12"/>
    <row r="10691" ht="12"/>
    <row r="10692" ht="12"/>
    <row r="10693" ht="12"/>
    <row r="10694" ht="12"/>
    <row r="10695" ht="12"/>
    <row r="10696" ht="12"/>
    <row r="10697" ht="12"/>
    <row r="10698" ht="12"/>
    <row r="10699" ht="12"/>
    <row r="10700" ht="12"/>
    <row r="10701" ht="12"/>
    <row r="10702" ht="12"/>
    <row r="10703" ht="12"/>
    <row r="10704" ht="12"/>
    <row r="10705" ht="12"/>
    <row r="10706" ht="12"/>
    <row r="10707" ht="12"/>
    <row r="10708" ht="12"/>
    <row r="10709" ht="12"/>
    <row r="10710" ht="12"/>
    <row r="10711" ht="12"/>
    <row r="10712" ht="12"/>
    <row r="10713" ht="12"/>
    <row r="10714" ht="12"/>
    <row r="10715" ht="12"/>
    <row r="10716" ht="12"/>
    <row r="10717" ht="12"/>
    <row r="10718" ht="12"/>
    <row r="10719" ht="12"/>
    <row r="10723" ht="12"/>
    <row r="10724" ht="12"/>
    <row r="10726" ht="12"/>
    <row r="10727" ht="12"/>
    <row r="10728" ht="12"/>
    <row r="10729" ht="12"/>
    <row r="10730" ht="12"/>
    <row r="10731" ht="12"/>
    <row r="10732" ht="12"/>
    <row r="10733" ht="12"/>
    <row r="10734" ht="12"/>
    <row r="10735" ht="12"/>
    <row r="10736" ht="12"/>
    <row r="10737" ht="12"/>
    <row r="10738" ht="12"/>
    <row r="10739" ht="12"/>
    <row r="10740" ht="12"/>
    <row r="10741" ht="12"/>
    <row r="10742" ht="12"/>
    <row r="10743" ht="12"/>
    <row r="10744" ht="12"/>
    <row r="10745" ht="12"/>
    <row r="10746" ht="12"/>
    <row r="10747" ht="12"/>
    <row r="10748" ht="12"/>
    <row r="10749" ht="12"/>
    <row r="10750" ht="12"/>
    <row r="10751" ht="12"/>
    <row r="10752" ht="12"/>
    <row r="10753" ht="12"/>
    <row r="10754" ht="12"/>
    <row r="10755" ht="12"/>
    <row r="10756" ht="12"/>
    <row r="10757" ht="12"/>
    <row r="10758" ht="12"/>
    <row r="10759" ht="12"/>
    <row r="10760" ht="12"/>
    <row r="10761" ht="12"/>
    <row r="10763" ht="12"/>
    <row r="10781" ht="12"/>
    <row r="10782" ht="12"/>
    <row r="10791" ht="12"/>
    <row r="10792" ht="12"/>
    <row r="10797" ht="12"/>
    <row r="10801" ht="12"/>
    <row r="10802" ht="12"/>
    <row r="10803" ht="12"/>
    <row r="10804" ht="12"/>
    <row r="10805" ht="12"/>
    <row r="10806" ht="12"/>
    <row r="10807" ht="12"/>
    <row r="10817" ht="12"/>
    <row r="10820" ht="12"/>
    <row r="10821" ht="12"/>
    <row r="10822" ht="12"/>
    <row r="10823" ht="12"/>
    <row r="10824" ht="12"/>
    <row r="10826" ht="12"/>
    <row r="10828" ht="12"/>
    <row r="10839" ht="12"/>
    <row r="10840" ht="12"/>
    <row r="10841" ht="12"/>
    <row r="10842" ht="12"/>
    <row r="10843" ht="12"/>
    <row r="10844" ht="12"/>
    <row r="10845" ht="12"/>
    <row r="10846" ht="12"/>
    <row r="10847" ht="12"/>
    <row r="10848" ht="12"/>
    <row r="10849" ht="12"/>
    <row r="10851" ht="12"/>
    <row r="10852" ht="12"/>
    <row r="10854" ht="12"/>
    <row r="10855" ht="12"/>
    <row r="10857" ht="12"/>
    <row r="10858" ht="12"/>
    <row r="10865" ht="12"/>
    <row r="10866" ht="12"/>
    <row r="10868" ht="12"/>
    <row r="10869" ht="12"/>
    <row r="10872" ht="12"/>
    <row r="10874" ht="12"/>
    <row r="10877" ht="12"/>
    <row r="10878" ht="12"/>
    <row r="10879" ht="12"/>
    <row r="10880" ht="12"/>
    <row r="10881" ht="12"/>
    <row r="10882" ht="12"/>
    <row r="10883" ht="12"/>
    <row r="10884" ht="12"/>
    <row r="10885" ht="12"/>
    <row r="10886" ht="12"/>
    <row r="10887" ht="12"/>
    <row r="10888" ht="12"/>
    <row r="10889" ht="12"/>
    <row r="10890" ht="12"/>
    <row r="10891" ht="12"/>
    <row r="10892" ht="12"/>
    <row r="10893" ht="12"/>
    <row r="10894" ht="12"/>
    <row r="10895" ht="12"/>
    <row r="10896" ht="12"/>
    <row r="10897" ht="12"/>
    <row r="10898" ht="12"/>
    <row r="10900" ht="12"/>
    <row r="10901" ht="12"/>
    <row r="10902" ht="12"/>
    <row r="10904" ht="12"/>
    <row r="10905" ht="12"/>
    <row r="10906" ht="12"/>
    <row r="10907" ht="12"/>
    <row r="10908" ht="12"/>
    <row r="10909" ht="12"/>
    <row r="10911" ht="12"/>
    <row r="10912" ht="12"/>
    <row r="10914" ht="12"/>
    <row r="10915" ht="12"/>
    <row r="10916" ht="12"/>
    <row r="10917" ht="12"/>
    <row r="10918" ht="12"/>
    <row r="10919" ht="12"/>
    <row r="10920" ht="12"/>
    <row r="10922" ht="12"/>
    <row r="10923" ht="12"/>
    <row r="10925" ht="12"/>
    <row r="10927" ht="12"/>
    <row r="10928" ht="12"/>
    <row r="10930" ht="12"/>
    <row r="10931" ht="12"/>
    <row r="10932" ht="12"/>
    <row r="10933" ht="12"/>
    <row r="10935" ht="12"/>
    <row r="10936" ht="12"/>
    <row r="10938" ht="12"/>
    <row r="10939" ht="12"/>
    <row r="10948" ht="12"/>
    <row r="10951" ht="12"/>
    <row r="10952" ht="12"/>
    <row r="10953" ht="12"/>
    <row r="10956" ht="12"/>
    <row r="10957" ht="12"/>
    <row r="10958" ht="12"/>
    <row r="10959" ht="12"/>
    <row r="10960" ht="12"/>
    <row r="10961" ht="12"/>
    <row r="10962" ht="12"/>
    <row r="10963" ht="12"/>
    <row r="10964" ht="12"/>
    <row r="10965" ht="12"/>
    <row r="10983" ht="12"/>
    <row r="10984" ht="12"/>
    <row r="10986" ht="12"/>
    <row r="10999" ht="12"/>
    <row r="11000" ht="12"/>
    <row r="11041" ht="12"/>
    <row r="11053" ht="12"/>
    <row r="11060" ht="12"/>
    <row r="11061" ht="12"/>
    <row r="11062" ht="12"/>
    <row r="11063" ht="12"/>
    <row r="11065" ht="12"/>
    <row r="11072" ht="12"/>
    <row r="11073" ht="12"/>
    <row r="11074" ht="12"/>
    <row r="11075" ht="12"/>
    <row r="11077" ht="12"/>
    <row r="11081" ht="12"/>
    <row r="11084" ht="12"/>
    <row r="11085" ht="12"/>
    <row r="11086" ht="12"/>
    <row r="11087" ht="12"/>
    <row r="11090" ht="12"/>
    <row r="11149" ht="12"/>
    <row r="11150" ht="12"/>
    <row r="11151" ht="12"/>
    <row r="11152" ht="12"/>
    <row r="11157" ht="12"/>
    <row r="11158" ht="12"/>
    <row r="11159" ht="12"/>
    <row r="11162" ht="12"/>
    <row r="11164" ht="12"/>
    <row r="11165" ht="12"/>
    <row r="11166" ht="12"/>
    <row r="11253" ht="12"/>
    <row r="11289" ht="12"/>
    <row r="11290" ht="12"/>
    <row r="11294" ht="12"/>
    <row r="11295" ht="12"/>
    <row r="11296" ht="12"/>
    <row r="11297" ht="12"/>
    <row r="11298" ht="12"/>
    <row r="11299" ht="12"/>
    <row r="11300" ht="12"/>
    <row r="11301" ht="12"/>
    <row r="11302" ht="12"/>
    <row r="11303" ht="12"/>
    <row r="11304" ht="12"/>
    <row r="11305" ht="12"/>
    <row r="11306" ht="12"/>
    <row r="11307" ht="12"/>
    <row r="11308" ht="12"/>
    <row r="11309" ht="12"/>
    <row r="11310" ht="12"/>
    <row r="11311" ht="12"/>
    <row r="11312" ht="12"/>
    <row r="11313" ht="12"/>
    <row r="11314" ht="12"/>
    <row r="11315" ht="12"/>
    <row r="11387" ht="12"/>
    <row r="11390" ht="12"/>
    <row r="11391" ht="12"/>
    <row r="11392" ht="12"/>
    <row r="11441" ht="12"/>
    <row r="11493" ht="12"/>
    <row r="11495" ht="12"/>
    <row r="11496" ht="12"/>
    <row r="11497" ht="12"/>
    <row r="11498" ht="12"/>
    <row r="11499" ht="12"/>
    <row r="11500" ht="12"/>
    <row r="11515" ht="12"/>
    <row r="11516" ht="12"/>
    <row r="11517" ht="12"/>
    <row r="11518" ht="12"/>
    <row r="11519" ht="12"/>
    <row r="11561" ht="12"/>
    <row r="11564" ht="12"/>
    <row r="11582" ht="12"/>
    <row r="11594" ht="12"/>
    <row r="11597" ht="12"/>
    <row r="11598" ht="12"/>
    <row r="11650" ht="12"/>
    <row r="11663" ht="12"/>
    <row r="11664" ht="12"/>
    <row r="11665" ht="12"/>
    <row r="11666" ht="12"/>
    <row r="11667" ht="12"/>
    <row r="11668" ht="12"/>
    <row r="11696" ht="12"/>
    <row r="11697" ht="12"/>
    <row r="11705" ht="12"/>
    <row r="11706" ht="12"/>
    <row r="11707" ht="12"/>
    <row r="11708" ht="12"/>
    <row r="11709" ht="12"/>
    <row r="11710" ht="12"/>
    <row r="11711" ht="12"/>
    <row r="11712" ht="12"/>
    <row r="11713" ht="12"/>
    <row r="11714" ht="12"/>
    <row r="11715" ht="12"/>
    <row r="11716" ht="12"/>
    <row r="11717" ht="12"/>
    <row r="11718" ht="12"/>
    <row r="11728" ht="12"/>
    <row r="11729" ht="12"/>
    <row r="11730" ht="12"/>
    <row r="11731" ht="12"/>
    <row r="11732" ht="12"/>
    <row r="11742" ht="12"/>
    <row r="11743" ht="12"/>
    <row r="11744" ht="12"/>
    <row r="11745" ht="12"/>
    <row r="11746" ht="12"/>
    <row r="11747" ht="12"/>
    <row r="11748" ht="12"/>
    <row r="11749" ht="12"/>
    <row r="11750" ht="12"/>
    <row r="11751" ht="12"/>
    <row r="11752" ht="12"/>
    <row r="11753" ht="12"/>
    <row r="11754" ht="12"/>
    <row r="11755" ht="12"/>
    <row r="11757" ht="12"/>
    <row r="11758" ht="12"/>
    <row r="11759" ht="12"/>
    <row r="11760" ht="12"/>
    <row r="11761" ht="12"/>
    <row r="11762" ht="12"/>
    <row r="11763" ht="12"/>
    <row r="11764" ht="12"/>
    <row r="11765" ht="12"/>
    <row r="11766" ht="12"/>
    <row r="11767" ht="12"/>
    <row r="11768" ht="12"/>
    <row r="11770" ht="12"/>
    <row r="11771" ht="12"/>
    <row r="11772" ht="12"/>
    <row r="11773" ht="12"/>
    <row r="11774" ht="12"/>
    <row r="11775" ht="12"/>
    <row r="11776" ht="12"/>
    <row r="11777" ht="12"/>
    <row r="11778" ht="12"/>
    <row r="11779" ht="12"/>
    <row r="11780" ht="12"/>
    <row r="11783" ht="12"/>
    <row r="11784" ht="12"/>
    <row r="11785" ht="12"/>
    <row r="11786" ht="12"/>
    <row r="11787" ht="12"/>
    <row r="11788" ht="12"/>
    <row r="11789" ht="12"/>
    <row r="11790" ht="12"/>
    <row r="11791" ht="12"/>
    <row r="11792" ht="12"/>
    <row r="11793" ht="12"/>
    <row r="11794" ht="12"/>
    <row r="11799" ht="12"/>
    <row r="11800" ht="12"/>
    <row r="11801" ht="12"/>
    <row r="11802" ht="12"/>
    <row r="11803" ht="12"/>
    <row r="11804" ht="12"/>
    <row r="11805" ht="12"/>
    <row r="11806" ht="12"/>
    <row r="11810" ht="12"/>
    <row r="11811" ht="12"/>
    <row r="11812" ht="12"/>
    <row r="11813" ht="12"/>
    <row r="11814" ht="12"/>
    <row r="11815" ht="12"/>
    <row r="11816" ht="12"/>
    <row r="11822" ht="12"/>
    <row r="11823" ht="12"/>
    <row r="11824" ht="12"/>
    <row r="11825" ht="12"/>
    <row r="11826" ht="12"/>
    <row r="11827" ht="12"/>
    <row r="11828" ht="12"/>
    <row r="11829" ht="12"/>
    <row r="11830" ht="12"/>
    <row r="11831" ht="12"/>
    <row r="11832" ht="12"/>
    <row r="11833" ht="12"/>
    <row r="11834" ht="12"/>
    <row r="11835" ht="12"/>
    <row r="11836" ht="12"/>
    <row r="11936" ht="12"/>
    <row r="11940" ht="12"/>
    <row r="11941" ht="12"/>
    <row r="11942" ht="12"/>
    <row r="11943" ht="12"/>
    <row r="11944" ht="12"/>
    <row r="11945" ht="12"/>
    <row r="11946" ht="12"/>
    <row r="11947" ht="12"/>
    <row r="11948" ht="12"/>
    <row r="11949" ht="12"/>
    <row r="11950" ht="12"/>
    <row r="11951" ht="12"/>
    <row r="11952" ht="12"/>
    <row r="11953" ht="12"/>
    <row r="11954" ht="12"/>
    <row r="11955" ht="12"/>
    <row r="11956" ht="12"/>
    <row r="11957" ht="12"/>
    <row r="11958" ht="12"/>
    <row r="11959" ht="12"/>
    <row r="11960" ht="12"/>
    <row r="11961" ht="12"/>
    <row r="11963" ht="12"/>
    <row r="11964" ht="12"/>
    <row r="11965" ht="12"/>
    <row r="11966" ht="12"/>
    <row r="11967" ht="12"/>
    <row r="11968" ht="12"/>
    <row r="11969" ht="12"/>
    <row r="11970" ht="12"/>
    <row r="11971" ht="12"/>
    <row r="11972" ht="12"/>
    <row r="11973" ht="12"/>
    <row r="11974" ht="12"/>
    <row r="11975" ht="12"/>
    <row r="11976" ht="12"/>
    <row r="11977" ht="12"/>
    <row r="11978" ht="12"/>
    <row r="11979" ht="12"/>
    <row r="11980" ht="12"/>
    <row r="11981" ht="12"/>
    <row r="11982" ht="12"/>
    <row r="11983" ht="12"/>
    <row r="11984" ht="12"/>
    <row r="11985" ht="12"/>
    <row r="11986" ht="12"/>
    <row r="11988" ht="12"/>
    <row r="11989" ht="12"/>
    <row r="11990" ht="12"/>
    <row r="11991" ht="12"/>
    <row r="11992" ht="12"/>
    <row r="11993" ht="12"/>
    <row r="11994" ht="12"/>
    <row r="11995" ht="12"/>
    <row r="11996" ht="12"/>
    <row r="12003" ht="12"/>
    <row r="12004" ht="12"/>
    <row r="12005" ht="12"/>
    <row r="12009" ht="12"/>
    <row r="12010" ht="12"/>
    <row r="12011" ht="12"/>
    <row r="12024" ht="12"/>
    <row r="12032" ht="12"/>
    <row r="12033" ht="12"/>
    <row r="12034" ht="12"/>
    <row r="12035" ht="12"/>
    <row r="12036" ht="12"/>
    <row r="12037" ht="12"/>
    <row r="12041" ht="12"/>
    <row r="12042" ht="12"/>
    <row r="12043" ht="12"/>
    <row r="12684" ht="12"/>
    <row r="12688" ht="12"/>
    <row r="12689" ht="12"/>
    <row r="12690" ht="12"/>
    <row r="12691" ht="12"/>
    <row r="12692" ht="12"/>
    <row r="12693" ht="12"/>
    <row r="12694" ht="12"/>
    <row r="12695" ht="12"/>
    <row r="12696" ht="12"/>
    <row r="12697" ht="12"/>
    <row r="12698" ht="12"/>
    <row r="12699" ht="12"/>
    <row r="12700" ht="12"/>
    <row r="12701" ht="12"/>
    <row r="12702" ht="12"/>
    <row r="12703" ht="12"/>
    <row r="12704" ht="12"/>
    <row r="12705" ht="12"/>
    <row r="12706" ht="12"/>
    <row r="12707" ht="12"/>
    <row r="12708" ht="12"/>
    <row r="12709" ht="12"/>
    <row r="12710" ht="12"/>
    <row r="12730" ht="12"/>
    <row r="12750" ht="12"/>
    <row r="12751" ht="12"/>
    <row r="12753" ht="12"/>
    <row r="12754" ht="12"/>
    <row r="12755" ht="12"/>
    <row r="12756" ht="12"/>
    <row r="12759" ht="12"/>
    <row r="12760" ht="12"/>
    <row r="12761" ht="12"/>
    <row r="12762" ht="12"/>
    <row r="12763" ht="12"/>
    <row r="12764" ht="12"/>
    <row r="12765" ht="12"/>
    <row r="12766" ht="12"/>
    <row r="12767" ht="12"/>
    <row r="12768" ht="12"/>
    <row r="12769" ht="12"/>
    <row r="12770" ht="12"/>
    <row r="12771" ht="12"/>
    <row r="12772" ht="12"/>
    <row r="12773" ht="12"/>
    <row r="12774" ht="12"/>
    <row r="12775" ht="12"/>
    <row r="12776" ht="12"/>
    <row r="12777" ht="12"/>
    <row r="12778" ht="12"/>
    <row r="12779" ht="12"/>
    <row r="12780" ht="12"/>
    <row r="12792" ht="12"/>
    <row r="12793" ht="12"/>
    <row r="12794" ht="12"/>
    <row r="12795" ht="12"/>
    <row r="12796" ht="12"/>
    <row r="12797" ht="12"/>
    <row r="12798" ht="12"/>
    <row r="12801" ht="12"/>
    <row r="12802" ht="12"/>
    <row r="12803" ht="12"/>
    <row r="12804" ht="12"/>
    <row r="12805" ht="12"/>
    <row r="12806" ht="12"/>
    <row r="12807" ht="12"/>
    <row r="12808" ht="12"/>
    <row r="12810" ht="12"/>
    <row r="12811" ht="12"/>
    <row r="12812" ht="12"/>
    <row r="12813" ht="12"/>
    <row r="12814" ht="12"/>
    <row r="12817" ht="12"/>
    <row r="12818" ht="12"/>
    <row r="12819" ht="12"/>
    <row r="12820" ht="12"/>
    <row r="12823" ht="12"/>
    <row r="12824" ht="12"/>
    <row r="12826" ht="12"/>
    <row r="12829" ht="12"/>
    <row r="12830" ht="12"/>
    <row r="12831" ht="12"/>
    <row r="12833" ht="12"/>
    <row r="12834" ht="12"/>
    <row r="12835" ht="12"/>
    <row r="12836" ht="12"/>
    <row r="12837" ht="12"/>
    <row r="12838" ht="12"/>
    <row r="12839" ht="12"/>
    <row r="12840" ht="12"/>
    <row r="12841" ht="12"/>
    <row r="12851" ht="12"/>
    <row r="12872" ht="12"/>
    <row r="12898" ht="12"/>
    <row r="12904" ht="12"/>
    <row r="12905" ht="12"/>
    <row r="12906" ht="12"/>
    <row r="12909" ht="12"/>
    <row r="12932" ht="12"/>
    <row r="12933" ht="12"/>
    <row r="12935" ht="12"/>
    <row r="12936" ht="12"/>
    <row r="12937" ht="12"/>
    <row r="12938" ht="12"/>
    <row r="12945" ht="12"/>
    <row r="12954" ht="12"/>
    <row r="12970" ht="12"/>
    <row r="13013" ht="12"/>
    <row r="13043" ht="12"/>
    <row r="13061" ht="12"/>
    <row r="13068" ht="12"/>
    <row r="13105" ht="12"/>
    <row r="13115" ht="12"/>
    <row r="13124" ht="12"/>
    <row r="13125" ht="12"/>
    <row r="13154" ht="12"/>
    <row r="13174" ht="12"/>
    <row r="13175" ht="12"/>
    <row r="13176" ht="12"/>
    <row r="13200" ht="12"/>
    <row r="13232" ht="12"/>
    <row r="13276" ht="12"/>
    <row r="13311" ht="12"/>
    <row r="13325" ht="12"/>
    <row r="13326" ht="12"/>
    <row r="13447" ht="12"/>
    <row r="13450" ht="12"/>
    <row r="13451" ht="12"/>
    <row r="13478" ht="12"/>
    <row r="13479" ht="12"/>
    <row r="13486" ht="12"/>
    <row r="13587" ht="12"/>
    <row r="13591" ht="12"/>
    <row r="13592" ht="12"/>
    <row r="13605" ht="12"/>
    <row r="13606" ht="12"/>
    <row r="13607" ht="12"/>
    <row r="13614" ht="12"/>
    <row r="13615" ht="12"/>
    <row r="13620" ht="12"/>
    <row r="13622" ht="12"/>
    <row r="13758" ht="12"/>
    <row r="13780" ht="12"/>
    <row r="13781" ht="12"/>
    <row r="13787" ht="12"/>
    <row r="13788" ht="12"/>
    <row r="13789" ht="12"/>
    <row r="13820" ht="12"/>
    <row r="13848" ht="12"/>
    <row r="13849" ht="12"/>
    <row r="13850" ht="12"/>
    <row r="13851" ht="12"/>
    <row r="13852" ht="12"/>
    <row r="13865" ht="12"/>
    <row r="13866" ht="12"/>
    <row r="13867" ht="12"/>
    <row r="13878" ht="12"/>
    <row r="13901" ht="12"/>
    <row r="13913" ht="12"/>
    <row r="13914" ht="12"/>
    <row r="13915" ht="12"/>
    <row r="13916" ht="12"/>
    <row r="13919" ht="12"/>
    <row r="13920" ht="12"/>
    <row r="13921" ht="12"/>
    <row r="13922" ht="12"/>
    <row r="13923" ht="12"/>
    <row r="13924" ht="12"/>
    <row r="13925" ht="12"/>
    <row r="13926" ht="12"/>
    <row r="13927" ht="12"/>
    <row r="13938" ht="12"/>
    <row r="13974" ht="12"/>
    <row r="13992" ht="12"/>
    <row r="13993" ht="12"/>
    <row r="13994" ht="12"/>
    <row r="13995" ht="12"/>
    <row r="13996" ht="12"/>
    <row r="13997" ht="12"/>
    <row r="13998" ht="12"/>
    <row r="13999" ht="12"/>
    <row r="14000" ht="12"/>
    <row r="14001" ht="12"/>
    <row r="14002" ht="12"/>
    <row r="14003" ht="12"/>
    <row r="14004" ht="12"/>
    <row r="14005" ht="12"/>
    <row r="14006" ht="12"/>
    <row r="14007" ht="12"/>
    <row r="14008" ht="12"/>
    <row r="14009" ht="12"/>
    <row r="14011" ht="12"/>
    <row r="14014" ht="12"/>
    <row r="14015" ht="12"/>
    <row r="14018" ht="12"/>
    <row r="14022" ht="12"/>
    <row r="14023" ht="12"/>
    <row r="14024" ht="12"/>
    <row r="14025" ht="12"/>
    <row r="14028" ht="12"/>
    <row r="14029" ht="12"/>
    <row r="14032" ht="12"/>
    <row r="14033" ht="12"/>
    <row r="14034" ht="12"/>
    <row r="14035" ht="12"/>
    <row r="14044" ht="12"/>
    <row r="14045" ht="12"/>
    <row r="14046" ht="12"/>
    <row r="14047" ht="12"/>
    <row r="14055" ht="12"/>
    <row r="14056" ht="12"/>
    <row r="14057" ht="12"/>
    <row r="14061" ht="12"/>
    <row r="14062" ht="12"/>
    <row r="14063" ht="12"/>
    <row r="14065" ht="12"/>
    <row r="14066" ht="12"/>
    <row r="14068" ht="12"/>
    <row r="14070" ht="12"/>
    <row r="14072" ht="12"/>
    <row r="14073" ht="12"/>
    <row r="14083" ht="12"/>
    <row r="14096" ht="12"/>
    <row r="14110" ht="12"/>
    <row r="14144" ht="12"/>
    <row r="14179" ht="12"/>
    <row r="14182" ht="12"/>
    <row r="14183" ht="12"/>
    <row r="14184" ht="12"/>
    <row r="14185" ht="12"/>
    <row r="14186" ht="12"/>
    <row r="14202" ht="12"/>
    <row r="14210" ht="12"/>
    <row r="14238" ht="12"/>
    <row r="14239" ht="12"/>
    <row r="14240" ht="12"/>
    <row r="14241" ht="12"/>
    <row r="14242" ht="12"/>
    <row r="14243" ht="12"/>
    <row r="14244" ht="12"/>
    <row r="14245" ht="12"/>
    <row r="14246" ht="12"/>
    <row r="14247" ht="12"/>
    <row r="14248" ht="12"/>
    <row r="14250" ht="12"/>
    <row r="14252" ht="12"/>
    <row r="14284" ht="12"/>
    <row r="14321" ht="12"/>
    <row r="14325" ht="12"/>
    <row r="14338" ht="12"/>
    <row r="14359" ht="12"/>
    <row r="14364" ht="12"/>
    <row r="14389" ht="12"/>
    <row r="14394" ht="12"/>
    <row r="14395" ht="12"/>
    <row r="14396" ht="12"/>
    <row r="14397" ht="12"/>
    <row r="14398" ht="12"/>
    <row r="14399" ht="12"/>
    <row r="14400" ht="12"/>
    <row r="14401" ht="12"/>
    <row r="14402" ht="12"/>
    <row r="14403" ht="12"/>
    <row r="14404" ht="12"/>
    <row r="14405" ht="12"/>
    <row r="14406" ht="12"/>
    <row r="14407" ht="12"/>
    <row r="14408" ht="12"/>
    <row r="14409" ht="12"/>
    <row r="14410" ht="12"/>
    <row r="14411" ht="12"/>
    <row r="14412" ht="12"/>
    <row r="14413" ht="12"/>
    <row r="14419" ht="12"/>
    <row r="14420" ht="12"/>
    <row r="14421" ht="12"/>
    <row r="14422" ht="12"/>
    <row r="14424" ht="12"/>
    <row r="14425" ht="12"/>
    <row r="14430" ht="12"/>
    <row r="14442" ht="12"/>
    <row r="14443" ht="12"/>
    <row r="14444" ht="12"/>
    <row r="14445" ht="12"/>
    <row r="14446" ht="12"/>
    <row r="14447" ht="12"/>
    <row r="14448" ht="12"/>
    <row r="14449" ht="12"/>
    <row r="14450" ht="12"/>
    <row r="14451" ht="12"/>
    <row r="14452" ht="12"/>
    <row r="14453" ht="12"/>
    <row r="14454" ht="12"/>
    <row r="14455" ht="12"/>
    <row r="14456" ht="12"/>
    <row r="14457" ht="12"/>
    <row r="14458" ht="12"/>
    <row r="14459" ht="12"/>
    <row r="14460" ht="12"/>
    <row r="14461" ht="12"/>
    <row r="14464" ht="12"/>
    <row r="14465" ht="12"/>
    <row r="14466" ht="12"/>
    <row r="14467" ht="12"/>
    <row r="14468" ht="12"/>
    <row r="14469" ht="12"/>
    <row r="14471" ht="12"/>
    <row r="14472" ht="12"/>
    <row r="14474" ht="12"/>
    <row r="14475" ht="12"/>
    <row r="14476" ht="12"/>
    <row r="14477" ht="12"/>
    <row r="14478" ht="12"/>
    <row r="14479" ht="12"/>
    <row r="14482" ht="12"/>
    <row r="14483" ht="12"/>
    <row r="14484" ht="12"/>
    <row r="14485" ht="12"/>
    <row r="14506" ht="12"/>
    <row r="14622" ht="12"/>
    <row r="14623" ht="12"/>
    <row r="14624" ht="12"/>
    <row r="14625" ht="12"/>
    <row r="14626" ht="12"/>
    <row r="14627" ht="12"/>
    <row r="14628" ht="12"/>
    <row r="14629" ht="12"/>
    <row r="14630" ht="12"/>
    <row r="14631" ht="12"/>
    <row r="14645" ht="12"/>
    <row r="14649" ht="12"/>
    <row r="14653" ht="12"/>
    <row r="14656" ht="12"/>
    <row r="14659" ht="12"/>
    <row r="14675" ht="12"/>
    <row r="14678" ht="12"/>
    <row r="14949" ht="12"/>
    <row r="15021" ht="12"/>
    <row r="15022" ht="12"/>
    <row r="15023" ht="12"/>
    <row r="15142" ht="12"/>
    <row r="15143" ht="12"/>
    <row r="15146" ht="12"/>
    <row r="15147" ht="12"/>
    <row r="15148" ht="12"/>
    <row r="15149" ht="12"/>
    <row r="15157" ht="12"/>
    <row r="15158" ht="12"/>
    <row r="15159" ht="12"/>
    <row r="15160" ht="12"/>
    <row r="15161" ht="12"/>
    <row r="15162" ht="12"/>
    <row r="15179" ht="12"/>
    <row r="15180" ht="12"/>
    <row r="15181" ht="12"/>
    <row r="15182" ht="12"/>
    <row r="15191" ht="12"/>
    <row r="15192" ht="12"/>
    <row r="15195" ht="12"/>
    <row r="15196" ht="12"/>
    <row r="15197" ht="12"/>
    <row r="15200" ht="12"/>
    <row r="15222" ht="12"/>
    <row r="15223" ht="12"/>
    <row r="15224" ht="12"/>
    <row r="15225" ht="12"/>
    <row r="15226" ht="12"/>
    <row r="15227" ht="12"/>
    <row r="15228" ht="12"/>
    <row r="15229" ht="12"/>
    <row r="15230" ht="12"/>
    <row r="15231" ht="12"/>
    <row r="15232" ht="12"/>
    <row r="15233" ht="12"/>
    <row r="15234" ht="12"/>
    <row r="15239" ht="12"/>
    <row r="15240" ht="12"/>
    <row r="15241" ht="12"/>
    <row r="15242" ht="12"/>
    <row r="15243" ht="12"/>
    <row r="15244" ht="12"/>
    <row r="15245" ht="12"/>
    <row r="15246" ht="12"/>
    <row r="15247" ht="12"/>
    <row r="15248" ht="12"/>
    <row r="15249" ht="12"/>
    <row r="15250" ht="12"/>
    <row r="15251" ht="12"/>
    <row r="15252" ht="12"/>
    <row r="15253" ht="12"/>
    <row r="15254" ht="12"/>
    <row r="15255" ht="12"/>
    <row r="15256" ht="12"/>
    <row r="15257" ht="12"/>
    <row r="15258" ht="12"/>
    <row r="15259" ht="12"/>
    <row r="15353" ht="12"/>
    <row r="15358" ht="12"/>
    <row r="15359" ht="12"/>
    <row r="15360" ht="12"/>
    <row r="15361" ht="12"/>
    <row r="15362" ht="12"/>
    <row r="15364" ht="12"/>
    <row r="15365" ht="12"/>
    <row r="15369" ht="12"/>
    <row r="15388" ht="12"/>
    <row r="15389" ht="12"/>
    <row r="15390" ht="12"/>
    <row r="15391" ht="12"/>
    <row r="15393" ht="12"/>
    <row r="15394" ht="12"/>
    <row r="15395" ht="12"/>
    <row r="15396" ht="12"/>
    <row r="15398" ht="12"/>
    <row r="15399" ht="12"/>
    <row r="15400" ht="12"/>
    <row r="15417" ht="12"/>
    <row r="15429" ht="12"/>
    <row r="15430" ht="12"/>
    <row r="15431" ht="12"/>
    <row r="15432" ht="12"/>
    <row r="15446" ht="12"/>
    <row r="15451" ht="12"/>
    <row r="15460" ht="12"/>
    <row r="15468" ht="12"/>
    <row r="15469" ht="12"/>
    <row r="15706" ht="12"/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AU46">
    <sortCondition sortBy="cellColor" ref="A2:A46" dxfId="31"/>
    <sortCondition sortBy="cellColor" ref="A2:A46" dxfId="30"/>
    <sortCondition sortBy="cellColor" ref="A2:A46" dxfId="29"/>
    <sortCondition sortBy="cellColor" ref="A2:A46" dxfId="28"/>
    <sortCondition sortBy="cellColor" ref="A2:A46" dxfId="27"/>
    <sortCondition sortBy="cellColor" ref="A2:A46" dxfId="26"/>
    <sortCondition sortBy="cellColor" ref="A2:A46" dxfId="25"/>
    <sortCondition ref="A2:A46"/>
  </sortState>
  <phoneticPr fontId="0" type="noConversion"/>
  <hyperlinks>
    <hyperlink ref="AH314" r:id="rId1" xr:uid="{00000000-0004-0000-0000-00000D000000}"/>
    <hyperlink ref="AH316" r:id="rId2" xr:uid="{00000000-0004-0000-0000-00000F000000}"/>
    <hyperlink ref="AH317" r:id="rId3" xr:uid="{00000000-0004-0000-0000-000010000000}"/>
    <hyperlink ref="AH318" r:id="rId4" xr:uid="{00000000-0004-0000-0000-000011000000}"/>
    <hyperlink ref="AH141" r:id="rId5" xr:uid="{00000000-0004-0000-0000-000014000000}"/>
    <hyperlink ref="AH142" r:id="rId6" xr:uid="{00000000-0004-0000-0000-000015000000}"/>
    <hyperlink ref="AH281" r:id="rId7" xr:uid="{00000000-0004-0000-0000-000016000000}"/>
    <hyperlink ref="AH282" r:id="rId8" xr:uid="{00000000-0004-0000-0000-000017000000}"/>
    <hyperlink ref="AH283" r:id="rId9" xr:uid="{00000000-0004-0000-0000-000018000000}"/>
    <hyperlink ref="AH284" r:id="rId10" xr:uid="{00000000-0004-0000-0000-000019000000}"/>
    <hyperlink ref="AH285" r:id="rId11" xr:uid="{00000000-0004-0000-0000-00001A000000}"/>
    <hyperlink ref="AH325" r:id="rId12" xr:uid="{00000000-0004-0000-0000-00001E000000}"/>
    <hyperlink ref="AH235" r:id="rId13" xr:uid="{00000000-0004-0000-0000-000023000000}"/>
    <hyperlink ref="AH279" r:id="rId14" xr:uid="{00000000-0004-0000-0000-000029000000}"/>
    <hyperlink ref="AH138" r:id="rId15" xr:uid="{00000000-0004-0000-0000-00002B000000}"/>
    <hyperlink ref="AH209" r:id="rId16" xr:uid="{00000000-0004-0000-0000-000030000000}"/>
    <hyperlink ref="AH287" r:id="rId17" xr:uid="{00000000-0004-0000-0000-000036000000}"/>
    <hyperlink ref="AH188" r:id="rId18" xr:uid="{00000000-0004-0000-0000-000039000000}"/>
    <hyperlink ref="AH189" r:id="rId19" xr:uid="{00000000-0004-0000-0000-00003A000000}"/>
    <hyperlink ref="AH190" r:id="rId20" xr:uid="{00000000-0004-0000-0000-00003B000000}"/>
    <hyperlink ref="AH315" r:id="rId21" xr:uid="{00000000-0004-0000-0000-00003E000000}"/>
    <hyperlink ref="AH9" r:id="rId22" xr:uid="{00000000-0004-0000-0000-000049000000}"/>
    <hyperlink ref="AH18" r:id="rId23" xr:uid="{00000000-0004-0000-0000-000050000000}"/>
    <hyperlink ref="AH22" r:id="rId24" xr:uid="{00000000-0004-0000-0000-000051000000}"/>
    <hyperlink ref="AH56" r:id="rId25" xr:uid="{00000000-0004-0000-0000-000097000000}"/>
    <hyperlink ref="AH60" r:id="rId26" xr:uid="{00000000-0004-0000-0000-000099000000}"/>
    <hyperlink ref="AH61" r:id="rId27" xr:uid="{00000000-0004-0000-0000-00009A000000}"/>
    <hyperlink ref="AH59" r:id="rId28" xr:uid="{00000000-0004-0000-0000-00009B000000}"/>
    <hyperlink ref="AH47" r:id="rId29" xr:uid="{00000000-0004-0000-0000-00009E000000}"/>
    <hyperlink ref="AH5" r:id="rId30" xr:uid="{00000000-0004-0000-0000-00000E020000}"/>
    <hyperlink ref="AH394" r:id="rId31" xr:uid="{00000000-0004-0000-0000-000088040000}"/>
    <hyperlink ref="AH397" r:id="rId32" xr:uid="{00000000-0004-0000-0000-000089040000}"/>
    <hyperlink ref="AH395" r:id="rId33" xr:uid="{00000000-0004-0000-0000-00008A040000}"/>
    <hyperlink ref="AH396" r:id="rId34" xr:uid="{00000000-0004-0000-0000-00008B040000}"/>
    <hyperlink ref="AH400" r:id="rId35" xr:uid="{00000000-0004-0000-0000-00008C040000}"/>
    <hyperlink ref="AH398" r:id="rId36" xr:uid="{00000000-0004-0000-0000-00008D040000}"/>
    <hyperlink ref="AH399" r:id="rId37" xr:uid="{00000000-0004-0000-0000-00008E040000}"/>
    <hyperlink ref="AH433" r:id="rId38" xr:uid="{00000000-0004-0000-0000-000090040000}"/>
    <hyperlink ref="AH434" r:id="rId39" xr:uid="{00000000-0004-0000-0000-000091040000}"/>
    <hyperlink ref="AH435" r:id="rId40" xr:uid="{00000000-0004-0000-0000-000092040000}"/>
    <hyperlink ref="AH436" r:id="rId41" xr:uid="{00000000-0004-0000-0000-000093040000}"/>
    <hyperlink ref="AH389" r:id="rId42" xr:uid="{00000000-0004-0000-0000-000094040000}"/>
    <hyperlink ref="AH388" r:id="rId43" xr:uid="{00000000-0004-0000-0000-000095040000}"/>
    <hyperlink ref="AH401" r:id="rId44" xr:uid="{00000000-0004-0000-0000-000096040000}"/>
    <hyperlink ref="AH426" r:id="rId45" xr:uid="{00000000-0004-0000-0000-000097040000}"/>
    <hyperlink ref="AH423" r:id="rId46" xr:uid="{00000000-0004-0000-0000-000098040000}"/>
    <hyperlink ref="AH424" r:id="rId47" xr:uid="{00000000-0004-0000-0000-000099040000}"/>
    <hyperlink ref="AH425" r:id="rId48" xr:uid="{00000000-0004-0000-0000-00009A040000}"/>
    <hyperlink ref="AH280" r:id="rId49" xr:uid="{00000000-0004-0000-0000-00009B040000}"/>
    <hyperlink ref="AH239" r:id="rId50" xr:uid="{00000000-0004-0000-0000-00009C040000}"/>
    <hyperlink ref="AH3" r:id="rId51" xr:uid="{00000000-0004-0000-0000-0000AA040000}"/>
    <hyperlink ref="AH6" r:id="rId52" xr:uid="{00000000-0004-0000-0000-0000AB040000}"/>
    <hyperlink ref="AH16" r:id="rId53" xr:uid="{00000000-0004-0000-0000-0000AC040000}"/>
    <hyperlink ref="AH10" r:id="rId54" xr:uid="{00000000-0004-0000-0000-0000BE040000}"/>
    <hyperlink ref="AI10" r:id="rId55" xr:uid="{00000000-0004-0000-0000-0000BF040000}"/>
    <hyperlink ref="AH15" r:id="rId56" xr:uid="{00000000-0004-0000-0000-0000C0040000}"/>
    <hyperlink ref="AH40" r:id="rId57" xr:uid="{00000000-0004-0000-0000-0000C2040000}"/>
    <hyperlink ref="AH36" r:id="rId58" xr:uid="{00000000-0004-0000-0000-0000C3040000}"/>
    <hyperlink ref="AH23" r:id="rId59" xr:uid="{00000000-0004-0000-0000-0000C4040000}"/>
    <hyperlink ref="AH12" r:id="rId60" xr:uid="{00000000-0004-0000-0000-0000CF040000}"/>
    <hyperlink ref="AH39" r:id="rId61" xr:uid="{00000000-0004-0000-0000-0000D1040000}"/>
    <hyperlink ref="AH27" r:id="rId62" xr:uid="{00000000-0004-0000-0000-0000D2040000}"/>
    <hyperlink ref="AH26" r:id="rId63" xr:uid="{00000000-0004-0000-0000-0000D3040000}"/>
    <hyperlink ref="AH25" r:id="rId64" xr:uid="{00000000-0004-0000-0000-0000D4040000}"/>
    <hyperlink ref="AH42" r:id="rId65" xr:uid="{00000000-0004-0000-0000-0000D5040000}"/>
    <hyperlink ref="AH37" r:id="rId66" xr:uid="{00000000-0004-0000-0000-0000EF040000}"/>
    <hyperlink ref="AH13" r:id="rId67" xr:uid="{00000000-0004-0000-0000-0000F6040000}"/>
    <hyperlink ref="AH43" r:id="rId68" xr:uid="{00000000-0004-0000-0000-000001050000}"/>
    <hyperlink ref="AH14" r:id="rId69" xr:uid="{00000000-0004-0000-0000-000002050000}"/>
    <hyperlink ref="AH38" r:id="rId70" xr:uid="{00000000-0004-0000-0000-000004050000}"/>
    <hyperlink ref="AH44" r:id="rId71" xr:uid="{00000000-0004-0000-0000-000005050000}"/>
    <hyperlink ref="AH45" r:id="rId72" xr:uid="{00000000-0004-0000-0000-000006050000}"/>
    <hyperlink ref="AH35" r:id="rId73" xr:uid="{00000000-0004-0000-0000-000008050000}"/>
    <hyperlink ref="AH46" r:id="rId74" xr:uid="{00000000-0004-0000-0000-00000A050000}"/>
    <hyperlink ref="AH7" r:id="rId75" xr:uid="{00000000-0004-0000-0000-00002B050000}"/>
    <hyperlink ref="AH2" r:id="rId76" xr:uid="{00000000-0004-0000-0000-00002C050000}"/>
    <hyperlink ref="AH17" r:id="rId77" xr:uid="{00000000-0004-0000-0000-00005D050000}"/>
    <hyperlink ref="AH24" r:id="rId78" xr:uid="{00000000-0004-0000-0000-00007B050000}"/>
    <hyperlink ref="AH29" r:id="rId79" xr:uid="{00000000-0004-0000-0000-00007C050000}"/>
    <hyperlink ref="AH28" r:id="rId80" xr:uid="{00000000-0004-0000-0000-00007D050000}"/>
    <hyperlink ref="AH19" r:id="rId81" xr:uid="{00000000-0004-0000-0000-000084050000}"/>
    <hyperlink ref="AH4" r:id="rId82" xr:uid="{00000000-0004-0000-0000-000085050000}"/>
    <hyperlink ref="AI47" r:id="rId83" xr:uid="{00000000-0004-0000-0000-0000BD050000}"/>
    <hyperlink ref="AH52" r:id="rId84" xr:uid="{00000000-0004-0000-0000-0000C0050000}"/>
    <hyperlink ref="AI51" r:id="rId85" xr:uid="{00000000-0004-0000-0000-0000C6050000}"/>
    <hyperlink ref="AH62" r:id="rId86" xr:uid="{00000000-0004-0000-0000-0000C7050000}"/>
    <hyperlink ref="AH11" r:id="rId87" xr:uid="{00000000-0004-0000-0000-0000C9050000}"/>
    <hyperlink ref="AH51" r:id="rId88" xr:uid="{00000000-0004-0000-0000-0000DA050000}"/>
    <hyperlink ref="AI54" r:id="rId89" xr:uid="{00000000-0004-0000-0000-0000DB050000}"/>
    <hyperlink ref="AH54" r:id="rId90" xr:uid="{00000000-0004-0000-0000-0000DC050000}"/>
    <hyperlink ref="AI55" r:id="rId91" xr:uid="{00000000-0004-0000-0000-0000DD050000}"/>
    <hyperlink ref="AH55" r:id="rId92" xr:uid="{00000000-0004-0000-0000-0000DE050000}"/>
    <hyperlink ref="AH64" r:id="rId93" xr:uid="{00000000-0004-0000-0000-0000EF050000}"/>
    <hyperlink ref="AH63" r:id="rId94" xr:uid="{00000000-0004-0000-0000-0000F0050000}"/>
    <hyperlink ref="AH58" r:id="rId95" xr:uid="{00000000-0004-0000-0000-0000F6050000}"/>
    <hyperlink ref="AH57" r:id="rId96" xr:uid="{00000000-0004-0000-0000-0000F7050000}"/>
    <hyperlink ref="AH53" r:id="rId97" xr:uid="{00000000-0004-0000-0000-0000F8050000}"/>
    <hyperlink ref="AH50" r:id="rId98" xr:uid="{00000000-0004-0000-0000-00007D060000}"/>
    <hyperlink ref="AJ47" r:id="rId99" xr:uid="{00000000-0004-0000-0000-000080060000}"/>
    <hyperlink ref="AH48" r:id="rId100" xr:uid="{00000000-0004-0000-0000-000081060000}"/>
    <hyperlink ref="AI48" r:id="rId101" display="https://hal.archives-ouvertes.fr/hal-00674908/document" xr:uid="{00000000-0004-0000-0000-000082060000}"/>
    <hyperlink ref="AI48" r:id="rId102" xr:uid="{00000000-0004-0000-0000-000083060000}"/>
    <hyperlink ref="AJ48" r:id="rId103" xr:uid="{00000000-0004-0000-0000-000084060000}"/>
    <hyperlink ref="AH49" r:id="rId104" xr:uid="{00000000-0004-0000-0000-000089060000}"/>
    <hyperlink ref="AI49" r:id="rId105" display="https://hal.archives-ouvertes.fr/hal-00674908/document" xr:uid="{00000000-0004-0000-0000-00008A060000}"/>
    <hyperlink ref="AI49" r:id="rId106" xr:uid="{00000000-0004-0000-0000-00008B060000}"/>
    <hyperlink ref="AJ49" r:id="rId107" xr:uid="{00000000-0004-0000-0000-00008C060000}"/>
    <hyperlink ref="AI22" r:id="rId108" xr:uid="{00000000-0004-0000-0000-00009A060000}"/>
    <hyperlink ref="AI6" r:id="rId109" xr:uid="{00000000-0004-0000-0000-00009E060000}"/>
    <hyperlink ref="AI7" r:id="rId110" xr:uid="{00000000-0004-0000-0000-00009F060000}"/>
    <hyperlink ref="AI23" r:id="rId111" xr:uid="{00000000-0004-0000-0000-0000A2060000}"/>
    <hyperlink ref="AI16" r:id="rId112" xr:uid="{00000000-0004-0000-0000-0000A6060000}"/>
    <hyperlink ref="AI18" r:id="rId113" xr:uid="{00000000-0004-0000-0000-0000A7060000}"/>
    <hyperlink ref="AI12" r:id="rId114" xr:uid="{00000000-0004-0000-0000-0000A8060000}"/>
    <hyperlink ref="AJ18" r:id="rId115" xr:uid="{00000000-0004-0000-0000-0000AA060000}"/>
    <hyperlink ref="AJ16" r:id="rId116" xr:uid="{00000000-0004-0000-0000-0000AB060000}"/>
    <hyperlink ref="AJ6" r:id="rId117" xr:uid="{00000000-0004-0000-0000-0000AC060000}"/>
    <hyperlink ref="AI11" r:id="rId118" xr:uid="{00000000-0004-0000-0000-0000B3060000}"/>
    <hyperlink ref="AJ7" r:id="rId119" xr:uid="{00000000-0004-0000-0000-0000B5060000}"/>
    <hyperlink ref="AI4" r:id="rId120" xr:uid="{00000000-0004-0000-0000-0000B8060000}"/>
    <hyperlink ref="AI19" r:id="rId121" xr:uid="{00000000-0004-0000-0000-0000B9060000}"/>
    <hyperlink ref="AJ4" r:id="rId122" xr:uid="{00000000-0004-0000-0000-000004070000}"/>
    <hyperlink ref="AJ19" r:id="rId123" xr:uid="{00000000-0004-0000-0000-000005070000}"/>
    <hyperlink ref="AH8" r:id="rId124" xr:uid="{00000000-0004-0000-0000-000006070000}"/>
    <hyperlink ref="AI42" r:id="rId125" xr:uid="{00000000-0004-0000-0000-000029070000}"/>
    <hyperlink ref="AI14" r:id="rId126" xr:uid="{00000000-0004-0000-0000-000047070000}"/>
    <hyperlink ref="AI15" r:id="rId127" xr:uid="{00000000-0004-0000-0000-000048070000}"/>
    <hyperlink ref="AI17" r:id="rId128" xr:uid="{00000000-0004-0000-0000-00004E070000}"/>
    <hyperlink ref="AI13" r:id="rId129" xr:uid="{00000000-0004-0000-0000-00008A070000}"/>
    <hyperlink ref="AI34" r:id="rId130" xr:uid="{00000000-0004-0000-0000-0000EF070000}"/>
    <hyperlink ref="AI31" r:id="rId131" xr:uid="{00000000-0004-0000-0000-0000F0070000}"/>
    <hyperlink ref="AI20" r:id="rId132" xr:uid="{00000000-0004-0000-0000-0000F4070000}"/>
    <hyperlink ref="AI30" r:id="rId133" xr:uid="{00000000-0004-0000-0000-0000F5070000}"/>
    <hyperlink ref="AI32" r:id="rId134" xr:uid="{00000000-0004-0000-0000-0000FE070000}"/>
    <hyperlink ref="AI33" r:id="rId135" xr:uid="{00000000-0004-0000-0000-000000080000}"/>
    <hyperlink ref="AI21" r:id="rId136" xr:uid="{00000000-0004-0000-0000-000004080000}"/>
    <hyperlink ref="AI56" r:id="rId137" xr:uid="{00000000-0004-0000-0000-000008080000}"/>
    <hyperlink ref="AI58" r:id="rId138" xr:uid="{00000000-0004-0000-0000-000009080000}"/>
    <hyperlink ref="AI57" r:id="rId139" xr:uid="{00000000-0004-0000-0000-00000A080000}"/>
    <hyperlink ref="AI53" r:id="rId140" xr:uid="{00000000-0004-0000-0000-00000B080000}"/>
    <hyperlink ref="AH32" r:id="rId141" xr:uid="{5EAA6073-A3B5-4558-A497-0DB6C73039F4}"/>
    <hyperlink ref="AI40" r:id="rId142" xr:uid="{6F1A5F65-90AE-41EE-8550-C84D1EBB8085}"/>
    <hyperlink ref="AH41" r:id="rId143" xr:uid="{E377AC06-71B6-4271-A8E4-2ECBE71D5DB1}"/>
    <hyperlink ref="AI37" r:id="rId144" xr:uid="{7B0DDC03-CD93-4BAD-A042-7CF20A015067}"/>
    <hyperlink ref="AI28" r:id="rId145" xr:uid="{657BCB31-C709-40E1-889F-F0A3C2BC7EAD}"/>
    <hyperlink ref="AI29" r:id="rId146" xr:uid="{AD0092F0-3E11-4310-8899-F5EEC731D4AC}"/>
    <hyperlink ref="AI24" r:id="rId147" xr:uid="{BD92F3AD-5A77-49E5-9C3C-C70E9E7AC33B}"/>
    <hyperlink ref="AH405" r:id="rId148" xr:uid="{B3A9C17F-2218-4AD3-B3DF-EF531A950933}"/>
    <hyperlink ref="AH391" r:id="rId149" xr:uid="{81CC2427-01DD-46FC-83B9-67E1FCED934B}"/>
    <hyperlink ref="AH21" r:id="rId150" xr:uid="{687BE4E4-4B8D-478B-826D-38C55BEC628E}"/>
    <hyperlink ref="AI3" r:id="rId151" xr:uid="{B84842D6-F775-4A6C-9F2D-60947C910183}"/>
    <hyperlink ref="AI2" r:id="rId152" xr:uid="{8DDD9876-0A72-4880-B7D9-AA2D5A18EEEB}"/>
    <hyperlink ref="AJ3" r:id="rId153" xr:uid="{13762E96-ACA3-4B77-BC8C-915393C4EDEE}"/>
    <hyperlink ref="AJ2" r:id="rId154" xr:uid="{0150C908-3A68-4DA3-9189-FD75D345C4D9}"/>
    <hyperlink ref="AI41" r:id="rId155" xr:uid="{AAE69824-9900-4270-AEAB-64D9B1A43272}"/>
    <hyperlink ref="AH404" r:id="rId156" xr:uid="{2706EF3B-7A07-4FBC-8267-EF366DDF04EC}"/>
    <hyperlink ref="AH403" r:id="rId157" xr:uid="{5721A97A-B846-49D0-974E-7FBC31803461}"/>
  </hyperlinks>
  <pageMargins left="0.75" right="0.75" top="1" bottom="1" header="0.5" footer="0.5"/>
  <pageSetup fitToHeight="10" orientation="landscape" r:id="rId15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524C9-3A7B-43A9-A198-39EEBA676B72}">
  <dimension ref="A1:B402"/>
  <sheetViews>
    <sheetView workbookViewId="0">
      <selection activeCell="C1" sqref="C1"/>
    </sheetView>
  </sheetViews>
  <sheetFormatPr defaultRowHeight="12"/>
  <cols>
    <col min="1" max="1" width="13.42578125" customWidth="1"/>
    <col min="2" max="2" width="11.85546875" customWidth="1"/>
  </cols>
  <sheetData>
    <row r="1" spans="1:2">
      <c r="A1" t="s">
        <v>1474</v>
      </c>
      <c r="B1" s="33" t="s">
        <v>31</v>
      </c>
    </row>
    <row r="2" spans="1:2">
      <c r="A2">
        <v>450</v>
      </c>
    </row>
    <row r="3" spans="1:2">
      <c r="A3">
        <v>455</v>
      </c>
    </row>
    <row r="4" spans="1:2">
      <c r="A4">
        <v>460</v>
      </c>
    </row>
    <row r="5" spans="1:2">
      <c r="A5">
        <v>465</v>
      </c>
    </row>
    <row r="6" spans="1:2">
      <c r="A6">
        <v>470</v>
      </c>
    </row>
    <row r="7" spans="1:2">
      <c r="A7">
        <v>475</v>
      </c>
    </row>
    <row r="8" spans="1:2">
      <c r="A8">
        <v>480</v>
      </c>
    </row>
    <row r="9" spans="1:2">
      <c r="A9">
        <v>485</v>
      </c>
    </row>
    <row r="10" spans="1:2">
      <c r="A10">
        <v>490</v>
      </c>
    </row>
    <row r="11" spans="1:2">
      <c r="A11">
        <v>495</v>
      </c>
    </row>
    <row r="12" spans="1:2">
      <c r="A12">
        <v>500</v>
      </c>
    </row>
    <row r="13" spans="1:2">
      <c r="A13">
        <v>505</v>
      </c>
    </row>
    <row r="14" spans="1:2">
      <c r="A14">
        <v>510</v>
      </c>
    </row>
    <row r="15" spans="1:2">
      <c r="A15">
        <v>515</v>
      </c>
    </row>
    <row r="16" spans="1:2">
      <c r="A16">
        <v>520</v>
      </c>
    </row>
    <row r="17" spans="1:1">
      <c r="A17">
        <v>525</v>
      </c>
    </row>
    <row r="18" spans="1:1">
      <c r="A18">
        <v>530</v>
      </c>
    </row>
    <row r="19" spans="1:1">
      <c r="A19">
        <v>535</v>
      </c>
    </row>
    <row r="20" spans="1:1">
      <c r="A20">
        <v>540</v>
      </c>
    </row>
    <row r="21" spans="1:1">
      <c r="A21">
        <v>545</v>
      </c>
    </row>
    <row r="22" spans="1:1">
      <c r="A22">
        <v>550</v>
      </c>
    </row>
    <row r="23" spans="1:1">
      <c r="A23">
        <v>555</v>
      </c>
    </row>
    <row r="24" spans="1:1">
      <c r="A24">
        <v>560</v>
      </c>
    </row>
    <row r="25" spans="1:1">
      <c r="A25">
        <v>565</v>
      </c>
    </row>
    <row r="26" spans="1:1">
      <c r="A26">
        <v>570</v>
      </c>
    </row>
    <row r="27" spans="1:1">
      <c r="A27">
        <v>575</v>
      </c>
    </row>
    <row r="28" spans="1:1">
      <c r="A28">
        <v>580</v>
      </c>
    </row>
    <row r="29" spans="1:1">
      <c r="A29">
        <v>585</v>
      </c>
    </row>
    <row r="30" spans="1:1">
      <c r="A30">
        <v>590</v>
      </c>
    </row>
    <row r="31" spans="1:1">
      <c r="A31">
        <v>595</v>
      </c>
    </row>
    <row r="32" spans="1:1">
      <c r="A32">
        <v>600</v>
      </c>
    </row>
    <row r="33" spans="1:1">
      <c r="A33">
        <v>605</v>
      </c>
    </row>
    <row r="34" spans="1:1">
      <c r="A34">
        <v>610</v>
      </c>
    </row>
    <row r="35" spans="1:1">
      <c r="A35">
        <v>615</v>
      </c>
    </row>
    <row r="36" spans="1:1">
      <c r="A36">
        <v>620</v>
      </c>
    </row>
    <row r="37" spans="1:1">
      <c r="A37">
        <v>625</v>
      </c>
    </row>
    <row r="38" spans="1:1">
      <c r="A38">
        <v>630</v>
      </c>
    </row>
    <row r="39" spans="1:1">
      <c r="A39">
        <v>635</v>
      </c>
    </row>
    <row r="40" spans="1:1">
      <c r="A40">
        <v>640</v>
      </c>
    </row>
    <row r="41" spans="1:1">
      <c r="A41">
        <v>645</v>
      </c>
    </row>
    <row r="42" spans="1:1">
      <c r="A42">
        <v>650</v>
      </c>
    </row>
    <row r="43" spans="1:1">
      <c r="A43">
        <v>655</v>
      </c>
    </row>
    <row r="44" spans="1:1">
      <c r="A44">
        <v>660</v>
      </c>
    </row>
    <row r="45" spans="1:1">
      <c r="A45">
        <v>665</v>
      </c>
    </row>
    <row r="46" spans="1:1">
      <c r="A46">
        <v>670</v>
      </c>
    </row>
    <row r="47" spans="1:1">
      <c r="A47">
        <v>675</v>
      </c>
    </row>
    <row r="48" spans="1:1">
      <c r="A48">
        <v>680</v>
      </c>
    </row>
    <row r="49" spans="1:1">
      <c r="A49">
        <v>685</v>
      </c>
    </row>
    <row r="50" spans="1:1">
      <c r="A50">
        <v>690</v>
      </c>
    </row>
    <row r="51" spans="1:1">
      <c r="A51">
        <v>695</v>
      </c>
    </row>
    <row r="52" spans="1:1">
      <c r="A52">
        <v>700</v>
      </c>
    </row>
    <row r="53" spans="1:1">
      <c r="A53">
        <v>705</v>
      </c>
    </row>
    <row r="54" spans="1:1">
      <c r="A54">
        <v>710</v>
      </c>
    </row>
    <row r="55" spans="1:1">
      <c r="A55">
        <v>715</v>
      </c>
    </row>
    <row r="56" spans="1:1">
      <c r="A56">
        <v>720</v>
      </c>
    </row>
    <row r="57" spans="1:1">
      <c r="A57">
        <v>725</v>
      </c>
    </row>
    <row r="58" spans="1:1">
      <c r="A58">
        <v>730</v>
      </c>
    </row>
    <row r="59" spans="1:1">
      <c r="A59">
        <v>735</v>
      </c>
    </row>
    <row r="60" spans="1:1">
      <c r="A60">
        <v>740</v>
      </c>
    </row>
    <row r="61" spans="1:1">
      <c r="A61">
        <v>745</v>
      </c>
    </row>
    <row r="62" spans="1:1">
      <c r="A62">
        <v>750</v>
      </c>
    </row>
    <row r="63" spans="1:1">
      <c r="A63">
        <v>755</v>
      </c>
    </row>
    <row r="64" spans="1:1">
      <c r="A64">
        <v>760</v>
      </c>
    </row>
    <row r="65" spans="1:1">
      <c r="A65">
        <v>765</v>
      </c>
    </row>
    <row r="66" spans="1:1">
      <c r="A66">
        <v>770</v>
      </c>
    </row>
    <row r="67" spans="1:1">
      <c r="A67">
        <v>775</v>
      </c>
    </row>
    <row r="68" spans="1:1">
      <c r="A68">
        <v>780</v>
      </c>
    </row>
    <row r="69" spans="1:1">
      <c r="A69">
        <v>785</v>
      </c>
    </row>
    <row r="70" spans="1:1">
      <c r="A70">
        <v>790</v>
      </c>
    </row>
    <row r="71" spans="1:1">
      <c r="A71">
        <v>795</v>
      </c>
    </row>
    <row r="72" spans="1:1">
      <c r="A72">
        <v>800</v>
      </c>
    </row>
    <row r="73" spans="1:1">
      <c r="A73">
        <v>805</v>
      </c>
    </row>
    <row r="74" spans="1:1">
      <c r="A74">
        <v>810</v>
      </c>
    </row>
    <row r="75" spans="1:1">
      <c r="A75">
        <v>815</v>
      </c>
    </row>
    <row r="76" spans="1:1">
      <c r="A76">
        <v>820</v>
      </c>
    </row>
    <row r="77" spans="1:1">
      <c r="A77">
        <v>825</v>
      </c>
    </row>
    <row r="78" spans="1:1">
      <c r="A78">
        <v>830</v>
      </c>
    </row>
    <row r="79" spans="1:1">
      <c r="A79">
        <v>835</v>
      </c>
    </row>
    <row r="80" spans="1:1">
      <c r="A80">
        <v>840</v>
      </c>
    </row>
    <row r="81" spans="1:1">
      <c r="A81">
        <v>845</v>
      </c>
    </row>
    <row r="82" spans="1:1">
      <c r="A82">
        <v>850</v>
      </c>
    </row>
    <row r="83" spans="1:1">
      <c r="A83">
        <v>855</v>
      </c>
    </row>
    <row r="84" spans="1:1">
      <c r="A84">
        <v>860</v>
      </c>
    </row>
    <row r="85" spans="1:1">
      <c r="A85">
        <v>865</v>
      </c>
    </row>
    <row r="86" spans="1:1">
      <c r="A86">
        <v>870</v>
      </c>
    </row>
    <row r="87" spans="1:1">
      <c r="A87">
        <v>875</v>
      </c>
    </row>
    <row r="88" spans="1:1">
      <c r="A88">
        <v>880</v>
      </c>
    </row>
    <row r="89" spans="1:1">
      <c r="A89">
        <v>885</v>
      </c>
    </row>
    <row r="90" spans="1:1">
      <c r="A90">
        <v>890</v>
      </c>
    </row>
    <row r="91" spans="1:1">
      <c r="A91">
        <v>895</v>
      </c>
    </row>
    <row r="92" spans="1:1">
      <c r="A92">
        <v>900</v>
      </c>
    </row>
    <row r="93" spans="1:1">
      <c r="A93">
        <v>905</v>
      </c>
    </row>
    <row r="94" spans="1:1">
      <c r="A94">
        <v>910</v>
      </c>
    </row>
    <row r="95" spans="1:1">
      <c r="A95">
        <v>915</v>
      </c>
    </row>
    <row r="96" spans="1:1">
      <c r="A96">
        <v>920</v>
      </c>
    </row>
    <row r="97" spans="1:1">
      <c r="A97">
        <v>925</v>
      </c>
    </row>
    <row r="98" spans="1:1">
      <c r="A98">
        <v>930</v>
      </c>
    </row>
    <row r="99" spans="1:1">
      <c r="A99">
        <v>935</v>
      </c>
    </row>
    <row r="100" spans="1:1">
      <c r="A100">
        <v>940</v>
      </c>
    </row>
    <row r="101" spans="1:1">
      <c r="A101">
        <v>945</v>
      </c>
    </row>
    <row r="102" spans="1:1">
      <c r="A102">
        <v>950</v>
      </c>
    </row>
    <row r="103" spans="1:1">
      <c r="A103">
        <v>955</v>
      </c>
    </row>
    <row r="104" spans="1:1">
      <c r="A104">
        <v>960</v>
      </c>
    </row>
    <row r="105" spans="1:1">
      <c r="A105">
        <v>965</v>
      </c>
    </row>
    <row r="106" spans="1:1">
      <c r="A106">
        <v>970</v>
      </c>
    </row>
    <row r="107" spans="1:1">
      <c r="A107">
        <v>975</v>
      </c>
    </row>
    <row r="108" spans="1:1">
      <c r="A108">
        <v>980</v>
      </c>
    </row>
    <row r="109" spans="1:1">
      <c r="A109">
        <v>985</v>
      </c>
    </row>
    <row r="110" spans="1:1">
      <c r="A110">
        <v>990</v>
      </c>
    </row>
    <row r="111" spans="1:1">
      <c r="A111">
        <v>995</v>
      </c>
    </row>
    <row r="112" spans="1:1">
      <c r="A112">
        <v>1000</v>
      </c>
    </row>
    <row r="113" spans="1:1">
      <c r="A113">
        <v>1005</v>
      </c>
    </row>
    <row r="114" spans="1:1">
      <c r="A114">
        <v>1010</v>
      </c>
    </row>
    <row r="115" spans="1:1">
      <c r="A115">
        <v>1015</v>
      </c>
    </row>
    <row r="116" spans="1:1">
      <c r="A116">
        <v>1020</v>
      </c>
    </row>
    <row r="117" spans="1:1">
      <c r="A117">
        <v>1025</v>
      </c>
    </row>
    <row r="118" spans="1:1">
      <c r="A118">
        <v>1030</v>
      </c>
    </row>
    <row r="119" spans="1:1">
      <c r="A119">
        <v>1035</v>
      </c>
    </row>
    <row r="120" spans="1:1">
      <c r="A120">
        <v>1040</v>
      </c>
    </row>
    <row r="121" spans="1:1">
      <c r="A121">
        <v>1045</v>
      </c>
    </row>
    <row r="122" spans="1:1">
      <c r="A122">
        <v>1050</v>
      </c>
    </row>
    <row r="123" spans="1:1">
      <c r="A123">
        <v>1055</v>
      </c>
    </row>
    <row r="124" spans="1:1">
      <c r="A124">
        <v>1060</v>
      </c>
    </row>
    <row r="125" spans="1:1">
      <c r="A125">
        <v>1065</v>
      </c>
    </row>
    <row r="126" spans="1:1">
      <c r="A126">
        <v>1070</v>
      </c>
    </row>
    <row r="127" spans="1:1">
      <c r="A127">
        <v>1075</v>
      </c>
    </row>
    <row r="128" spans="1:1">
      <c r="A128">
        <v>1080</v>
      </c>
    </row>
    <row r="129" spans="1:1">
      <c r="A129">
        <v>1085</v>
      </c>
    </row>
    <row r="130" spans="1:1">
      <c r="A130">
        <v>1090</v>
      </c>
    </row>
    <row r="131" spans="1:1">
      <c r="A131">
        <v>1095</v>
      </c>
    </row>
    <row r="132" spans="1:1">
      <c r="A132">
        <v>1100</v>
      </c>
    </row>
    <row r="133" spans="1:1">
      <c r="A133">
        <v>1105</v>
      </c>
    </row>
    <row r="134" spans="1:1">
      <c r="A134">
        <v>1110</v>
      </c>
    </row>
    <row r="135" spans="1:1">
      <c r="A135">
        <v>1115</v>
      </c>
    </row>
    <row r="136" spans="1:1">
      <c r="A136">
        <v>1120</v>
      </c>
    </row>
    <row r="137" spans="1:1">
      <c r="A137">
        <v>1125</v>
      </c>
    </row>
    <row r="138" spans="1:1">
      <c r="A138">
        <v>1130</v>
      </c>
    </row>
    <row r="139" spans="1:1">
      <c r="A139">
        <v>1135</v>
      </c>
    </row>
    <row r="140" spans="1:1">
      <c r="A140">
        <v>1140</v>
      </c>
    </row>
    <row r="141" spans="1:1">
      <c r="A141">
        <v>1145</v>
      </c>
    </row>
    <row r="142" spans="1:1">
      <c r="A142">
        <v>1150</v>
      </c>
    </row>
    <row r="143" spans="1:1">
      <c r="A143">
        <v>1155</v>
      </c>
    </row>
    <row r="144" spans="1:1">
      <c r="A144">
        <v>1160</v>
      </c>
    </row>
    <row r="145" spans="1:1">
      <c r="A145">
        <v>1165</v>
      </c>
    </row>
    <row r="146" spans="1:1">
      <c r="A146">
        <v>1170</v>
      </c>
    </row>
    <row r="147" spans="1:1">
      <c r="A147">
        <v>1175</v>
      </c>
    </row>
    <row r="148" spans="1:1">
      <c r="A148">
        <v>1180</v>
      </c>
    </row>
    <row r="149" spans="1:1">
      <c r="A149">
        <v>1185</v>
      </c>
    </row>
    <row r="150" spans="1:1">
      <c r="A150">
        <v>1190</v>
      </c>
    </row>
    <row r="151" spans="1:1">
      <c r="A151">
        <v>1195</v>
      </c>
    </row>
    <row r="152" spans="1:1">
      <c r="A152">
        <v>1200</v>
      </c>
    </row>
    <row r="153" spans="1:1">
      <c r="A153">
        <v>1205</v>
      </c>
    </row>
    <row r="154" spans="1:1">
      <c r="A154">
        <v>1210</v>
      </c>
    </row>
    <row r="155" spans="1:1">
      <c r="A155">
        <v>1215</v>
      </c>
    </row>
    <row r="156" spans="1:1">
      <c r="A156">
        <v>1220</v>
      </c>
    </row>
    <row r="157" spans="1:1">
      <c r="A157">
        <v>1225</v>
      </c>
    </row>
    <row r="158" spans="1:1">
      <c r="A158">
        <v>1230</v>
      </c>
    </row>
    <row r="159" spans="1:1">
      <c r="A159">
        <v>1235</v>
      </c>
    </row>
    <row r="160" spans="1:1">
      <c r="A160">
        <v>1240</v>
      </c>
    </row>
    <row r="161" spans="1:1">
      <c r="A161">
        <v>1245</v>
      </c>
    </row>
    <row r="162" spans="1:1">
      <c r="A162">
        <v>1250</v>
      </c>
    </row>
    <row r="163" spans="1:1">
      <c r="A163">
        <v>1255</v>
      </c>
    </row>
    <row r="164" spans="1:1">
      <c r="A164">
        <v>1260</v>
      </c>
    </row>
    <row r="165" spans="1:1">
      <c r="A165">
        <v>1265</v>
      </c>
    </row>
    <row r="166" spans="1:1">
      <c r="A166">
        <v>1270</v>
      </c>
    </row>
    <row r="167" spans="1:1">
      <c r="A167">
        <v>1275</v>
      </c>
    </row>
    <row r="168" spans="1:1">
      <c r="A168">
        <v>1280</v>
      </c>
    </row>
    <row r="169" spans="1:1">
      <c r="A169">
        <v>1285</v>
      </c>
    </row>
    <row r="170" spans="1:1">
      <c r="A170">
        <v>1290</v>
      </c>
    </row>
    <row r="171" spans="1:1">
      <c r="A171">
        <v>1295</v>
      </c>
    </row>
    <row r="172" spans="1:1">
      <c r="A172">
        <v>1300</v>
      </c>
    </row>
    <row r="173" spans="1:1">
      <c r="A173">
        <v>1305</v>
      </c>
    </row>
    <row r="174" spans="1:1">
      <c r="A174">
        <v>1310</v>
      </c>
    </row>
    <row r="175" spans="1:1">
      <c r="A175">
        <v>1315</v>
      </c>
    </row>
    <row r="176" spans="1:1">
      <c r="A176">
        <v>1320</v>
      </c>
    </row>
    <row r="177" spans="1:1">
      <c r="A177">
        <v>1325</v>
      </c>
    </row>
    <row r="178" spans="1:1">
      <c r="A178">
        <v>1330</v>
      </c>
    </row>
    <row r="179" spans="1:1">
      <c r="A179">
        <v>1335</v>
      </c>
    </row>
    <row r="180" spans="1:1">
      <c r="A180">
        <v>1340</v>
      </c>
    </row>
    <row r="181" spans="1:1">
      <c r="A181">
        <v>1345</v>
      </c>
    </row>
    <row r="182" spans="1:1">
      <c r="A182">
        <v>1350</v>
      </c>
    </row>
    <row r="183" spans="1:1">
      <c r="A183">
        <v>1355</v>
      </c>
    </row>
    <row r="184" spans="1:1">
      <c r="A184">
        <v>1360</v>
      </c>
    </row>
    <row r="185" spans="1:1">
      <c r="A185">
        <v>1365</v>
      </c>
    </row>
    <row r="186" spans="1:1">
      <c r="A186">
        <v>1370</v>
      </c>
    </row>
    <row r="187" spans="1:1">
      <c r="A187">
        <v>1375</v>
      </c>
    </row>
    <row r="188" spans="1:1">
      <c r="A188">
        <v>1380</v>
      </c>
    </row>
    <row r="189" spans="1:1">
      <c r="A189">
        <v>1385</v>
      </c>
    </row>
    <row r="190" spans="1:1">
      <c r="A190">
        <v>1390</v>
      </c>
    </row>
    <row r="191" spans="1:1">
      <c r="A191">
        <v>1395</v>
      </c>
    </row>
    <row r="192" spans="1:1">
      <c r="A192">
        <v>1400</v>
      </c>
    </row>
    <row r="193" spans="1:1">
      <c r="A193">
        <v>1405</v>
      </c>
    </row>
    <row r="194" spans="1:1">
      <c r="A194">
        <v>1410</v>
      </c>
    </row>
    <row r="195" spans="1:1">
      <c r="A195">
        <v>1415</v>
      </c>
    </row>
    <row r="196" spans="1:1">
      <c r="A196">
        <v>1420</v>
      </c>
    </row>
    <row r="197" spans="1:1">
      <c r="A197">
        <v>1425</v>
      </c>
    </row>
    <row r="198" spans="1:1">
      <c r="A198">
        <v>1430</v>
      </c>
    </row>
    <row r="199" spans="1:1">
      <c r="A199">
        <v>1435</v>
      </c>
    </row>
    <row r="200" spans="1:1">
      <c r="A200">
        <v>1440</v>
      </c>
    </row>
    <row r="201" spans="1:1">
      <c r="A201">
        <v>1445</v>
      </c>
    </row>
    <row r="202" spans="1:1">
      <c r="A202">
        <v>1450</v>
      </c>
    </row>
    <row r="203" spans="1:1">
      <c r="A203">
        <v>1455</v>
      </c>
    </row>
    <row r="204" spans="1:1">
      <c r="A204">
        <v>1460</v>
      </c>
    </row>
    <row r="205" spans="1:1">
      <c r="A205">
        <v>1465</v>
      </c>
    </row>
    <row r="206" spans="1:1">
      <c r="A206">
        <v>1470</v>
      </c>
    </row>
    <row r="207" spans="1:1">
      <c r="A207">
        <v>1475</v>
      </c>
    </row>
    <row r="208" spans="1:1">
      <c r="A208">
        <v>1480</v>
      </c>
    </row>
    <row r="209" spans="1:1">
      <c r="A209">
        <v>1485</v>
      </c>
    </row>
    <row r="210" spans="1:1">
      <c r="A210">
        <v>1490</v>
      </c>
    </row>
    <row r="211" spans="1:1">
      <c r="A211">
        <v>1495</v>
      </c>
    </row>
    <row r="212" spans="1:1">
      <c r="A212">
        <v>1500</v>
      </c>
    </row>
    <row r="213" spans="1:1">
      <c r="A213">
        <v>1505</v>
      </c>
    </row>
    <row r="214" spans="1:1">
      <c r="A214">
        <v>1510</v>
      </c>
    </row>
    <row r="215" spans="1:1">
      <c r="A215">
        <v>1515</v>
      </c>
    </row>
    <row r="216" spans="1:1">
      <c r="A216">
        <v>1520</v>
      </c>
    </row>
    <row r="217" spans="1:1">
      <c r="A217">
        <v>1525</v>
      </c>
    </row>
    <row r="218" spans="1:1">
      <c r="A218">
        <v>1530</v>
      </c>
    </row>
    <row r="219" spans="1:1">
      <c r="A219">
        <v>1535</v>
      </c>
    </row>
    <row r="220" spans="1:1">
      <c r="A220">
        <v>1540</v>
      </c>
    </row>
    <row r="221" spans="1:1">
      <c r="A221">
        <v>1545</v>
      </c>
    </row>
    <row r="222" spans="1:1">
      <c r="A222">
        <v>1550</v>
      </c>
    </row>
    <row r="223" spans="1:1">
      <c r="A223">
        <v>1555</v>
      </c>
    </row>
    <row r="224" spans="1:1">
      <c r="A224">
        <v>1560</v>
      </c>
    </row>
    <row r="225" spans="1:1">
      <c r="A225">
        <v>1565</v>
      </c>
    </row>
    <row r="226" spans="1:1">
      <c r="A226">
        <v>1570</v>
      </c>
    </row>
    <row r="227" spans="1:1">
      <c r="A227">
        <v>1575</v>
      </c>
    </row>
    <row r="228" spans="1:1">
      <c r="A228">
        <v>1580</v>
      </c>
    </row>
    <row r="229" spans="1:1">
      <c r="A229">
        <v>1585</v>
      </c>
    </row>
    <row r="230" spans="1:1">
      <c r="A230">
        <v>1590</v>
      </c>
    </row>
    <row r="231" spans="1:1">
      <c r="A231">
        <v>1595</v>
      </c>
    </row>
    <row r="232" spans="1:1">
      <c r="A232">
        <v>1600</v>
      </c>
    </row>
    <row r="233" spans="1:1">
      <c r="A233">
        <v>1605</v>
      </c>
    </row>
    <row r="234" spans="1:1">
      <c r="A234">
        <v>1610</v>
      </c>
    </row>
    <row r="235" spans="1:1">
      <c r="A235">
        <v>1615</v>
      </c>
    </row>
    <row r="236" spans="1:1">
      <c r="A236">
        <v>1620</v>
      </c>
    </row>
    <row r="237" spans="1:1">
      <c r="A237">
        <v>1625</v>
      </c>
    </row>
    <row r="238" spans="1:1">
      <c r="A238">
        <v>1630</v>
      </c>
    </row>
    <row r="239" spans="1:1">
      <c r="A239">
        <v>1635</v>
      </c>
    </row>
    <row r="240" spans="1:1">
      <c r="A240">
        <v>1640</v>
      </c>
    </row>
    <row r="241" spans="1:1">
      <c r="A241">
        <v>1645</v>
      </c>
    </row>
    <row r="242" spans="1:1">
      <c r="A242">
        <v>1650</v>
      </c>
    </row>
    <row r="243" spans="1:1">
      <c r="A243">
        <v>1655</v>
      </c>
    </row>
    <row r="244" spans="1:1">
      <c r="A244">
        <v>1660</v>
      </c>
    </row>
    <row r="245" spans="1:1">
      <c r="A245">
        <v>1665</v>
      </c>
    </row>
    <row r="246" spans="1:1">
      <c r="A246">
        <v>1670</v>
      </c>
    </row>
    <row r="247" spans="1:1">
      <c r="A247">
        <v>1675</v>
      </c>
    </row>
    <row r="248" spans="1:1">
      <c r="A248">
        <v>1680</v>
      </c>
    </row>
    <row r="249" spans="1:1">
      <c r="A249">
        <v>1685</v>
      </c>
    </row>
    <row r="250" spans="1:1">
      <c r="A250">
        <v>1690</v>
      </c>
    </row>
    <row r="251" spans="1:1">
      <c r="A251">
        <v>1695</v>
      </c>
    </row>
    <row r="252" spans="1:1">
      <c r="A252">
        <v>1700</v>
      </c>
    </row>
    <row r="253" spans="1:1">
      <c r="A253">
        <v>1705</v>
      </c>
    </row>
    <row r="254" spans="1:1">
      <c r="A254">
        <v>1710</v>
      </c>
    </row>
    <row r="255" spans="1:1">
      <c r="A255">
        <v>1715</v>
      </c>
    </row>
    <row r="256" spans="1:1">
      <c r="A256">
        <v>1720</v>
      </c>
    </row>
    <row r="257" spans="1:1">
      <c r="A257">
        <v>1725</v>
      </c>
    </row>
    <row r="258" spans="1:1">
      <c r="A258">
        <v>1730</v>
      </c>
    </row>
    <row r="259" spans="1:1">
      <c r="A259">
        <v>1735</v>
      </c>
    </row>
    <row r="260" spans="1:1">
      <c r="A260">
        <v>1740</v>
      </c>
    </row>
    <row r="261" spans="1:1">
      <c r="A261">
        <v>1745</v>
      </c>
    </row>
    <row r="262" spans="1:1">
      <c r="A262">
        <v>1750</v>
      </c>
    </row>
    <row r="263" spans="1:1">
      <c r="A263">
        <v>1755</v>
      </c>
    </row>
    <row r="264" spans="1:1">
      <c r="A264">
        <v>1760</v>
      </c>
    </row>
    <row r="265" spans="1:1">
      <c r="A265">
        <v>1765</v>
      </c>
    </row>
    <row r="266" spans="1:1">
      <c r="A266">
        <v>1770</v>
      </c>
    </row>
    <row r="267" spans="1:1">
      <c r="A267">
        <v>1775</v>
      </c>
    </row>
    <row r="268" spans="1:1">
      <c r="A268">
        <v>1780</v>
      </c>
    </row>
    <row r="269" spans="1:1">
      <c r="A269">
        <v>1785</v>
      </c>
    </row>
    <row r="270" spans="1:1">
      <c r="A270">
        <v>1790</v>
      </c>
    </row>
    <row r="271" spans="1:1">
      <c r="A271">
        <v>1795</v>
      </c>
    </row>
    <row r="272" spans="1:1">
      <c r="A272">
        <v>1800</v>
      </c>
    </row>
    <row r="273" spans="1:1">
      <c r="A273">
        <v>1805</v>
      </c>
    </row>
    <row r="274" spans="1:1">
      <c r="A274">
        <v>1810</v>
      </c>
    </row>
    <row r="275" spans="1:1">
      <c r="A275">
        <v>1815</v>
      </c>
    </row>
    <row r="276" spans="1:1">
      <c r="A276">
        <v>1820</v>
      </c>
    </row>
    <row r="277" spans="1:1">
      <c r="A277">
        <v>1825</v>
      </c>
    </row>
    <row r="278" spans="1:1">
      <c r="A278">
        <v>1830</v>
      </c>
    </row>
    <row r="279" spans="1:1">
      <c r="A279">
        <v>1835</v>
      </c>
    </row>
    <row r="280" spans="1:1">
      <c r="A280">
        <v>1840</v>
      </c>
    </row>
    <row r="281" spans="1:1">
      <c r="A281">
        <v>1845</v>
      </c>
    </row>
    <row r="282" spans="1:1">
      <c r="A282">
        <v>1850</v>
      </c>
    </row>
    <row r="283" spans="1:1">
      <c r="A283">
        <v>1855</v>
      </c>
    </row>
    <row r="284" spans="1:1">
      <c r="A284">
        <v>1860</v>
      </c>
    </row>
    <row r="285" spans="1:1">
      <c r="A285">
        <v>1865</v>
      </c>
    </row>
    <row r="286" spans="1:1">
      <c r="A286">
        <v>1870</v>
      </c>
    </row>
    <row r="287" spans="1:1">
      <c r="A287">
        <v>1875</v>
      </c>
    </row>
    <row r="288" spans="1:1">
      <c r="A288">
        <v>1880</v>
      </c>
    </row>
    <row r="289" spans="1:1">
      <c r="A289">
        <v>1885</v>
      </c>
    </row>
    <row r="290" spans="1:1">
      <c r="A290">
        <v>1890</v>
      </c>
    </row>
    <row r="291" spans="1:1">
      <c r="A291">
        <v>1895</v>
      </c>
    </row>
    <row r="292" spans="1:1">
      <c r="A292">
        <v>1900</v>
      </c>
    </row>
    <row r="293" spans="1:1">
      <c r="A293">
        <v>1905</v>
      </c>
    </row>
    <row r="294" spans="1:1">
      <c r="A294">
        <v>1910</v>
      </c>
    </row>
    <row r="295" spans="1:1">
      <c r="A295">
        <v>1915</v>
      </c>
    </row>
    <row r="296" spans="1:1">
      <c r="A296">
        <v>1920</v>
      </c>
    </row>
    <row r="297" spans="1:1">
      <c r="A297">
        <v>1925</v>
      </c>
    </row>
    <row r="298" spans="1:1">
      <c r="A298">
        <v>1930</v>
      </c>
    </row>
    <row r="299" spans="1:1">
      <c r="A299">
        <v>1935</v>
      </c>
    </row>
    <row r="300" spans="1:1">
      <c r="A300">
        <v>1940</v>
      </c>
    </row>
    <row r="301" spans="1:1">
      <c r="A301">
        <v>1945</v>
      </c>
    </row>
    <row r="302" spans="1:1">
      <c r="A302">
        <v>1950</v>
      </c>
    </row>
    <row r="303" spans="1:1">
      <c r="A303">
        <v>1955</v>
      </c>
    </row>
    <row r="304" spans="1:1">
      <c r="A304">
        <v>1960</v>
      </c>
    </row>
    <row r="305" spans="1:1">
      <c r="A305">
        <v>1965</v>
      </c>
    </row>
    <row r="306" spans="1:1">
      <c r="A306">
        <v>1970</v>
      </c>
    </row>
    <row r="307" spans="1:1">
      <c r="A307">
        <v>1975</v>
      </c>
    </row>
    <row r="308" spans="1:1">
      <c r="A308">
        <v>1980</v>
      </c>
    </row>
    <row r="309" spans="1:1">
      <c r="A309">
        <v>1985</v>
      </c>
    </row>
    <row r="310" spans="1:1">
      <c r="A310">
        <v>1990</v>
      </c>
    </row>
    <row r="311" spans="1:1">
      <c r="A311">
        <v>1995</v>
      </c>
    </row>
    <row r="312" spans="1:1">
      <c r="A312">
        <v>2000</v>
      </c>
    </row>
    <row r="313" spans="1:1">
      <c r="A313">
        <v>2005</v>
      </c>
    </row>
    <row r="314" spans="1:1">
      <c r="A314">
        <v>2010</v>
      </c>
    </row>
    <row r="315" spans="1:1">
      <c r="A315">
        <v>2015</v>
      </c>
    </row>
    <row r="316" spans="1:1">
      <c r="A316">
        <v>2020</v>
      </c>
    </row>
    <row r="317" spans="1:1">
      <c r="A317">
        <v>2025</v>
      </c>
    </row>
    <row r="318" spans="1:1">
      <c r="A318">
        <v>2030</v>
      </c>
    </row>
    <row r="319" spans="1:1">
      <c r="A319">
        <v>2035</v>
      </c>
    </row>
    <row r="320" spans="1:1">
      <c r="A320">
        <v>2040</v>
      </c>
    </row>
    <row r="321" spans="1:1">
      <c r="A321">
        <v>2045</v>
      </c>
    </row>
    <row r="322" spans="1:1">
      <c r="A322">
        <v>2050</v>
      </c>
    </row>
    <row r="323" spans="1:1">
      <c r="A323">
        <v>2055</v>
      </c>
    </row>
    <row r="324" spans="1:1">
      <c r="A324">
        <v>2060</v>
      </c>
    </row>
    <row r="325" spans="1:1">
      <c r="A325">
        <v>2065</v>
      </c>
    </row>
    <row r="326" spans="1:1">
      <c r="A326">
        <v>2070</v>
      </c>
    </row>
    <row r="327" spans="1:1">
      <c r="A327">
        <v>2075</v>
      </c>
    </row>
    <row r="328" spans="1:1">
      <c r="A328">
        <v>2080</v>
      </c>
    </row>
    <row r="329" spans="1:1">
      <c r="A329">
        <v>2085</v>
      </c>
    </row>
    <row r="330" spans="1:1">
      <c r="A330">
        <v>2090</v>
      </c>
    </row>
    <row r="331" spans="1:1">
      <c r="A331">
        <v>2095</v>
      </c>
    </row>
    <row r="332" spans="1:1">
      <c r="A332">
        <v>2100</v>
      </c>
    </row>
    <row r="333" spans="1:1">
      <c r="A333">
        <v>2105</v>
      </c>
    </row>
    <row r="334" spans="1:1">
      <c r="A334">
        <v>2110</v>
      </c>
    </row>
    <row r="335" spans="1:1">
      <c r="A335">
        <v>2115</v>
      </c>
    </row>
    <row r="336" spans="1:1">
      <c r="A336">
        <v>2120</v>
      </c>
    </row>
    <row r="337" spans="1:1">
      <c r="A337">
        <v>2125</v>
      </c>
    </row>
    <row r="338" spans="1:1">
      <c r="A338">
        <v>2130</v>
      </c>
    </row>
    <row r="339" spans="1:1">
      <c r="A339">
        <v>2135</v>
      </c>
    </row>
    <row r="340" spans="1:1">
      <c r="A340">
        <v>2140</v>
      </c>
    </row>
    <row r="341" spans="1:1">
      <c r="A341">
        <v>2145</v>
      </c>
    </row>
    <row r="342" spans="1:1">
      <c r="A342">
        <v>2150</v>
      </c>
    </row>
    <row r="343" spans="1:1">
      <c r="A343">
        <v>2155</v>
      </c>
    </row>
    <row r="344" spans="1:1">
      <c r="A344">
        <v>2160</v>
      </c>
    </row>
    <row r="345" spans="1:1">
      <c r="A345">
        <v>2165</v>
      </c>
    </row>
    <row r="346" spans="1:1">
      <c r="A346">
        <v>2170</v>
      </c>
    </row>
    <row r="347" spans="1:1">
      <c r="A347">
        <v>2175</v>
      </c>
    </row>
    <row r="348" spans="1:1">
      <c r="A348">
        <v>2180</v>
      </c>
    </row>
    <row r="349" spans="1:1">
      <c r="A349">
        <v>2185</v>
      </c>
    </row>
    <row r="350" spans="1:1">
      <c r="A350">
        <v>2190</v>
      </c>
    </row>
    <row r="351" spans="1:1">
      <c r="A351">
        <v>2195</v>
      </c>
    </row>
    <row r="352" spans="1:1">
      <c r="A352">
        <v>2200</v>
      </c>
    </row>
    <row r="353" spans="1:1">
      <c r="A353">
        <v>2205</v>
      </c>
    </row>
    <row r="354" spans="1:1">
      <c r="A354">
        <v>2210</v>
      </c>
    </row>
    <row r="355" spans="1:1">
      <c r="A355">
        <v>2215</v>
      </c>
    </row>
    <row r="356" spans="1:1">
      <c r="A356">
        <v>2220</v>
      </c>
    </row>
    <row r="357" spans="1:1">
      <c r="A357">
        <v>2225</v>
      </c>
    </row>
    <row r="358" spans="1:1">
      <c r="A358">
        <v>2230</v>
      </c>
    </row>
    <row r="359" spans="1:1">
      <c r="A359">
        <v>2235</v>
      </c>
    </row>
    <row r="360" spans="1:1">
      <c r="A360">
        <v>2240</v>
      </c>
    </row>
    <row r="361" spans="1:1">
      <c r="A361">
        <v>2245</v>
      </c>
    </row>
    <row r="362" spans="1:1">
      <c r="A362">
        <v>2250</v>
      </c>
    </row>
    <row r="363" spans="1:1">
      <c r="A363">
        <v>2255</v>
      </c>
    </row>
    <row r="364" spans="1:1">
      <c r="A364">
        <v>2260</v>
      </c>
    </row>
    <row r="365" spans="1:1">
      <c r="A365">
        <v>2265</v>
      </c>
    </row>
    <row r="366" spans="1:1">
      <c r="A366">
        <v>2270</v>
      </c>
    </row>
    <row r="367" spans="1:1">
      <c r="A367">
        <v>2275</v>
      </c>
    </row>
    <row r="368" spans="1:1">
      <c r="A368">
        <v>2280</v>
      </c>
    </row>
    <row r="369" spans="1:1">
      <c r="A369">
        <v>2285</v>
      </c>
    </row>
    <row r="370" spans="1:1">
      <c r="A370">
        <v>2290</v>
      </c>
    </row>
    <row r="371" spans="1:1">
      <c r="A371">
        <v>2295</v>
      </c>
    </row>
    <row r="372" spans="1:1">
      <c r="A372">
        <v>2300</v>
      </c>
    </row>
    <row r="373" spans="1:1">
      <c r="A373">
        <v>2305</v>
      </c>
    </row>
    <row r="374" spans="1:1">
      <c r="A374">
        <v>2310</v>
      </c>
    </row>
    <row r="375" spans="1:1">
      <c r="A375">
        <v>2315</v>
      </c>
    </row>
    <row r="376" spans="1:1">
      <c r="A376">
        <v>2320</v>
      </c>
    </row>
    <row r="377" spans="1:1">
      <c r="A377">
        <v>2325</v>
      </c>
    </row>
    <row r="378" spans="1:1">
      <c r="A378">
        <v>2330</v>
      </c>
    </row>
    <row r="379" spans="1:1">
      <c r="A379">
        <v>2335</v>
      </c>
    </row>
    <row r="380" spans="1:1">
      <c r="A380">
        <v>2340</v>
      </c>
    </row>
    <row r="381" spans="1:1">
      <c r="A381">
        <v>2345</v>
      </c>
    </row>
    <row r="382" spans="1:1">
      <c r="A382">
        <v>2350</v>
      </c>
    </row>
    <row r="383" spans="1:1">
      <c r="A383">
        <v>2355</v>
      </c>
    </row>
    <row r="384" spans="1:1">
      <c r="A384">
        <v>2360</v>
      </c>
    </row>
    <row r="385" spans="1:1">
      <c r="A385">
        <v>2365</v>
      </c>
    </row>
    <row r="386" spans="1:1">
      <c r="A386">
        <v>2370</v>
      </c>
    </row>
    <row r="387" spans="1:1">
      <c r="A387">
        <v>2375</v>
      </c>
    </row>
    <row r="388" spans="1:1">
      <c r="A388">
        <v>2380</v>
      </c>
    </row>
    <row r="389" spans="1:1">
      <c r="A389">
        <v>2385</v>
      </c>
    </row>
    <row r="390" spans="1:1">
      <c r="A390">
        <v>2390</v>
      </c>
    </row>
    <row r="391" spans="1:1">
      <c r="A391">
        <v>2395</v>
      </c>
    </row>
    <row r="392" spans="1:1">
      <c r="A392">
        <v>2400</v>
      </c>
    </row>
    <row r="393" spans="1:1">
      <c r="A393">
        <v>2405</v>
      </c>
    </row>
    <row r="394" spans="1:1">
      <c r="A394">
        <v>2410</v>
      </c>
    </row>
    <row r="395" spans="1:1">
      <c r="A395">
        <v>2415</v>
      </c>
    </row>
    <row r="396" spans="1:1">
      <c r="A396">
        <v>2420</v>
      </c>
    </row>
    <row r="397" spans="1:1">
      <c r="A397">
        <v>2425</v>
      </c>
    </row>
    <row r="398" spans="1:1">
      <c r="A398">
        <v>2430</v>
      </c>
    </row>
    <row r="399" spans="1:1">
      <c r="A399">
        <v>2435</v>
      </c>
    </row>
    <row r="400" spans="1:1">
      <c r="A400">
        <v>2440</v>
      </c>
    </row>
    <row r="401" spans="1:1">
      <c r="A401">
        <v>2445</v>
      </c>
    </row>
    <row r="402" spans="1:1">
      <c r="A402">
        <v>2450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08"/>
  <sheetViews>
    <sheetView topLeftCell="A739" workbookViewId="0">
      <selection activeCell="A739" sqref="A739"/>
    </sheetView>
  </sheetViews>
  <sheetFormatPr defaultRowHeight="11.85"/>
  <cols>
    <col min="2" max="2" width="17" customWidth="1"/>
    <col min="3" max="3" width="10.28515625" bestFit="1" customWidth="1"/>
    <col min="6" max="6" width="10.140625" bestFit="1" customWidth="1"/>
    <col min="7" max="7" width="10.28515625" bestFit="1" customWidth="1"/>
    <col min="8" max="8" width="10.5703125" bestFit="1" customWidth="1"/>
    <col min="9" max="9" width="9.140625" style="3"/>
    <col min="11" max="12" width="9.140625" style="3"/>
    <col min="13" max="13" width="9.7109375" bestFit="1" customWidth="1"/>
    <col min="15" max="15" width="9.5703125" bestFit="1" customWidth="1"/>
    <col min="17" max="17" width="11" bestFit="1" customWidth="1"/>
    <col min="18" max="18" width="10.42578125" bestFit="1" customWidth="1"/>
    <col min="19" max="19" width="11" bestFit="1" customWidth="1"/>
    <col min="20" max="20" width="10.7109375" bestFit="1" customWidth="1"/>
    <col min="21" max="21" width="9.85546875" bestFit="1" customWidth="1"/>
    <col min="22" max="22" width="58.28515625" customWidth="1"/>
    <col min="23" max="23" width="55.28515625" customWidth="1"/>
  </cols>
  <sheetData>
    <row r="1" spans="1:23" ht="12.4">
      <c r="A1" s="1" t="s">
        <v>1475</v>
      </c>
      <c r="B1" s="1" t="s">
        <v>1476</v>
      </c>
      <c r="C1" s="1" t="s">
        <v>311</v>
      </c>
      <c r="D1" s="1" t="s">
        <v>1477</v>
      </c>
      <c r="E1" s="1" t="s">
        <v>1478</v>
      </c>
      <c r="F1" s="1" t="s">
        <v>1479</v>
      </c>
      <c r="G1" s="1" t="s">
        <v>1480</v>
      </c>
      <c r="H1" s="1" t="s">
        <v>1481</v>
      </c>
      <c r="I1" s="2" t="s">
        <v>1482</v>
      </c>
      <c r="J1" s="1" t="s">
        <v>1483</v>
      </c>
      <c r="K1" s="2" t="s">
        <v>1484</v>
      </c>
      <c r="L1" s="2" t="s">
        <v>1485</v>
      </c>
      <c r="M1" s="1" t="s">
        <v>1486</v>
      </c>
      <c r="N1" s="1" t="s">
        <v>1487</v>
      </c>
      <c r="O1" s="1" t="s">
        <v>1488</v>
      </c>
      <c r="P1" s="1" t="s">
        <v>1489</v>
      </c>
      <c r="Q1" s="1" t="s">
        <v>1490</v>
      </c>
      <c r="R1" s="1" t="s">
        <v>1491</v>
      </c>
      <c r="S1" s="1" t="s">
        <v>1492</v>
      </c>
      <c r="T1" s="1" t="s">
        <v>1493</v>
      </c>
      <c r="U1" s="1" t="s">
        <v>1494</v>
      </c>
      <c r="V1" s="1" t="s">
        <v>3</v>
      </c>
      <c r="W1" s="1" t="s">
        <v>16</v>
      </c>
    </row>
    <row r="2" spans="1:23" ht="12.4">
      <c r="A2" s="1">
        <v>1</v>
      </c>
      <c r="B2" s="1" t="s">
        <v>1495</v>
      </c>
      <c r="C2" s="1" t="s">
        <v>1496</v>
      </c>
      <c r="D2" s="1">
        <v>61.71</v>
      </c>
      <c r="E2" s="1">
        <v>0.34</v>
      </c>
      <c r="F2" s="1">
        <v>13.42</v>
      </c>
      <c r="G2" s="1">
        <v>0</v>
      </c>
      <c r="H2" s="1">
        <v>2.3199999999999998</v>
      </c>
      <c r="I2" s="2">
        <v>0</v>
      </c>
      <c r="J2" s="1">
        <v>0.09</v>
      </c>
      <c r="K2" s="2">
        <v>1.64</v>
      </c>
      <c r="L2" s="2">
        <v>7.36</v>
      </c>
      <c r="M2" s="1">
        <v>4.6100000000000003</v>
      </c>
      <c r="N2" s="1">
        <v>5.69</v>
      </c>
      <c r="O2" s="1">
        <v>0.19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/>
      <c r="W2" s="1" t="s">
        <v>1497</v>
      </c>
    </row>
    <row r="3" spans="1:23" ht="12.4">
      <c r="A3" s="1">
        <v>2</v>
      </c>
      <c r="B3" s="1" t="s">
        <v>1498</v>
      </c>
      <c r="C3" s="1" t="s">
        <v>1496</v>
      </c>
      <c r="D3" s="1">
        <v>78.06</v>
      </c>
      <c r="E3" s="1">
        <v>0.19</v>
      </c>
      <c r="F3" s="1">
        <v>9.8800000000000008</v>
      </c>
      <c r="G3" s="1">
        <v>0</v>
      </c>
      <c r="H3" s="1">
        <v>1.4</v>
      </c>
      <c r="I3" s="2">
        <v>0</v>
      </c>
      <c r="J3" s="1">
        <v>0.08</v>
      </c>
      <c r="K3" s="2">
        <v>0.46</v>
      </c>
      <c r="L3" s="2">
        <v>1.4</v>
      </c>
      <c r="M3" s="1">
        <v>3.96</v>
      </c>
      <c r="N3" s="1">
        <v>4.38</v>
      </c>
      <c r="O3" s="1">
        <v>0.03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/>
      <c r="W3" s="1" t="s">
        <v>1499</v>
      </c>
    </row>
    <row r="4" spans="1:23" ht="12.4">
      <c r="A4" s="1">
        <v>3</v>
      </c>
      <c r="B4" s="1" t="s">
        <v>1500</v>
      </c>
      <c r="C4" s="1" t="s">
        <v>1496</v>
      </c>
      <c r="D4" s="1">
        <v>67.37</v>
      </c>
      <c r="E4" s="1">
        <v>0.57999999999999996</v>
      </c>
      <c r="F4" s="1">
        <v>14.23</v>
      </c>
      <c r="G4" s="1">
        <v>0</v>
      </c>
      <c r="H4" s="1">
        <v>6.67</v>
      </c>
      <c r="I4" s="2">
        <v>0</v>
      </c>
      <c r="J4" s="1">
        <v>0.09</v>
      </c>
      <c r="K4" s="2">
        <v>0.27</v>
      </c>
      <c r="L4" s="2">
        <v>0.82</v>
      </c>
      <c r="M4" s="1">
        <v>3.7</v>
      </c>
      <c r="N4" s="1">
        <v>5.83</v>
      </c>
      <c r="O4" s="1">
        <v>0.17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/>
      <c r="W4" s="1" t="s">
        <v>1501</v>
      </c>
    </row>
    <row r="5" spans="1:23" ht="12.4">
      <c r="A5" s="1">
        <v>4</v>
      </c>
      <c r="B5" s="1" t="s">
        <v>1341</v>
      </c>
      <c r="C5" s="1" t="s">
        <v>1502</v>
      </c>
      <c r="D5" s="1">
        <v>40.64</v>
      </c>
      <c r="E5" s="1">
        <v>0</v>
      </c>
      <c r="F5" s="1">
        <v>0</v>
      </c>
      <c r="G5" s="1">
        <v>0.01</v>
      </c>
      <c r="H5" s="1">
        <v>0.59</v>
      </c>
      <c r="I5" s="2">
        <v>9.25</v>
      </c>
      <c r="J5" s="1">
        <v>0.09</v>
      </c>
      <c r="K5" s="2">
        <v>49.13</v>
      </c>
      <c r="L5" s="2">
        <v>7.0000000000000007E-2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/>
      <c r="W5" s="1" t="s">
        <v>1503</v>
      </c>
    </row>
    <row r="6" spans="1:23" ht="12.4">
      <c r="A6" s="1">
        <v>5</v>
      </c>
      <c r="B6" s="1" t="s">
        <v>1276</v>
      </c>
      <c r="C6" s="1" t="s">
        <v>1496</v>
      </c>
      <c r="D6" s="1">
        <v>41.72</v>
      </c>
      <c r="E6" s="1">
        <v>0</v>
      </c>
      <c r="F6" s="1">
        <v>0</v>
      </c>
      <c r="G6" s="1">
        <v>0</v>
      </c>
      <c r="H6" s="1">
        <v>0</v>
      </c>
      <c r="I6" s="2">
        <v>3.12</v>
      </c>
      <c r="J6" s="1">
        <v>0.19</v>
      </c>
      <c r="K6" s="2">
        <v>54.65</v>
      </c>
      <c r="L6" s="2">
        <v>0.63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/>
      <c r="W6" s="1" t="s">
        <v>1504</v>
      </c>
    </row>
    <row r="7" spans="1:23" ht="12.4">
      <c r="A7" s="1">
        <v>6</v>
      </c>
      <c r="B7" s="1" t="s">
        <v>1282</v>
      </c>
      <c r="C7" s="1" t="s">
        <v>1502</v>
      </c>
      <c r="D7" s="1">
        <v>40.42</v>
      </c>
      <c r="E7" s="1">
        <v>0</v>
      </c>
      <c r="F7" s="1">
        <v>0.03</v>
      </c>
      <c r="G7" s="1">
        <v>0.13</v>
      </c>
      <c r="H7" s="1">
        <v>0</v>
      </c>
      <c r="I7" s="2">
        <v>11.11</v>
      </c>
      <c r="J7" s="1">
        <v>0.15</v>
      </c>
      <c r="K7" s="2">
        <v>48.25</v>
      </c>
      <c r="L7" s="2">
        <v>0.19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/>
      <c r="W7" s="1" t="s">
        <v>1505</v>
      </c>
    </row>
    <row r="8" spans="1:23" ht="12.4">
      <c r="A8" s="1">
        <v>7</v>
      </c>
      <c r="B8" s="1" t="s">
        <v>1288</v>
      </c>
      <c r="C8" s="1" t="s">
        <v>1502</v>
      </c>
      <c r="D8" s="1">
        <v>29.78</v>
      </c>
      <c r="E8" s="1">
        <v>0</v>
      </c>
      <c r="F8" s="1">
        <v>0</v>
      </c>
      <c r="G8" s="1">
        <v>0</v>
      </c>
      <c r="H8" s="1">
        <v>0</v>
      </c>
      <c r="I8" s="2">
        <v>66.48</v>
      </c>
      <c r="J8" s="1">
        <v>2.14</v>
      </c>
      <c r="K8" s="2">
        <v>0.05</v>
      </c>
      <c r="L8" s="2">
        <v>0.05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/>
      <c r="W8" s="1" t="s">
        <v>1506</v>
      </c>
    </row>
    <row r="9" spans="1:23" ht="12.4">
      <c r="A9" s="1">
        <v>8</v>
      </c>
      <c r="B9" s="1" t="s">
        <v>1295</v>
      </c>
      <c r="C9" s="1" t="s">
        <v>1502</v>
      </c>
      <c r="D9" s="1">
        <v>40.950000000000003</v>
      </c>
      <c r="E9" s="1">
        <v>0</v>
      </c>
      <c r="F9" s="1">
        <v>0</v>
      </c>
      <c r="G9" s="1">
        <v>0</v>
      </c>
      <c r="H9" s="1">
        <v>0</v>
      </c>
      <c r="I9" s="2">
        <v>8.0500000000000007</v>
      </c>
      <c r="J9" s="1">
        <v>0.1</v>
      </c>
      <c r="K9" s="2">
        <v>50.83</v>
      </c>
      <c r="L9" s="2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/>
      <c r="W9" s="1" t="s">
        <v>1507</v>
      </c>
    </row>
    <row r="10" spans="1:23" ht="12.4">
      <c r="A10" s="1">
        <v>9</v>
      </c>
      <c r="B10" s="1" t="s">
        <v>1301</v>
      </c>
      <c r="C10" s="4" t="s">
        <v>1502</v>
      </c>
      <c r="D10" s="1">
        <v>36.15</v>
      </c>
      <c r="E10" s="1">
        <v>0.03</v>
      </c>
      <c r="F10" s="1">
        <v>0</v>
      </c>
      <c r="G10" s="1">
        <v>0</v>
      </c>
      <c r="H10" s="1">
        <v>0</v>
      </c>
      <c r="I10" s="2">
        <v>34.97</v>
      </c>
      <c r="J10" s="1">
        <v>0.47</v>
      </c>
      <c r="K10" s="2">
        <v>28.86</v>
      </c>
      <c r="L10" s="2">
        <v>0.03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/>
      <c r="W10" s="1" t="s">
        <v>1508</v>
      </c>
    </row>
    <row r="11" spans="1:23" ht="12.4">
      <c r="A11" s="1">
        <v>10</v>
      </c>
      <c r="B11" s="1" t="s">
        <v>1307</v>
      </c>
      <c r="C11" s="1" t="s">
        <v>1502</v>
      </c>
      <c r="D11" s="1">
        <v>40.14</v>
      </c>
      <c r="E11" s="1">
        <v>0.01</v>
      </c>
      <c r="F11" s="1">
        <v>0</v>
      </c>
      <c r="G11" s="1">
        <v>0</v>
      </c>
      <c r="H11" s="1">
        <v>0</v>
      </c>
      <c r="I11" s="2">
        <v>13.36</v>
      </c>
      <c r="J11" s="1">
        <v>0.19</v>
      </c>
      <c r="K11" s="2">
        <v>45.55</v>
      </c>
      <c r="L11" s="2">
        <v>0.03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/>
      <c r="W11" s="1" t="s">
        <v>1509</v>
      </c>
    </row>
    <row r="12" spans="1:23" ht="12.4">
      <c r="A12" s="1">
        <v>11</v>
      </c>
      <c r="B12" s="1" t="s">
        <v>1002</v>
      </c>
      <c r="C12" s="1" t="s">
        <v>1510</v>
      </c>
      <c r="D12" s="1">
        <v>50.33</v>
      </c>
      <c r="E12" s="1">
        <v>0.41</v>
      </c>
      <c r="F12" s="1">
        <v>5.46</v>
      </c>
      <c r="G12" s="1">
        <v>0.11</v>
      </c>
      <c r="H12" s="1">
        <v>1.43</v>
      </c>
      <c r="I12" s="2">
        <v>17.3</v>
      </c>
      <c r="J12" s="1">
        <v>0.28999999999999998</v>
      </c>
      <c r="K12" s="2">
        <v>23.58</v>
      </c>
      <c r="L12" s="2">
        <v>1.59</v>
      </c>
      <c r="M12" s="1">
        <v>0.05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/>
      <c r="W12" s="1" t="s">
        <v>1511</v>
      </c>
    </row>
    <row r="13" spans="1:23" ht="12.4">
      <c r="A13" s="1">
        <v>12</v>
      </c>
      <c r="B13" s="1" t="s">
        <v>745</v>
      </c>
      <c r="C13" s="1" t="s">
        <v>1510</v>
      </c>
      <c r="D13" s="1">
        <v>49.99</v>
      </c>
      <c r="E13" s="1">
        <v>0.53</v>
      </c>
      <c r="F13" s="1">
        <v>6.21</v>
      </c>
      <c r="G13" s="1">
        <v>0.13</v>
      </c>
      <c r="H13" s="1">
        <v>0.57999999999999996</v>
      </c>
      <c r="I13" s="2">
        <v>16.559999999999999</v>
      </c>
      <c r="J13" s="1">
        <v>0.26</v>
      </c>
      <c r="K13" s="2">
        <v>22.31</v>
      </c>
      <c r="L13" s="2">
        <v>3.99</v>
      </c>
      <c r="M13" s="1">
        <v>0.06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/>
      <c r="W13" s="1" t="s">
        <v>1512</v>
      </c>
    </row>
    <row r="14" spans="1:23" ht="12.4">
      <c r="A14" s="1">
        <v>13</v>
      </c>
      <c r="B14" s="1" t="s">
        <v>1513</v>
      </c>
      <c r="C14" s="1" t="s">
        <v>1510</v>
      </c>
      <c r="D14" s="1">
        <v>53.54</v>
      </c>
      <c r="E14" s="1">
        <v>0.03</v>
      </c>
      <c r="F14" s="1">
        <v>1.54</v>
      </c>
      <c r="G14" s="1">
        <v>7.0000000000000007E-2</v>
      </c>
      <c r="H14" s="1">
        <v>1.02</v>
      </c>
      <c r="I14" s="2">
        <v>16.170000000000002</v>
      </c>
      <c r="J14" s="1">
        <v>0.44</v>
      </c>
      <c r="K14" s="2">
        <v>27.53</v>
      </c>
      <c r="L14" s="2">
        <v>0.35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/>
      <c r="W14" s="1" t="s">
        <v>1514</v>
      </c>
    </row>
    <row r="15" spans="1:23" ht="12.4">
      <c r="A15" s="1">
        <v>14</v>
      </c>
      <c r="B15" s="1" t="s">
        <v>750</v>
      </c>
      <c r="C15" s="1" t="s">
        <v>1510</v>
      </c>
      <c r="D15" s="1">
        <v>52.07</v>
      </c>
      <c r="E15" s="1">
        <v>0.21</v>
      </c>
      <c r="F15" s="1">
        <v>6.34</v>
      </c>
      <c r="G15" s="1">
        <v>1.39</v>
      </c>
      <c r="H15" s="1">
        <v>0.01</v>
      </c>
      <c r="I15" s="2">
        <v>3.25</v>
      </c>
      <c r="J15" s="1">
        <v>0.1</v>
      </c>
      <c r="K15" s="2">
        <v>16.420000000000002</v>
      </c>
      <c r="L15" s="2">
        <v>19.38</v>
      </c>
      <c r="M15" s="1">
        <v>1.31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/>
      <c r="W15" s="1" t="s">
        <v>1515</v>
      </c>
    </row>
    <row r="16" spans="1:23" ht="12.4">
      <c r="A16" s="1">
        <v>15</v>
      </c>
      <c r="B16" s="1" t="s">
        <v>755</v>
      </c>
      <c r="C16" s="1" t="s">
        <v>1510</v>
      </c>
      <c r="D16" s="1">
        <v>52.06</v>
      </c>
      <c r="E16" s="1">
        <v>0.35</v>
      </c>
      <c r="F16" s="1">
        <v>0.98</v>
      </c>
      <c r="G16" s="1">
        <v>7.0000000000000007E-2</v>
      </c>
      <c r="H16" s="1">
        <v>1.32</v>
      </c>
      <c r="I16" s="2">
        <v>11.38</v>
      </c>
      <c r="J16" s="1">
        <v>0.28999999999999998</v>
      </c>
      <c r="K16" s="2">
        <v>13.96</v>
      </c>
      <c r="L16" s="2">
        <v>19.309999999999999</v>
      </c>
      <c r="M16" s="1">
        <v>0.22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/>
      <c r="W16" s="1" t="s">
        <v>1516</v>
      </c>
    </row>
    <row r="17" spans="1:23" ht="12.4">
      <c r="A17" s="1">
        <v>16</v>
      </c>
      <c r="B17" s="1" t="s">
        <v>763</v>
      </c>
      <c r="C17" s="1" t="s">
        <v>1496</v>
      </c>
      <c r="D17" s="1">
        <v>51.82</v>
      </c>
      <c r="E17" s="1">
        <v>0.84</v>
      </c>
      <c r="F17" s="1">
        <v>1.96</v>
      </c>
      <c r="G17" s="1">
        <v>0.09</v>
      </c>
      <c r="H17" s="1">
        <v>0.22</v>
      </c>
      <c r="I17" s="2">
        <v>10.46</v>
      </c>
      <c r="J17" s="1">
        <v>0.24</v>
      </c>
      <c r="K17" s="2">
        <v>16.04</v>
      </c>
      <c r="L17" s="2">
        <v>18</v>
      </c>
      <c r="M17" s="1">
        <v>0.19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/>
      <c r="W17" s="1" t="s">
        <v>1517</v>
      </c>
    </row>
    <row r="18" spans="1:23" ht="12.4">
      <c r="A18" s="1">
        <v>17</v>
      </c>
      <c r="B18" s="1" t="s">
        <v>1518</v>
      </c>
      <c r="C18" s="1" t="s">
        <v>1519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2">
        <v>0</v>
      </c>
      <c r="J18" s="1">
        <v>0</v>
      </c>
      <c r="K18" s="2">
        <v>0</v>
      </c>
      <c r="L18" s="2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/>
      <c r="W18" s="1" t="s">
        <v>1520</v>
      </c>
    </row>
    <row r="19" spans="1:23" ht="12.4">
      <c r="A19" s="1">
        <v>18</v>
      </c>
      <c r="B19" s="1" t="s">
        <v>766</v>
      </c>
      <c r="C19" s="1" t="s">
        <v>1510</v>
      </c>
      <c r="D19" s="1">
        <v>52.35</v>
      </c>
      <c r="E19" s="1">
        <v>0.36</v>
      </c>
      <c r="F19" s="1">
        <v>2.52</v>
      </c>
      <c r="G19" s="1">
        <v>0.25</v>
      </c>
      <c r="H19" s="1">
        <v>0</v>
      </c>
      <c r="I19" s="2">
        <v>5.61</v>
      </c>
      <c r="J19" s="1">
        <v>0.17</v>
      </c>
      <c r="K19" s="2">
        <v>15.77</v>
      </c>
      <c r="L19" s="2">
        <v>22.92</v>
      </c>
      <c r="M19" s="1">
        <v>0.14000000000000001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/>
      <c r="W19" s="1" t="s">
        <v>1521</v>
      </c>
    </row>
    <row r="20" spans="1:23" ht="12.4">
      <c r="A20" s="1">
        <v>19</v>
      </c>
      <c r="B20" s="1" t="s">
        <v>1522</v>
      </c>
      <c r="C20" s="1" t="s">
        <v>1510</v>
      </c>
      <c r="D20" s="1">
        <v>53.9</v>
      </c>
      <c r="E20" s="1">
        <v>0.01</v>
      </c>
      <c r="F20" s="1">
        <v>0.51</v>
      </c>
      <c r="G20" s="1">
        <v>0.04</v>
      </c>
      <c r="H20" s="1">
        <v>0</v>
      </c>
      <c r="I20" s="2">
        <v>6.2</v>
      </c>
      <c r="J20" s="1">
        <v>0.26</v>
      </c>
      <c r="K20" s="2">
        <v>14.18</v>
      </c>
      <c r="L20" s="2">
        <v>25.08</v>
      </c>
      <c r="M20" s="1">
        <v>0.05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/>
      <c r="W20" s="1" t="s">
        <v>1523</v>
      </c>
    </row>
    <row r="21" spans="1:23" ht="12.4">
      <c r="A21" s="1">
        <v>20</v>
      </c>
      <c r="B21" s="1" t="s">
        <v>1524</v>
      </c>
      <c r="C21" s="1" t="s">
        <v>1510</v>
      </c>
      <c r="D21" s="1">
        <v>55.17</v>
      </c>
      <c r="E21" s="1">
        <v>0</v>
      </c>
      <c r="F21" s="1">
        <v>0.37</v>
      </c>
      <c r="G21" s="1">
        <v>0.91</v>
      </c>
      <c r="H21" s="1">
        <v>0</v>
      </c>
      <c r="I21" s="2">
        <v>2.42</v>
      </c>
      <c r="J21" s="1">
        <v>0.1</v>
      </c>
      <c r="K21" s="2">
        <v>17.010000000000002</v>
      </c>
      <c r="L21" s="2">
        <v>23.93</v>
      </c>
      <c r="M21" s="1">
        <v>0.51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/>
      <c r="W21" s="1" t="s">
        <v>1525</v>
      </c>
    </row>
    <row r="22" spans="1:23" ht="12.4">
      <c r="A22" s="1">
        <v>21</v>
      </c>
      <c r="B22" s="1" t="s">
        <v>1526</v>
      </c>
      <c r="C22" s="1" t="s">
        <v>1510</v>
      </c>
      <c r="D22" s="1">
        <v>55.23</v>
      </c>
      <c r="E22" s="1">
        <v>0.09</v>
      </c>
      <c r="F22" s="1">
        <v>0.59</v>
      </c>
      <c r="G22" s="1">
        <v>0.96</v>
      </c>
      <c r="H22" s="1">
        <v>0</v>
      </c>
      <c r="I22" s="2">
        <v>2.0699999999999998</v>
      </c>
      <c r="J22" s="1">
        <v>0.1</v>
      </c>
      <c r="K22" s="2">
        <v>17.059999999999999</v>
      </c>
      <c r="L22" s="2">
        <v>24.08</v>
      </c>
      <c r="M22" s="1">
        <v>0.52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 t="s">
        <v>1527</v>
      </c>
    </row>
    <row r="23" spans="1:23" ht="12.4">
      <c r="A23" s="1">
        <v>22</v>
      </c>
      <c r="B23" s="1" t="s">
        <v>1528</v>
      </c>
      <c r="C23" s="1" t="s">
        <v>1510</v>
      </c>
      <c r="D23" s="1">
        <v>54.99</v>
      </c>
      <c r="E23" s="1">
        <v>7.0000000000000007E-2</v>
      </c>
      <c r="F23" s="1">
        <v>0.38</v>
      </c>
      <c r="G23" s="1">
        <v>0.04</v>
      </c>
      <c r="H23" s="1">
        <v>0.04</v>
      </c>
      <c r="I23" s="2">
        <v>1.5</v>
      </c>
      <c r="J23" s="1">
        <v>0.08</v>
      </c>
      <c r="K23" s="2">
        <v>17.72</v>
      </c>
      <c r="L23" s="2">
        <v>25.19</v>
      </c>
      <c r="M23" s="1">
        <v>0.13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/>
      <c r="W23" s="1" t="s">
        <v>1529</v>
      </c>
    </row>
    <row r="24" spans="1:23" ht="12.4">
      <c r="A24" s="1">
        <v>23</v>
      </c>
      <c r="B24" s="1" t="s">
        <v>1530</v>
      </c>
      <c r="C24" s="1" t="s">
        <v>1510</v>
      </c>
      <c r="D24" s="1">
        <v>55.39</v>
      </c>
      <c r="E24" s="1">
        <v>0.02</v>
      </c>
      <c r="F24" s="1">
        <v>0.54</v>
      </c>
      <c r="G24" s="1">
        <v>0.05</v>
      </c>
      <c r="H24" s="1">
        <v>0</v>
      </c>
      <c r="I24" s="2">
        <v>1.03</v>
      </c>
      <c r="J24" s="1">
        <v>0.05</v>
      </c>
      <c r="K24" s="2">
        <v>17.38</v>
      </c>
      <c r="L24" s="2">
        <v>24.88</v>
      </c>
      <c r="M24" s="1">
        <v>0.35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/>
      <c r="W24" s="1" t="s">
        <v>1531</v>
      </c>
    </row>
    <row r="25" spans="1:23" ht="12.4">
      <c r="A25" s="1">
        <v>24</v>
      </c>
      <c r="B25" s="1" t="s">
        <v>1532</v>
      </c>
      <c r="C25" s="1" t="s">
        <v>1510</v>
      </c>
      <c r="D25" s="1">
        <v>55.07</v>
      </c>
      <c r="E25" s="1">
        <v>0.05</v>
      </c>
      <c r="F25" s="1">
        <v>0.06</v>
      </c>
      <c r="G25" s="1">
        <v>0.04</v>
      </c>
      <c r="H25" s="1">
        <v>0.05</v>
      </c>
      <c r="I25" s="2">
        <v>1.05</v>
      </c>
      <c r="J25" s="1">
        <v>0.08</v>
      </c>
      <c r="K25" s="2">
        <v>18.02</v>
      </c>
      <c r="L25" s="2">
        <v>25.45</v>
      </c>
      <c r="M25" s="1">
        <v>0.02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/>
      <c r="W25" s="1" t="s">
        <v>1533</v>
      </c>
    </row>
    <row r="26" spans="1:23" ht="12.4">
      <c r="A26" s="1">
        <v>25</v>
      </c>
      <c r="B26" s="1" t="s">
        <v>1534</v>
      </c>
      <c r="C26" s="1" t="s">
        <v>1510</v>
      </c>
      <c r="D26" s="1">
        <v>54.34</v>
      </c>
      <c r="E26" s="1">
        <v>0.01</v>
      </c>
      <c r="F26" s="1">
        <v>0.34</v>
      </c>
      <c r="G26" s="1">
        <v>0.06</v>
      </c>
      <c r="H26" s="1">
        <v>0</v>
      </c>
      <c r="I26" s="2">
        <v>3.46</v>
      </c>
      <c r="J26" s="1">
        <v>0.51</v>
      </c>
      <c r="K26" s="2">
        <v>15.99</v>
      </c>
      <c r="L26" s="2">
        <v>25.2</v>
      </c>
      <c r="M26" s="1">
        <v>0.03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/>
      <c r="W26" s="1" t="s">
        <v>1535</v>
      </c>
    </row>
    <row r="27" spans="1:23" ht="12.4">
      <c r="A27" s="1">
        <v>26</v>
      </c>
      <c r="B27" s="1" t="s">
        <v>1536</v>
      </c>
      <c r="C27" s="1" t="s">
        <v>1510</v>
      </c>
      <c r="D27" s="1">
        <v>55.75</v>
      </c>
      <c r="E27" s="1">
        <v>0</v>
      </c>
      <c r="F27" s="1">
        <v>0.24</v>
      </c>
      <c r="G27" s="1">
        <v>0</v>
      </c>
      <c r="H27" s="1">
        <v>0</v>
      </c>
      <c r="I27" s="2">
        <v>2.56</v>
      </c>
      <c r="J27" s="1">
        <v>0.11</v>
      </c>
      <c r="K27" s="2">
        <v>16.260000000000002</v>
      </c>
      <c r="L27" s="2">
        <v>25.7</v>
      </c>
      <c r="M27" s="1">
        <v>0.05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/>
      <c r="W27" s="1" t="s">
        <v>1537</v>
      </c>
    </row>
    <row r="28" spans="1:23" ht="12.4">
      <c r="A28" s="1">
        <v>27</v>
      </c>
      <c r="B28" s="1" t="s">
        <v>1538</v>
      </c>
      <c r="C28" s="1" t="s">
        <v>1510</v>
      </c>
      <c r="D28" s="1">
        <v>54.83</v>
      </c>
      <c r="E28" s="1">
        <v>0.02</v>
      </c>
      <c r="F28" s="1">
        <v>0.72</v>
      </c>
      <c r="G28" s="1">
        <v>7.0000000000000007E-2</v>
      </c>
      <c r="H28" s="1">
        <v>0</v>
      </c>
      <c r="I28" s="2">
        <v>2.67</v>
      </c>
      <c r="J28" s="1">
        <v>0.15</v>
      </c>
      <c r="K28" s="2">
        <v>16.59</v>
      </c>
      <c r="L28" s="2">
        <v>25.01</v>
      </c>
      <c r="M28" s="1">
        <v>0.4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/>
      <c r="W28" s="1" t="s">
        <v>1539</v>
      </c>
    </row>
    <row r="29" spans="1:23" ht="12.4">
      <c r="A29" s="1">
        <v>28</v>
      </c>
      <c r="B29" s="1" t="s">
        <v>1540</v>
      </c>
      <c r="C29" s="1" t="s">
        <v>1502</v>
      </c>
      <c r="D29" s="1">
        <v>36.65</v>
      </c>
      <c r="E29" s="1">
        <v>0.01</v>
      </c>
      <c r="F29" s="1">
        <v>0</v>
      </c>
      <c r="G29" s="1">
        <v>0</v>
      </c>
      <c r="H29" s="1">
        <v>0</v>
      </c>
      <c r="I29" s="2">
        <v>7.15</v>
      </c>
      <c r="J29" s="1">
        <v>2.15</v>
      </c>
      <c r="K29" s="2">
        <v>51.19</v>
      </c>
      <c r="L29" s="2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/>
      <c r="W29" s="1" t="s">
        <v>1541</v>
      </c>
    </row>
    <row r="30" spans="1:23" ht="12.4">
      <c r="A30" s="1">
        <v>29</v>
      </c>
      <c r="B30" s="1" t="s">
        <v>1542</v>
      </c>
      <c r="C30" s="1" t="s">
        <v>1543</v>
      </c>
      <c r="D30" s="1">
        <v>59.72</v>
      </c>
      <c r="E30" s="1">
        <v>0</v>
      </c>
      <c r="F30" s="1">
        <v>0.11</v>
      </c>
      <c r="G30" s="1">
        <v>0</v>
      </c>
      <c r="H30" s="1">
        <v>0</v>
      </c>
      <c r="I30" s="2">
        <v>0.31</v>
      </c>
      <c r="J30" s="1">
        <v>0</v>
      </c>
      <c r="K30" s="2">
        <v>39.82</v>
      </c>
      <c r="L30" s="2">
        <v>0.22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 t="s">
        <v>1544</v>
      </c>
      <c r="W30" s="1" t="s">
        <v>1545</v>
      </c>
    </row>
    <row r="31" spans="1:23" ht="12.4">
      <c r="A31" s="1">
        <v>30</v>
      </c>
      <c r="B31" s="1" t="s">
        <v>1068</v>
      </c>
      <c r="C31" s="1" t="s">
        <v>1510</v>
      </c>
      <c r="D31" s="1">
        <v>50.21</v>
      </c>
      <c r="E31" s="1">
        <v>0.19</v>
      </c>
      <c r="F31" s="1">
        <v>1.24</v>
      </c>
      <c r="G31" s="1">
        <v>0.04</v>
      </c>
      <c r="H31" s="1">
        <v>5.1100000000000003</v>
      </c>
      <c r="I31" s="2">
        <v>23.65</v>
      </c>
      <c r="J31" s="1">
        <v>0.53</v>
      </c>
      <c r="K31" s="2">
        <v>17.57</v>
      </c>
      <c r="L31" s="2">
        <v>1.59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/>
      <c r="W31" s="1" t="s">
        <v>1546</v>
      </c>
    </row>
    <row r="32" spans="1:23" ht="12.4">
      <c r="A32" s="1">
        <v>31</v>
      </c>
      <c r="B32" s="1" t="s">
        <v>1547</v>
      </c>
      <c r="C32" s="1" t="s">
        <v>1548</v>
      </c>
      <c r="D32" s="1">
        <v>0</v>
      </c>
      <c r="E32" s="1">
        <v>3.04</v>
      </c>
      <c r="F32" s="1">
        <v>0.33</v>
      </c>
      <c r="G32" s="1">
        <v>0.03</v>
      </c>
      <c r="H32" s="1">
        <v>63.71</v>
      </c>
      <c r="I32" s="2">
        <v>26.52</v>
      </c>
      <c r="J32" s="1">
        <v>0.6</v>
      </c>
      <c r="K32" s="2">
        <v>3.63</v>
      </c>
      <c r="L32" s="2">
        <v>0</v>
      </c>
      <c r="M32" s="1">
        <v>0</v>
      </c>
      <c r="N32" s="1">
        <v>0</v>
      </c>
      <c r="O32" s="1">
        <v>0.01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/>
      <c r="W32" s="1" t="s">
        <v>1549</v>
      </c>
    </row>
    <row r="33" spans="1:23" ht="12.4">
      <c r="A33" s="1">
        <v>32</v>
      </c>
      <c r="B33" s="1" t="s">
        <v>1550</v>
      </c>
      <c r="C33" s="1" t="s">
        <v>1551</v>
      </c>
      <c r="D33" s="1">
        <v>46.55</v>
      </c>
      <c r="E33" s="1">
        <v>0.05</v>
      </c>
      <c r="F33" s="1">
        <v>32.700000000000003</v>
      </c>
      <c r="G33" s="1">
        <v>0.03</v>
      </c>
      <c r="H33" s="1">
        <v>0.64</v>
      </c>
      <c r="I33" s="2">
        <v>0</v>
      </c>
      <c r="J33" s="1">
        <v>0.01</v>
      </c>
      <c r="K33" s="2">
        <v>0.04</v>
      </c>
      <c r="L33" s="2">
        <v>17.28</v>
      </c>
      <c r="M33" s="1">
        <v>1.71</v>
      </c>
      <c r="N33" s="1">
        <v>0.02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/>
      <c r="W33" s="1" t="s">
        <v>1552</v>
      </c>
    </row>
    <row r="34" spans="1:23" ht="12.4">
      <c r="A34" s="1">
        <v>33</v>
      </c>
      <c r="B34" s="1" t="s">
        <v>1553</v>
      </c>
      <c r="C34" s="1" t="s">
        <v>1554</v>
      </c>
      <c r="D34" s="1">
        <v>0.2</v>
      </c>
      <c r="E34" s="1">
        <v>47.61</v>
      </c>
      <c r="F34" s="1">
        <v>0.01</v>
      </c>
      <c r="G34" s="1">
        <v>0.02</v>
      </c>
      <c r="H34" s="1">
        <v>0</v>
      </c>
      <c r="I34" s="2">
        <v>45.43</v>
      </c>
      <c r="J34" s="1">
        <v>0.02</v>
      </c>
      <c r="K34" s="2">
        <v>0.01</v>
      </c>
      <c r="L34" s="2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/>
      <c r="W34" s="1" t="s">
        <v>1555</v>
      </c>
    </row>
    <row r="35" spans="1:23" ht="12.4">
      <c r="A35" s="1">
        <v>34</v>
      </c>
      <c r="B35" s="1" t="s">
        <v>1556</v>
      </c>
      <c r="C35" s="1" t="s">
        <v>1510</v>
      </c>
      <c r="D35" s="1">
        <v>50.54</v>
      </c>
      <c r="E35" s="1">
        <v>0.86</v>
      </c>
      <c r="F35" s="1">
        <v>2.99</v>
      </c>
      <c r="G35" s="1">
        <v>7.0000000000000007E-2</v>
      </c>
      <c r="H35" s="1">
        <v>1.71</v>
      </c>
      <c r="I35" s="2">
        <v>8.18</v>
      </c>
      <c r="J35" s="1">
        <v>0.25</v>
      </c>
      <c r="K35" s="2">
        <v>14.64</v>
      </c>
      <c r="L35" s="2">
        <v>20.350000000000001</v>
      </c>
      <c r="M35" s="1">
        <v>0.27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/>
      <c r="W35" s="1" t="s">
        <v>1557</v>
      </c>
    </row>
    <row r="36" spans="1:23" ht="12.4">
      <c r="A36" s="1">
        <v>35</v>
      </c>
      <c r="B36" s="1" t="s">
        <v>701</v>
      </c>
      <c r="C36" s="1" t="s">
        <v>1510</v>
      </c>
      <c r="D36" s="1">
        <v>49.69</v>
      </c>
      <c r="E36" s="1">
        <v>0.79</v>
      </c>
      <c r="F36" s="1">
        <v>6.4</v>
      </c>
      <c r="G36" s="1">
        <v>0</v>
      </c>
      <c r="H36" s="1">
        <v>0</v>
      </c>
      <c r="I36" s="2">
        <v>6.29</v>
      </c>
      <c r="J36" s="1">
        <v>0.12</v>
      </c>
      <c r="K36" s="2">
        <v>15.14</v>
      </c>
      <c r="L36" s="2">
        <v>20.92</v>
      </c>
      <c r="M36" s="1">
        <v>0.4</v>
      </c>
      <c r="N36" s="1">
        <v>0.01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/>
      <c r="W36" s="1" t="s">
        <v>1558</v>
      </c>
    </row>
    <row r="37" spans="1:23" ht="12.4">
      <c r="A37" s="1">
        <v>36</v>
      </c>
      <c r="B37" s="1" t="s">
        <v>940</v>
      </c>
      <c r="C37" s="1" t="s">
        <v>1510</v>
      </c>
      <c r="D37" s="1">
        <v>56.23</v>
      </c>
      <c r="E37" s="1">
        <v>0.02</v>
      </c>
      <c r="F37" s="1">
        <v>1.02</v>
      </c>
      <c r="G37" s="1">
        <v>0</v>
      </c>
      <c r="H37" s="1">
        <v>0</v>
      </c>
      <c r="I37" s="2">
        <v>8.5299999999999994</v>
      </c>
      <c r="J37" s="1">
        <v>0.19</v>
      </c>
      <c r="K37" s="2">
        <v>32.81</v>
      </c>
      <c r="L37" s="2">
        <v>0.41</v>
      </c>
      <c r="M37" s="1">
        <v>0.01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1" t="s">
        <v>1559</v>
      </c>
    </row>
    <row r="38" spans="1:23" ht="12.4">
      <c r="A38" s="1">
        <v>37</v>
      </c>
      <c r="B38" s="1" t="s">
        <v>1221</v>
      </c>
      <c r="C38" s="1" t="s">
        <v>1502</v>
      </c>
      <c r="D38" s="1">
        <v>39.43</v>
      </c>
      <c r="E38" s="1">
        <v>0.03</v>
      </c>
      <c r="F38" s="1">
        <v>0.04</v>
      </c>
      <c r="G38" s="1">
        <v>0</v>
      </c>
      <c r="H38" s="1">
        <v>0</v>
      </c>
      <c r="I38" s="2">
        <v>16.63</v>
      </c>
      <c r="J38" s="1">
        <v>0.24</v>
      </c>
      <c r="K38" s="2">
        <v>43.64</v>
      </c>
      <c r="L38" s="2">
        <v>0.16</v>
      </c>
      <c r="M38" s="1">
        <v>0.01</v>
      </c>
      <c r="N38" s="1">
        <v>0.01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1" t="s">
        <v>1560</v>
      </c>
    </row>
    <row r="39" spans="1:23" ht="12.4">
      <c r="A39" s="1">
        <v>38</v>
      </c>
      <c r="B39" s="1" t="s">
        <v>1561</v>
      </c>
      <c r="C39" s="1" t="s">
        <v>1543</v>
      </c>
      <c r="D39" s="1">
        <v>55.3</v>
      </c>
      <c r="E39" s="1">
        <v>0.05</v>
      </c>
      <c r="F39" s="1">
        <v>0.12</v>
      </c>
      <c r="G39" s="1">
        <v>0</v>
      </c>
      <c r="H39" s="1">
        <v>0</v>
      </c>
      <c r="I39" s="2">
        <v>9.3800000000000008</v>
      </c>
      <c r="J39" s="1">
        <v>0.15</v>
      </c>
      <c r="K39" s="2">
        <v>32.799999999999997</v>
      </c>
      <c r="L39" s="2">
        <v>0.45</v>
      </c>
      <c r="M39" s="1">
        <v>0</v>
      </c>
      <c r="N39" s="1">
        <v>0.02</v>
      </c>
      <c r="O39" s="1">
        <v>0.01</v>
      </c>
      <c r="P39" s="1">
        <v>2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 t="s">
        <v>1562</v>
      </c>
      <c r="W39" s="1" t="s">
        <v>1563</v>
      </c>
    </row>
    <row r="40" spans="1:23" ht="12.4">
      <c r="A40" s="1">
        <v>39</v>
      </c>
      <c r="B40" s="1" t="s">
        <v>1564</v>
      </c>
      <c r="C40" s="1" t="s">
        <v>1551</v>
      </c>
      <c r="D40" s="1">
        <v>52.27</v>
      </c>
      <c r="E40" s="1">
        <v>0</v>
      </c>
      <c r="F40" s="1">
        <v>30.86</v>
      </c>
      <c r="G40" s="1">
        <v>0</v>
      </c>
      <c r="H40" s="1">
        <v>0</v>
      </c>
      <c r="I40" s="2">
        <v>0.21</v>
      </c>
      <c r="J40" s="1">
        <v>0</v>
      </c>
      <c r="K40" s="2">
        <v>0.01</v>
      </c>
      <c r="L40" s="2">
        <v>13.13</v>
      </c>
      <c r="M40" s="1">
        <v>4.41</v>
      </c>
      <c r="N40" s="1">
        <v>0.25</v>
      </c>
      <c r="O40" s="1">
        <v>0.11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1" t="s">
        <v>1565</v>
      </c>
    </row>
    <row r="41" spans="1:23" ht="12.4">
      <c r="A41" s="1">
        <v>40</v>
      </c>
      <c r="B41" s="1" t="s">
        <v>1566</v>
      </c>
      <c r="C41" s="1" t="s">
        <v>1543</v>
      </c>
      <c r="D41" s="1">
        <v>57.72</v>
      </c>
      <c r="E41" s="1">
        <v>0.04</v>
      </c>
      <c r="F41" s="1">
        <v>0.14000000000000001</v>
      </c>
      <c r="G41" s="1">
        <v>0.01</v>
      </c>
      <c r="H41" s="1">
        <v>0</v>
      </c>
      <c r="I41" s="2">
        <v>7.62</v>
      </c>
      <c r="J41" s="1">
        <v>0.04</v>
      </c>
      <c r="K41" s="2">
        <v>34.53</v>
      </c>
      <c r="L41" s="2">
        <v>0.23</v>
      </c>
      <c r="M41" s="1">
        <v>0.02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/>
      <c r="W41" s="1" t="s">
        <v>1567</v>
      </c>
    </row>
    <row r="42" spans="1:23" ht="12.4">
      <c r="A42" s="1">
        <v>41</v>
      </c>
      <c r="B42" s="1" t="s">
        <v>1568</v>
      </c>
      <c r="C42" s="1" t="s">
        <v>1551</v>
      </c>
      <c r="D42" s="1">
        <v>47.96</v>
      </c>
      <c r="E42" s="1">
        <v>0.02</v>
      </c>
      <c r="F42" s="1">
        <v>32.94</v>
      </c>
      <c r="G42" s="1">
        <v>0.01</v>
      </c>
      <c r="H42" s="1">
        <v>0</v>
      </c>
      <c r="I42" s="2">
        <v>0.39</v>
      </c>
      <c r="J42" s="1">
        <v>0.01</v>
      </c>
      <c r="K42" s="2">
        <v>0.11</v>
      </c>
      <c r="L42" s="2">
        <v>15.82</v>
      </c>
      <c r="M42" s="1">
        <v>2.39</v>
      </c>
      <c r="N42" s="1">
        <v>7.0000000000000007E-2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/>
      <c r="W42" s="1" t="s">
        <v>1569</v>
      </c>
    </row>
    <row r="43" spans="1:23" ht="12.4">
      <c r="A43" s="1">
        <v>42</v>
      </c>
      <c r="B43" s="1" t="s">
        <v>1570</v>
      </c>
      <c r="C43" s="1" t="s">
        <v>1502</v>
      </c>
      <c r="D43" s="1">
        <v>40.869999999999997</v>
      </c>
      <c r="E43" s="1">
        <v>0</v>
      </c>
      <c r="F43" s="1">
        <v>0.01</v>
      </c>
      <c r="G43" s="1">
        <v>0.04</v>
      </c>
      <c r="H43" s="1">
        <v>0</v>
      </c>
      <c r="I43" s="2">
        <v>7.77</v>
      </c>
      <c r="J43" s="1">
        <v>0.14000000000000001</v>
      </c>
      <c r="K43" s="2">
        <v>51.58</v>
      </c>
      <c r="L43" s="2">
        <v>0.03</v>
      </c>
      <c r="M43" s="1">
        <v>0.01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/>
      <c r="W43" s="1" t="s">
        <v>1571</v>
      </c>
    </row>
    <row r="44" spans="1:23" ht="12.4">
      <c r="A44" s="1">
        <v>43</v>
      </c>
      <c r="B44" s="1" t="s">
        <v>1572</v>
      </c>
      <c r="C44" s="1" t="s">
        <v>1496</v>
      </c>
      <c r="D44" s="1">
        <v>39.79</v>
      </c>
      <c r="E44" s="1">
        <v>10.62</v>
      </c>
      <c r="F44" s="1">
        <v>9.93</v>
      </c>
      <c r="G44" s="1">
        <v>0.39</v>
      </c>
      <c r="H44" s="1">
        <v>0</v>
      </c>
      <c r="I44" s="2">
        <v>19.21</v>
      </c>
      <c r="J44" s="1">
        <v>0.26</v>
      </c>
      <c r="K44" s="2">
        <v>7.93</v>
      </c>
      <c r="L44" s="2">
        <v>11.32</v>
      </c>
      <c r="M44" s="1">
        <v>0.39</v>
      </c>
      <c r="N44" s="1">
        <v>0.04</v>
      </c>
      <c r="O44" s="1">
        <v>0.09</v>
      </c>
      <c r="P44" s="1">
        <v>0</v>
      </c>
      <c r="Q44" s="1">
        <v>2</v>
      </c>
      <c r="R44" s="1">
        <v>2</v>
      </c>
      <c r="S44" s="1">
        <v>5.65</v>
      </c>
      <c r="T44" s="1">
        <v>2</v>
      </c>
      <c r="U44" s="1">
        <v>81</v>
      </c>
      <c r="V44" s="1" t="s">
        <v>1573</v>
      </c>
      <c r="W44" s="1" t="s">
        <v>1574</v>
      </c>
    </row>
    <row r="45" spans="1:23" ht="12.4">
      <c r="A45" s="1">
        <v>44</v>
      </c>
      <c r="B45" s="1" t="s">
        <v>1575</v>
      </c>
      <c r="C45" s="1" t="s">
        <v>1496</v>
      </c>
      <c r="D45" s="1">
        <v>44.07</v>
      </c>
      <c r="E45" s="1">
        <v>8.34</v>
      </c>
      <c r="F45" s="1">
        <v>11.72</v>
      </c>
      <c r="G45" s="1">
        <v>0.31</v>
      </c>
      <c r="H45" s="1">
        <v>0</v>
      </c>
      <c r="I45" s="2">
        <v>16.98</v>
      </c>
      <c r="J45" s="1">
        <v>0.21</v>
      </c>
      <c r="K45" s="2">
        <v>9.1199999999999992</v>
      </c>
      <c r="L45" s="2">
        <v>13.71</v>
      </c>
      <c r="M45" s="1">
        <v>0.47</v>
      </c>
      <c r="N45" s="1">
        <v>0.2</v>
      </c>
      <c r="O45" s="1">
        <v>0.23</v>
      </c>
      <c r="P45" s="1">
        <v>0</v>
      </c>
      <c r="Q45" s="1">
        <v>9.6999999999999993</v>
      </c>
      <c r="R45" s="1">
        <v>70</v>
      </c>
      <c r="S45" s="1">
        <v>42</v>
      </c>
      <c r="T45" s="1">
        <v>30</v>
      </c>
      <c r="U45" s="1">
        <v>0</v>
      </c>
      <c r="V45" s="1" t="s">
        <v>1576</v>
      </c>
      <c r="W45" s="1" t="s">
        <v>1577</v>
      </c>
    </row>
    <row r="46" spans="1:23" ht="12.4">
      <c r="A46" s="1">
        <v>45</v>
      </c>
      <c r="B46" s="1" t="s">
        <v>1578</v>
      </c>
      <c r="C46" s="1" t="s">
        <v>1496</v>
      </c>
      <c r="D46" s="1">
        <v>41.9</v>
      </c>
      <c r="E46" s="1">
        <v>8.15</v>
      </c>
      <c r="F46" s="1">
        <v>12.49</v>
      </c>
      <c r="G46" s="1">
        <v>0.28999999999999998</v>
      </c>
      <c r="H46" s="1">
        <v>0</v>
      </c>
      <c r="I46" s="2">
        <v>16.45</v>
      </c>
      <c r="J46" s="1">
        <v>0.2</v>
      </c>
      <c r="K46" s="2">
        <v>7.75</v>
      </c>
      <c r="L46" s="2">
        <v>11.69</v>
      </c>
      <c r="M46" s="1">
        <v>0.48</v>
      </c>
      <c r="N46" s="1">
        <v>0.21</v>
      </c>
      <c r="O46" s="1">
        <v>0.13</v>
      </c>
      <c r="P46" s="1">
        <v>0</v>
      </c>
      <c r="Q46" s="1">
        <v>11.1</v>
      </c>
      <c r="R46" s="1">
        <v>214</v>
      </c>
      <c r="S46" s="1">
        <v>35</v>
      </c>
      <c r="T46" s="1">
        <v>30.2</v>
      </c>
      <c r="U46" s="1">
        <v>0</v>
      </c>
      <c r="V46" s="1" t="s">
        <v>1579</v>
      </c>
      <c r="W46" s="1" t="s">
        <v>1580</v>
      </c>
    </row>
    <row r="47" spans="1:23" ht="12.4">
      <c r="A47" s="1">
        <v>46</v>
      </c>
      <c r="B47" s="1" t="s">
        <v>1581</v>
      </c>
      <c r="C47" s="1" t="s">
        <v>1496</v>
      </c>
      <c r="D47" s="1">
        <v>40.4</v>
      </c>
      <c r="E47" s="1">
        <v>12</v>
      </c>
      <c r="F47" s="1">
        <v>8</v>
      </c>
      <c r="G47" s="1">
        <v>0.4</v>
      </c>
      <c r="H47" s="1">
        <v>0</v>
      </c>
      <c r="I47" s="2">
        <v>19.600000000000001</v>
      </c>
      <c r="J47" s="1">
        <v>0.2</v>
      </c>
      <c r="K47" s="2">
        <v>7.7</v>
      </c>
      <c r="L47" s="2">
        <v>10.4</v>
      </c>
      <c r="M47" s="1">
        <v>0.5</v>
      </c>
      <c r="N47" s="1">
        <v>0.3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1.77</v>
      </c>
      <c r="U47" s="1">
        <v>0</v>
      </c>
      <c r="V47" s="1" t="s">
        <v>1582</v>
      </c>
      <c r="W47" s="1" t="s">
        <v>1583</v>
      </c>
    </row>
    <row r="48" spans="1:23" ht="24.95">
      <c r="A48" s="1">
        <v>47</v>
      </c>
      <c r="B48" s="1" t="s">
        <v>1584</v>
      </c>
      <c r="C48" s="1" t="s">
        <v>1496</v>
      </c>
      <c r="D48" s="1">
        <v>41</v>
      </c>
      <c r="E48" s="1">
        <v>7.3</v>
      </c>
      <c r="F48" s="1">
        <v>12.8</v>
      </c>
      <c r="G48" s="1">
        <v>0.31</v>
      </c>
      <c r="H48" s="1">
        <v>0</v>
      </c>
      <c r="I48" s="2">
        <v>16.2</v>
      </c>
      <c r="J48" s="1">
        <v>0.22</v>
      </c>
      <c r="K48" s="2">
        <v>9.1999999999999993</v>
      </c>
      <c r="L48" s="2">
        <v>12.4</v>
      </c>
      <c r="M48" s="1">
        <v>0.38</v>
      </c>
      <c r="N48" s="1">
        <v>0.15</v>
      </c>
      <c r="O48" s="1">
        <v>0</v>
      </c>
      <c r="P48" s="1">
        <v>0</v>
      </c>
      <c r="Q48" s="1">
        <v>0</v>
      </c>
      <c r="R48" s="1">
        <v>200</v>
      </c>
      <c r="S48" s="1">
        <v>26.8</v>
      </c>
      <c r="T48" s="1">
        <v>0</v>
      </c>
      <c r="U48" s="1">
        <v>0</v>
      </c>
      <c r="V48" s="1" t="s">
        <v>1585</v>
      </c>
      <c r="W48" s="1" t="s">
        <v>1586</v>
      </c>
    </row>
    <row r="49" spans="1:23" ht="12.4">
      <c r="A49" s="1">
        <v>48</v>
      </c>
      <c r="B49" s="1" t="s">
        <v>1587</v>
      </c>
      <c r="C49" s="1" t="s">
        <v>1496</v>
      </c>
      <c r="D49" s="1">
        <v>45</v>
      </c>
      <c r="E49" s="1">
        <v>2.9</v>
      </c>
      <c r="F49" s="1">
        <v>8.6</v>
      </c>
      <c r="G49" s="1">
        <v>0.6</v>
      </c>
      <c r="H49" s="1">
        <v>0</v>
      </c>
      <c r="I49" s="2">
        <v>21</v>
      </c>
      <c r="J49" s="1">
        <v>0.3</v>
      </c>
      <c r="K49" s="2">
        <v>11.6</v>
      </c>
      <c r="L49" s="2">
        <v>9.4</v>
      </c>
      <c r="M49" s="1">
        <v>0.2</v>
      </c>
      <c r="N49" s="1">
        <v>0.06</v>
      </c>
      <c r="O49" s="1">
        <v>7.0000000000000007E-2</v>
      </c>
      <c r="P49" s="1">
        <v>0</v>
      </c>
      <c r="Q49" s="1">
        <v>0</v>
      </c>
      <c r="R49" s="1">
        <v>0</v>
      </c>
      <c r="S49" s="1">
        <v>0</v>
      </c>
      <c r="T49" s="1">
        <v>1.8</v>
      </c>
      <c r="U49" s="1">
        <v>0</v>
      </c>
      <c r="V49" s="1" t="s">
        <v>1582</v>
      </c>
      <c r="W49" s="1" t="s">
        <v>1588</v>
      </c>
    </row>
    <row r="50" spans="1:23" ht="12.4">
      <c r="A50" s="1">
        <v>49</v>
      </c>
      <c r="B50" s="1" t="s">
        <v>1589</v>
      </c>
      <c r="C50" s="1" t="s">
        <v>1496</v>
      </c>
      <c r="D50" s="1">
        <v>42.8</v>
      </c>
      <c r="E50" s="1">
        <v>4.9000000000000004</v>
      </c>
      <c r="F50" s="1">
        <v>9.1</v>
      </c>
      <c r="G50" s="1">
        <v>0.6</v>
      </c>
      <c r="H50" s="1">
        <v>0</v>
      </c>
      <c r="I50" s="2">
        <v>21.8</v>
      </c>
      <c r="J50" s="1">
        <v>0.3</v>
      </c>
      <c r="K50" s="2">
        <v>11</v>
      </c>
      <c r="L50" s="2">
        <v>9.5</v>
      </c>
      <c r="M50" s="1">
        <v>0.4</v>
      </c>
      <c r="N50" s="1">
        <v>7.0000000000000007E-2</v>
      </c>
      <c r="O50" s="1">
        <v>0.13</v>
      </c>
      <c r="P50" s="1">
        <v>0</v>
      </c>
      <c r="Q50" s="1">
        <v>0</v>
      </c>
      <c r="R50" s="1">
        <v>0</v>
      </c>
      <c r="S50" s="1">
        <v>0</v>
      </c>
      <c r="T50" s="1">
        <v>2</v>
      </c>
      <c r="U50" s="1">
        <v>0</v>
      </c>
      <c r="V50" s="1" t="s">
        <v>1590</v>
      </c>
      <c r="W50" s="1" t="s">
        <v>1591</v>
      </c>
    </row>
    <row r="51" spans="1:23" ht="12.4">
      <c r="A51" s="1">
        <v>50</v>
      </c>
      <c r="B51" s="1" t="s">
        <v>1592</v>
      </c>
      <c r="C51" s="1" t="s">
        <v>1496</v>
      </c>
      <c r="D51" s="1">
        <v>46.83</v>
      </c>
      <c r="E51" s="1">
        <v>3.24</v>
      </c>
      <c r="F51" s="1">
        <v>12.48</v>
      </c>
      <c r="G51" s="1">
        <v>0.31</v>
      </c>
      <c r="H51" s="1">
        <v>0</v>
      </c>
      <c r="I51" s="2">
        <v>17.760000000000002</v>
      </c>
      <c r="J51" s="1">
        <v>0.25</v>
      </c>
      <c r="K51" s="2">
        <v>6.86</v>
      </c>
      <c r="L51" s="2">
        <v>11.49</v>
      </c>
      <c r="M51" s="1">
        <v>0.65</v>
      </c>
      <c r="N51" s="1">
        <v>7.0000000000000007E-2</v>
      </c>
      <c r="O51" s="1">
        <v>0.14000000000000001</v>
      </c>
      <c r="P51" s="1">
        <v>0</v>
      </c>
      <c r="Q51" s="1">
        <v>8</v>
      </c>
      <c r="R51" s="1">
        <v>2</v>
      </c>
      <c r="S51" s="1">
        <v>28.4</v>
      </c>
      <c r="T51" s="1">
        <v>3</v>
      </c>
      <c r="U51" s="1">
        <v>104</v>
      </c>
      <c r="V51" s="1" t="s">
        <v>1593</v>
      </c>
      <c r="W51" s="1" t="s">
        <v>1594</v>
      </c>
    </row>
    <row r="52" spans="1:23" ht="12.4">
      <c r="A52" s="1">
        <v>51</v>
      </c>
      <c r="B52" s="1" t="s">
        <v>1595</v>
      </c>
      <c r="C52" s="1" t="s">
        <v>1496</v>
      </c>
      <c r="D52" s="1">
        <v>45.7</v>
      </c>
      <c r="E52" s="1">
        <v>2.71</v>
      </c>
      <c r="F52" s="1">
        <v>13</v>
      </c>
      <c r="G52" s="1">
        <v>0.39</v>
      </c>
      <c r="H52" s="1">
        <v>0</v>
      </c>
      <c r="I52" s="2">
        <v>16.2</v>
      </c>
      <c r="J52" s="1">
        <v>0.24</v>
      </c>
      <c r="K52" s="2">
        <v>10.4</v>
      </c>
      <c r="L52" s="2">
        <v>10.6</v>
      </c>
      <c r="M52" s="1">
        <v>0.54</v>
      </c>
      <c r="N52" s="1">
        <v>0.25</v>
      </c>
      <c r="O52" s="1">
        <v>0.33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1596</v>
      </c>
      <c r="W52" s="1" t="s">
        <v>1597</v>
      </c>
    </row>
    <row r="53" spans="1:23" ht="12.4">
      <c r="A53" s="1">
        <v>52</v>
      </c>
      <c r="B53" s="1" t="s">
        <v>1598</v>
      </c>
      <c r="C53" s="1" t="s">
        <v>1496</v>
      </c>
      <c r="D53" s="1">
        <v>46.21</v>
      </c>
      <c r="E53" s="1">
        <v>3.32</v>
      </c>
      <c r="F53" s="1">
        <v>10.14</v>
      </c>
      <c r="G53" s="1">
        <v>0.49</v>
      </c>
      <c r="H53" s="1">
        <v>0</v>
      </c>
      <c r="I53" s="2">
        <v>19.77</v>
      </c>
      <c r="J53" s="1">
        <v>0.28000000000000003</v>
      </c>
      <c r="K53" s="2">
        <v>8.17</v>
      </c>
      <c r="L53" s="2">
        <v>11.01</v>
      </c>
      <c r="M53" s="1">
        <v>0.26</v>
      </c>
      <c r="N53" s="1">
        <v>0.06</v>
      </c>
      <c r="O53" s="1">
        <v>0.14000000000000001</v>
      </c>
      <c r="P53" s="1">
        <v>0</v>
      </c>
      <c r="Q53" s="1">
        <v>26</v>
      </c>
      <c r="R53" s="1">
        <v>9.9</v>
      </c>
      <c r="S53" s="1">
        <v>30</v>
      </c>
      <c r="T53" s="1">
        <v>1.2</v>
      </c>
      <c r="U53" s="1">
        <v>148</v>
      </c>
      <c r="V53" s="1" t="s">
        <v>1599</v>
      </c>
      <c r="W53" s="1" t="s">
        <v>1600</v>
      </c>
    </row>
    <row r="54" spans="1:23" ht="12.4">
      <c r="A54" s="1">
        <v>53</v>
      </c>
      <c r="B54" s="1" t="s">
        <v>1601</v>
      </c>
      <c r="C54" s="1" t="s">
        <v>1496</v>
      </c>
      <c r="D54" s="1">
        <v>43.5</v>
      </c>
      <c r="E54" s="1">
        <v>5</v>
      </c>
      <c r="F54" s="1">
        <v>9.3000000000000007</v>
      </c>
      <c r="G54" s="1">
        <v>0.4</v>
      </c>
      <c r="H54" s="1">
        <v>0</v>
      </c>
      <c r="I54" s="2">
        <v>21.3</v>
      </c>
      <c r="J54" s="1">
        <v>0.3</v>
      </c>
      <c r="K54" s="2">
        <v>9.6</v>
      </c>
      <c r="L54" s="2">
        <v>10.5</v>
      </c>
      <c r="M54" s="1">
        <v>0.3</v>
      </c>
      <c r="N54" s="1">
        <v>0.06</v>
      </c>
      <c r="O54" s="1">
        <v>0.14000000000000001</v>
      </c>
      <c r="P54" s="1">
        <v>0</v>
      </c>
      <c r="Q54" s="1">
        <v>0</v>
      </c>
      <c r="R54" s="1">
        <v>0</v>
      </c>
      <c r="S54" s="1">
        <v>0</v>
      </c>
      <c r="T54" s="1">
        <v>2.2999999999999998</v>
      </c>
      <c r="U54" s="1">
        <v>0</v>
      </c>
      <c r="V54" s="1" t="s">
        <v>1602</v>
      </c>
      <c r="W54" s="1" t="s">
        <v>1603</v>
      </c>
    </row>
    <row r="55" spans="1:23" ht="12.4">
      <c r="A55" s="1">
        <v>54</v>
      </c>
      <c r="B55" s="1" t="s">
        <v>1604</v>
      </c>
      <c r="C55" s="1" t="s">
        <v>1496</v>
      </c>
      <c r="D55" s="1">
        <v>45.7</v>
      </c>
      <c r="E55" s="1">
        <v>2.78</v>
      </c>
      <c r="F55" s="1">
        <v>13</v>
      </c>
      <c r="G55" s="1">
        <v>0.42</v>
      </c>
      <c r="H55" s="1">
        <v>0</v>
      </c>
      <c r="I55" s="2">
        <v>16.399999999999999</v>
      </c>
      <c r="J55" s="1">
        <v>0.23</v>
      </c>
      <c r="K55" s="2">
        <v>10.5</v>
      </c>
      <c r="L55" s="2">
        <v>10.4</v>
      </c>
      <c r="M55" s="1">
        <v>0.48</v>
      </c>
      <c r="N55" s="1">
        <v>0.23</v>
      </c>
      <c r="O55" s="1">
        <v>0.32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1605</v>
      </c>
      <c r="W55" s="1" t="s">
        <v>1606</v>
      </c>
    </row>
    <row r="56" spans="1:23" ht="12.4">
      <c r="A56" s="1">
        <v>55</v>
      </c>
      <c r="B56" s="1" t="s">
        <v>1607</v>
      </c>
      <c r="C56" s="1" t="s">
        <v>1496</v>
      </c>
      <c r="D56" s="1">
        <v>48.08</v>
      </c>
      <c r="E56" s="1">
        <v>1.77</v>
      </c>
      <c r="F56" s="1">
        <v>17.59</v>
      </c>
      <c r="G56" s="1">
        <v>0.26</v>
      </c>
      <c r="H56" s="1">
        <v>0</v>
      </c>
      <c r="I56" s="2">
        <v>10.45</v>
      </c>
      <c r="J56" s="1">
        <v>0.14000000000000001</v>
      </c>
      <c r="K56" s="2">
        <v>9.27</v>
      </c>
      <c r="L56" s="2">
        <v>11.12</v>
      </c>
      <c r="M56" s="1">
        <v>0.65</v>
      </c>
      <c r="N56" s="1">
        <v>0.54</v>
      </c>
      <c r="O56" s="1">
        <v>0.57999999999999996</v>
      </c>
      <c r="P56" s="1">
        <v>0</v>
      </c>
      <c r="Q56" s="1">
        <v>0</v>
      </c>
      <c r="R56" s="1">
        <v>430</v>
      </c>
      <c r="S56" s="1">
        <v>3.8</v>
      </c>
      <c r="T56" s="1">
        <v>0</v>
      </c>
      <c r="U56" s="1">
        <v>58</v>
      </c>
      <c r="V56" s="1" t="s">
        <v>1605</v>
      </c>
      <c r="W56" s="1" t="s">
        <v>1608</v>
      </c>
    </row>
    <row r="57" spans="1:23" ht="12.4">
      <c r="A57" s="1">
        <v>56</v>
      </c>
      <c r="B57" s="1" t="s">
        <v>1609</v>
      </c>
      <c r="C57" s="1" t="s">
        <v>1496</v>
      </c>
      <c r="D57" s="1">
        <v>44.69</v>
      </c>
      <c r="E57" s="1">
        <v>1.48</v>
      </c>
      <c r="F57" s="1">
        <v>22.31</v>
      </c>
      <c r="G57" s="1">
        <v>0.21</v>
      </c>
      <c r="H57" s="1">
        <v>0</v>
      </c>
      <c r="I57" s="2">
        <v>6.71</v>
      </c>
      <c r="J57" s="1">
        <v>0.08</v>
      </c>
      <c r="K57" s="2">
        <v>10.8</v>
      </c>
      <c r="L57" s="2">
        <v>12.7</v>
      </c>
      <c r="M57" s="1">
        <v>0.76</v>
      </c>
      <c r="N57" s="1">
        <v>0.15</v>
      </c>
      <c r="O57" s="1">
        <v>0</v>
      </c>
      <c r="P57" s="1">
        <v>0</v>
      </c>
      <c r="Q57" s="1">
        <v>0</v>
      </c>
      <c r="R57" s="1">
        <v>110</v>
      </c>
      <c r="S57" s="1">
        <v>0</v>
      </c>
      <c r="T57" s="1">
        <v>4</v>
      </c>
      <c r="U57" s="1">
        <v>0</v>
      </c>
      <c r="V57" s="1" t="s">
        <v>1610</v>
      </c>
      <c r="W57" s="1" t="s">
        <v>1611</v>
      </c>
    </row>
    <row r="58" spans="1:23" ht="12.4">
      <c r="A58" s="1">
        <v>57</v>
      </c>
      <c r="B58" s="1" t="s">
        <v>1612</v>
      </c>
      <c r="C58" s="1" t="s">
        <v>1496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2">
        <v>0</v>
      </c>
      <c r="J58" s="1">
        <v>0</v>
      </c>
      <c r="K58" s="2">
        <v>0</v>
      </c>
      <c r="L58" s="2">
        <v>0</v>
      </c>
      <c r="M58" s="1">
        <v>0</v>
      </c>
      <c r="N58" s="1">
        <v>0.25</v>
      </c>
      <c r="O58" s="1">
        <v>0</v>
      </c>
      <c r="P58" s="1">
        <v>0</v>
      </c>
      <c r="Q58" s="1">
        <v>0</v>
      </c>
      <c r="R58" s="1">
        <v>64</v>
      </c>
      <c r="S58" s="1">
        <v>0</v>
      </c>
      <c r="T58" s="1">
        <v>0</v>
      </c>
      <c r="U58" s="1">
        <v>0</v>
      </c>
      <c r="V58" s="1" t="s">
        <v>1613</v>
      </c>
      <c r="W58" s="1" t="s">
        <v>1614</v>
      </c>
    </row>
    <row r="59" spans="1:23" ht="12.4">
      <c r="A59" s="1">
        <v>58</v>
      </c>
      <c r="B59" s="1" t="s">
        <v>1615</v>
      </c>
      <c r="C59" s="1" t="s">
        <v>1496</v>
      </c>
      <c r="D59" s="1">
        <v>0</v>
      </c>
      <c r="E59" s="1">
        <v>0.98</v>
      </c>
      <c r="F59" s="1">
        <v>8.75</v>
      </c>
      <c r="G59" s="1">
        <v>0</v>
      </c>
      <c r="H59" s="1">
        <v>0</v>
      </c>
      <c r="I59" s="2">
        <v>7.9</v>
      </c>
      <c r="J59" s="1">
        <v>0</v>
      </c>
      <c r="K59" s="2">
        <v>0</v>
      </c>
      <c r="L59" s="2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31</v>
      </c>
      <c r="T59" s="1">
        <v>0</v>
      </c>
      <c r="U59" s="1">
        <v>0</v>
      </c>
      <c r="V59" s="1" t="s">
        <v>1605</v>
      </c>
      <c r="W59" s="1" t="s">
        <v>1616</v>
      </c>
    </row>
    <row r="60" spans="1:23" ht="12.4">
      <c r="A60" s="1">
        <v>59</v>
      </c>
      <c r="B60" s="1" t="s">
        <v>1617</v>
      </c>
      <c r="C60" s="1" t="s">
        <v>1496</v>
      </c>
      <c r="D60" s="1">
        <v>48.5</v>
      </c>
      <c r="E60" s="1">
        <v>1.71</v>
      </c>
      <c r="F60" s="1">
        <v>17.38</v>
      </c>
      <c r="G60" s="1">
        <v>0</v>
      </c>
      <c r="H60" s="1">
        <v>0</v>
      </c>
      <c r="I60" s="2">
        <v>10.55</v>
      </c>
      <c r="J60" s="1">
        <v>0.13</v>
      </c>
      <c r="K60" s="2">
        <v>9.66</v>
      </c>
      <c r="L60" s="2">
        <v>10.4</v>
      </c>
      <c r="M60" s="1">
        <v>0.71</v>
      </c>
      <c r="N60" s="1">
        <v>0.53</v>
      </c>
      <c r="O60" s="1">
        <v>0.5</v>
      </c>
      <c r="P60" s="1">
        <v>0</v>
      </c>
      <c r="Q60" s="1">
        <v>0</v>
      </c>
      <c r="R60" s="1">
        <v>0</v>
      </c>
      <c r="S60" s="1">
        <v>34.4</v>
      </c>
      <c r="T60" s="1">
        <v>0</v>
      </c>
      <c r="U60" s="1">
        <v>44</v>
      </c>
      <c r="V60" s="1" t="s">
        <v>1605</v>
      </c>
      <c r="W60" s="1" t="s">
        <v>1618</v>
      </c>
    </row>
    <row r="61" spans="1:23" ht="12.4">
      <c r="A61" s="1">
        <v>60</v>
      </c>
      <c r="B61" s="1" t="s">
        <v>1619</v>
      </c>
      <c r="C61" s="1" t="s">
        <v>1496</v>
      </c>
      <c r="D61" s="1">
        <v>48</v>
      </c>
      <c r="E61" s="1">
        <v>1.61</v>
      </c>
      <c r="F61" s="1">
        <v>17.45</v>
      </c>
      <c r="G61" s="1">
        <v>0.19</v>
      </c>
      <c r="H61" s="1">
        <v>0</v>
      </c>
      <c r="I61" s="2">
        <v>9.9499999999999993</v>
      </c>
      <c r="J61" s="1">
        <v>0.14000000000000001</v>
      </c>
      <c r="K61" s="2">
        <v>9.5399999999999991</v>
      </c>
      <c r="L61" s="2">
        <v>10.54</v>
      </c>
      <c r="M61" s="1">
        <v>0.75</v>
      </c>
      <c r="N61" s="1">
        <v>0.57999999999999996</v>
      </c>
      <c r="O61" s="1">
        <v>0.48</v>
      </c>
      <c r="P61" s="1">
        <v>0</v>
      </c>
      <c r="Q61" s="1">
        <v>0</v>
      </c>
      <c r="R61" s="1">
        <v>0</v>
      </c>
      <c r="S61" s="1">
        <v>40</v>
      </c>
      <c r="T61" s="1">
        <v>0</v>
      </c>
      <c r="U61" s="1">
        <v>0</v>
      </c>
      <c r="V61" s="1" t="s">
        <v>1605</v>
      </c>
      <c r="W61" s="1" t="s">
        <v>1620</v>
      </c>
    </row>
    <row r="62" spans="1:23" ht="12.4">
      <c r="A62" s="1">
        <v>61</v>
      </c>
      <c r="B62" s="1" t="s">
        <v>1621</v>
      </c>
      <c r="C62" s="1" t="s">
        <v>1496</v>
      </c>
      <c r="D62" s="1">
        <v>48.1</v>
      </c>
      <c r="E62" s="1">
        <v>1.71</v>
      </c>
      <c r="F62" s="1">
        <v>17.149999999999999</v>
      </c>
      <c r="G62" s="1">
        <v>0.19</v>
      </c>
      <c r="H62" s="1">
        <v>0</v>
      </c>
      <c r="I62" s="2">
        <v>10.55</v>
      </c>
      <c r="J62" s="1">
        <v>0.14000000000000001</v>
      </c>
      <c r="K62" s="2">
        <v>9.5500000000000007</v>
      </c>
      <c r="L62" s="2">
        <v>10.16</v>
      </c>
      <c r="M62" s="1">
        <v>0.72</v>
      </c>
      <c r="N62" s="1">
        <v>0.53</v>
      </c>
      <c r="O62" s="1">
        <v>0.49</v>
      </c>
      <c r="P62" s="1">
        <v>0</v>
      </c>
      <c r="Q62" s="1">
        <v>0</v>
      </c>
      <c r="R62" s="1">
        <v>0</v>
      </c>
      <c r="S62" s="1">
        <v>36.200000000000003</v>
      </c>
      <c r="T62" s="1">
        <v>0</v>
      </c>
      <c r="U62" s="1">
        <v>36</v>
      </c>
      <c r="V62" s="1" t="s">
        <v>1605</v>
      </c>
      <c r="W62" s="1" t="s">
        <v>1622</v>
      </c>
    </row>
    <row r="63" spans="1:23" ht="12.4">
      <c r="A63" s="1">
        <v>62</v>
      </c>
      <c r="B63" s="1" t="s">
        <v>1623</v>
      </c>
      <c r="C63" s="1" t="s">
        <v>1496</v>
      </c>
      <c r="D63" s="1">
        <v>47.97</v>
      </c>
      <c r="E63" s="1">
        <v>1.77</v>
      </c>
      <c r="F63" s="1">
        <v>17.57</v>
      </c>
      <c r="G63" s="1">
        <v>0.26</v>
      </c>
      <c r="H63" s="1">
        <v>0</v>
      </c>
      <c r="I63" s="2">
        <v>10.41</v>
      </c>
      <c r="J63" s="1">
        <v>0.14000000000000001</v>
      </c>
      <c r="K63" s="2">
        <v>9.18</v>
      </c>
      <c r="L63" s="2">
        <v>11.15</v>
      </c>
      <c r="M63" s="1">
        <v>0.68</v>
      </c>
      <c r="N63" s="1">
        <v>0.57999999999999996</v>
      </c>
      <c r="O63" s="1">
        <v>0.52</v>
      </c>
      <c r="P63" s="1">
        <v>0</v>
      </c>
      <c r="Q63" s="1">
        <v>0</v>
      </c>
      <c r="R63" s="1">
        <v>400</v>
      </c>
      <c r="S63" s="1">
        <v>36</v>
      </c>
      <c r="T63" s="1">
        <v>0</v>
      </c>
      <c r="U63" s="1">
        <v>57</v>
      </c>
      <c r="V63" s="1" t="s">
        <v>1605</v>
      </c>
      <c r="W63" s="1" t="s">
        <v>1624</v>
      </c>
    </row>
    <row r="64" spans="1:23" ht="12.4">
      <c r="A64" s="1">
        <v>63</v>
      </c>
      <c r="B64" s="1" t="s">
        <v>1625</v>
      </c>
      <c r="C64" s="1" t="s">
        <v>1496</v>
      </c>
      <c r="D64" s="1">
        <v>47.77</v>
      </c>
      <c r="E64" s="1">
        <v>1.67</v>
      </c>
      <c r="F64" s="1">
        <v>17.989999999999998</v>
      </c>
      <c r="G64" s="1">
        <v>0.23</v>
      </c>
      <c r="H64" s="1">
        <v>0</v>
      </c>
      <c r="I64" s="2">
        <v>10.02</v>
      </c>
      <c r="J64" s="1">
        <v>0.14000000000000001</v>
      </c>
      <c r="K64" s="2">
        <v>9.4700000000000006</v>
      </c>
      <c r="L64" s="2">
        <v>11.25</v>
      </c>
      <c r="M64" s="1">
        <v>0.7</v>
      </c>
      <c r="N64" s="1">
        <v>0.54</v>
      </c>
      <c r="O64" s="1">
        <v>0.55000000000000004</v>
      </c>
      <c r="P64" s="1">
        <v>0</v>
      </c>
      <c r="Q64" s="1">
        <v>0</v>
      </c>
      <c r="R64" s="1">
        <v>320</v>
      </c>
      <c r="S64" s="1">
        <v>33</v>
      </c>
      <c r="T64" s="1">
        <v>0</v>
      </c>
      <c r="U64" s="1">
        <v>52</v>
      </c>
      <c r="V64" s="1" t="s">
        <v>1605</v>
      </c>
      <c r="W64" s="1" t="s">
        <v>1626</v>
      </c>
    </row>
    <row r="65" spans="1:23" ht="12.4">
      <c r="A65" s="1">
        <v>64</v>
      </c>
      <c r="B65" s="1" t="s">
        <v>1627</v>
      </c>
      <c r="C65" s="1" t="s">
        <v>1496</v>
      </c>
      <c r="D65" s="1">
        <v>48.16</v>
      </c>
      <c r="E65" s="1">
        <v>1.73</v>
      </c>
      <c r="F65" s="1">
        <v>17.600000000000001</v>
      </c>
      <c r="G65" s="1">
        <v>0.26</v>
      </c>
      <c r="H65" s="1">
        <v>0</v>
      </c>
      <c r="I65" s="2">
        <v>10.41</v>
      </c>
      <c r="J65" s="1">
        <v>0.14000000000000001</v>
      </c>
      <c r="K65" s="2">
        <v>9.26</v>
      </c>
      <c r="L65" s="2">
        <v>11.25</v>
      </c>
      <c r="M65" s="1">
        <v>0.61</v>
      </c>
      <c r="N65" s="1">
        <v>0.51</v>
      </c>
      <c r="O65" s="1">
        <v>0.53</v>
      </c>
      <c r="P65" s="1">
        <v>0</v>
      </c>
      <c r="Q65" s="1">
        <v>0</v>
      </c>
      <c r="R65" s="1">
        <v>440</v>
      </c>
      <c r="S65" s="1">
        <v>38</v>
      </c>
      <c r="T65" s="1">
        <v>0</v>
      </c>
      <c r="U65" s="1">
        <v>62</v>
      </c>
      <c r="V65" s="1" t="s">
        <v>1628</v>
      </c>
      <c r="W65" s="1" t="s">
        <v>1629</v>
      </c>
    </row>
    <row r="66" spans="1:23" ht="12.4">
      <c r="A66" s="1">
        <v>65</v>
      </c>
      <c r="B66" s="1" t="s">
        <v>1630</v>
      </c>
      <c r="C66" s="1" t="s">
        <v>1496</v>
      </c>
      <c r="D66" s="1">
        <v>47.11</v>
      </c>
      <c r="E66" s="1">
        <v>1.87</v>
      </c>
      <c r="F66" s="1">
        <v>16.97</v>
      </c>
      <c r="G66" s="1">
        <v>0</v>
      </c>
      <c r="H66" s="1">
        <v>0</v>
      </c>
      <c r="I66" s="2">
        <v>11.08</v>
      </c>
      <c r="J66" s="1">
        <v>0.17</v>
      </c>
      <c r="K66" s="2">
        <v>9.42</v>
      </c>
      <c r="L66" s="2">
        <v>10.95</v>
      </c>
      <c r="M66" s="1">
        <v>0.68</v>
      </c>
      <c r="N66" s="1">
        <v>0.49</v>
      </c>
      <c r="O66" s="1">
        <v>0.47</v>
      </c>
      <c r="P66" s="1">
        <v>0</v>
      </c>
      <c r="Q66" s="1">
        <v>0</v>
      </c>
      <c r="R66" s="1">
        <v>450</v>
      </c>
      <c r="S66" s="1">
        <v>38.1</v>
      </c>
      <c r="T66" s="1">
        <v>0</v>
      </c>
      <c r="U66" s="1">
        <v>0</v>
      </c>
      <c r="V66" s="1" t="s">
        <v>1605</v>
      </c>
      <c r="W66" s="1" t="s">
        <v>1631</v>
      </c>
    </row>
    <row r="67" spans="1:23" ht="12.4">
      <c r="A67" s="1">
        <v>66</v>
      </c>
      <c r="B67" s="1" t="s">
        <v>1632</v>
      </c>
      <c r="C67" s="1" t="s">
        <v>1496</v>
      </c>
      <c r="D67" s="1">
        <v>48.26</v>
      </c>
      <c r="E67" s="1">
        <v>2.06</v>
      </c>
      <c r="F67" s="1">
        <v>16.52</v>
      </c>
      <c r="G67" s="1">
        <v>0.21</v>
      </c>
      <c r="H67" s="1">
        <v>0</v>
      </c>
      <c r="I67" s="2">
        <v>10.29</v>
      </c>
      <c r="J67" s="1">
        <v>0.14000000000000001</v>
      </c>
      <c r="K67" s="2">
        <v>9.98</v>
      </c>
      <c r="L67" s="2">
        <v>10.29</v>
      </c>
      <c r="M67" s="1">
        <v>0.84</v>
      </c>
      <c r="N67" s="1">
        <v>0.75</v>
      </c>
      <c r="O67" s="1">
        <v>0.64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 t="s">
        <v>1633</v>
      </c>
      <c r="W67" s="1" t="s">
        <v>1634</v>
      </c>
    </row>
    <row r="68" spans="1:23" ht="12.4">
      <c r="A68" s="1">
        <v>67</v>
      </c>
      <c r="B68" s="1" t="s">
        <v>1635</v>
      </c>
      <c r="C68" s="1" t="s">
        <v>1496</v>
      </c>
      <c r="D68" s="1">
        <v>47.2</v>
      </c>
      <c r="E68" s="1">
        <v>1.24</v>
      </c>
      <c r="F68" s="1">
        <v>20.100000000000001</v>
      </c>
      <c r="G68" s="1">
        <v>0.18</v>
      </c>
      <c r="H68" s="1">
        <v>0</v>
      </c>
      <c r="I68" s="2">
        <v>8.3800000000000008</v>
      </c>
      <c r="J68" s="1">
        <v>0.11</v>
      </c>
      <c r="K68" s="2">
        <v>7.87</v>
      </c>
      <c r="L68" s="2">
        <v>12.3</v>
      </c>
      <c r="M68" s="1">
        <v>0.63</v>
      </c>
      <c r="N68" s="1">
        <v>0.49</v>
      </c>
      <c r="O68" s="1">
        <v>0.34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 t="s">
        <v>1633</v>
      </c>
      <c r="W68" s="1" t="s">
        <v>1636</v>
      </c>
    </row>
    <row r="69" spans="1:23" ht="12.4">
      <c r="A69" s="1">
        <v>68</v>
      </c>
      <c r="B69" s="1" t="s">
        <v>1637</v>
      </c>
      <c r="C69" s="1" t="s">
        <v>1496</v>
      </c>
      <c r="D69" s="1">
        <v>47.24</v>
      </c>
      <c r="E69" s="1">
        <v>1.81</v>
      </c>
      <c r="F69" s="1">
        <v>18.05</v>
      </c>
      <c r="G69" s="1">
        <v>0.15</v>
      </c>
      <c r="H69" s="1">
        <v>0</v>
      </c>
      <c r="I69" s="2">
        <v>11.13</v>
      </c>
      <c r="J69" s="1">
        <v>0.14000000000000001</v>
      </c>
      <c r="K69" s="2">
        <v>9.59</v>
      </c>
      <c r="L69" s="2">
        <v>10.16</v>
      </c>
      <c r="M69" s="1">
        <v>0.85</v>
      </c>
      <c r="N69" s="1">
        <v>0.81</v>
      </c>
      <c r="O69" s="1">
        <v>0.76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 t="s">
        <v>1633</v>
      </c>
      <c r="W69" s="1" t="s">
        <v>1638</v>
      </c>
    </row>
    <row r="70" spans="1:23" ht="12.4">
      <c r="A70" s="1">
        <v>69</v>
      </c>
      <c r="B70" s="1" t="s">
        <v>1639</v>
      </c>
      <c r="C70" s="1" t="s">
        <v>1496</v>
      </c>
      <c r="D70" s="1">
        <v>49</v>
      </c>
      <c r="E70" s="1">
        <v>1.6</v>
      </c>
      <c r="F70" s="1">
        <v>16</v>
      </c>
      <c r="G70" s="1">
        <v>0.18</v>
      </c>
      <c r="H70" s="1">
        <v>0</v>
      </c>
      <c r="I70" s="2">
        <v>9.5</v>
      </c>
      <c r="J70" s="1">
        <v>0.18</v>
      </c>
      <c r="K70" s="2">
        <v>13</v>
      </c>
      <c r="L70" s="2">
        <v>7.4</v>
      </c>
      <c r="M70" s="1">
        <v>0.85</v>
      </c>
      <c r="N70" s="1">
        <v>1.2</v>
      </c>
      <c r="O70" s="1">
        <v>0</v>
      </c>
      <c r="P70" s="1">
        <v>0</v>
      </c>
      <c r="Q70" s="1">
        <v>0</v>
      </c>
      <c r="R70" s="1">
        <v>205</v>
      </c>
      <c r="S70" s="1">
        <v>32</v>
      </c>
      <c r="T70" s="1">
        <v>0</v>
      </c>
      <c r="U70" s="1">
        <v>52</v>
      </c>
      <c r="V70" s="1" t="s">
        <v>1640</v>
      </c>
      <c r="W70" s="1" t="s">
        <v>1641</v>
      </c>
    </row>
    <row r="71" spans="1:23" ht="12.4">
      <c r="A71" s="1">
        <v>70</v>
      </c>
      <c r="B71" s="1" t="s">
        <v>1642</v>
      </c>
      <c r="C71" s="1" t="s">
        <v>1496</v>
      </c>
      <c r="D71" s="1">
        <v>0</v>
      </c>
      <c r="E71" s="1">
        <v>2.27</v>
      </c>
      <c r="F71" s="1">
        <v>13.2</v>
      </c>
      <c r="G71" s="1">
        <v>0.43</v>
      </c>
      <c r="H71" s="1">
        <v>0</v>
      </c>
      <c r="I71" s="2">
        <v>15.4</v>
      </c>
      <c r="J71" s="1">
        <v>0.21</v>
      </c>
      <c r="K71" s="2">
        <v>0</v>
      </c>
      <c r="L71" s="2">
        <v>0</v>
      </c>
      <c r="M71" s="1">
        <v>0.59</v>
      </c>
      <c r="N71" s="1">
        <v>0.17</v>
      </c>
      <c r="O71" s="1">
        <v>0</v>
      </c>
      <c r="P71" s="1">
        <v>0</v>
      </c>
      <c r="Q71" s="1">
        <v>0</v>
      </c>
      <c r="R71" s="1">
        <v>0</v>
      </c>
      <c r="S71" s="1">
        <v>0.03</v>
      </c>
      <c r="T71" s="1">
        <v>0</v>
      </c>
      <c r="U71" s="1">
        <v>0</v>
      </c>
      <c r="V71" s="1" t="s">
        <v>1643</v>
      </c>
      <c r="W71" s="1" t="s">
        <v>1644</v>
      </c>
    </row>
    <row r="72" spans="1:23" ht="12.4">
      <c r="A72" s="1">
        <v>71</v>
      </c>
      <c r="B72" s="1" t="s">
        <v>1645</v>
      </c>
      <c r="C72" s="1" t="s">
        <v>1496</v>
      </c>
      <c r="D72" s="1">
        <v>44.08</v>
      </c>
      <c r="E72" s="1">
        <v>2.2799999999999998</v>
      </c>
      <c r="F72" s="1">
        <v>8.3800000000000008</v>
      </c>
      <c r="G72" s="1">
        <v>0.85</v>
      </c>
      <c r="H72" s="1">
        <v>0</v>
      </c>
      <c r="I72" s="2">
        <v>22.74</v>
      </c>
      <c r="J72" s="1">
        <v>0.32</v>
      </c>
      <c r="K72" s="2">
        <v>11.3</v>
      </c>
      <c r="L72" s="2">
        <v>9.27</v>
      </c>
      <c r="M72" s="1">
        <v>0.27</v>
      </c>
      <c r="N72" s="1">
        <v>0.04</v>
      </c>
      <c r="O72" s="1">
        <v>7.0000000000000007E-2</v>
      </c>
      <c r="P72" s="1">
        <v>0</v>
      </c>
      <c r="Q72" s="1">
        <v>11</v>
      </c>
      <c r="R72" s="1">
        <v>85.9</v>
      </c>
      <c r="S72" s="1">
        <v>54</v>
      </c>
      <c r="T72" s="1">
        <v>4</v>
      </c>
      <c r="U72" s="1">
        <v>200</v>
      </c>
      <c r="V72" s="1" t="s">
        <v>1599</v>
      </c>
      <c r="W72" s="1" t="s">
        <v>1646</v>
      </c>
    </row>
    <row r="73" spans="1:23" ht="12.4">
      <c r="A73" s="1">
        <v>72</v>
      </c>
      <c r="B73" s="1" t="s">
        <v>1647</v>
      </c>
      <c r="C73" s="1" t="s">
        <v>1496</v>
      </c>
      <c r="D73" s="1">
        <v>46.56</v>
      </c>
      <c r="E73" s="1">
        <v>1.75</v>
      </c>
      <c r="F73" s="1">
        <v>13.73</v>
      </c>
      <c r="G73" s="1">
        <v>0</v>
      </c>
      <c r="H73" s="1">
        <v>0</v>
      </c>
      <c r="I73" s="2">
        <v>15.21</v>
      </c>
      <c r="J73" s="1">
        <v>0.2</v>
      </c>
      <c r="K73" s="2">
        <v>10.37</v>
      </c>
      <c r="L73" s="2">
        <v>10.54</v>
      </c>
      <c r="M73" s="1">
        <v>0.41</v>
      </c>
      <c r="N73" s="1">
        <v>0.2</v>
      </c>
      <c r="O73" s="1">
        <v>0.18</v>
      </c>
      <c r="P73" s="1">
        <v>0</v>
      </c>
      <c r="Q73" s="1">
        <v>0</v>
      </c>
      <c r="R73" s="1">
        <v>0</v>
      </c>
      <c r="S73" s="1">
        <v>40</v>
      </c>
      <c r="T73" s="1">
        <v>0</v>
      </c>
      <c r="U73" s="1">
        <v>114</v>
      </c>
      <c r="V73" s="1" t="s">
        <v>1648</v>
      </c>
      <c r="W73" s="1" t="s">
        <v>1649</v>
      </c>
    </row>
    <row r="74" spans="1:23" ht="12.4">
      <c r="A74" s="1">
        <v>73</v>
      </c>
      <c r="B74" s="1" t="s">
        <v>1650</v>
      </c>
      <c r="C74" s="1" t="s">
        <v>1496</v>
      </c>
      <c r="D74" s="1">
        <v>48.14</v>
      </c>
      <c r="E74" s="1">
        <v>1.69</v>
      </c>
      <c r="F74" s="1">
        <v>8.89</v>
      </c>
      <c r="G74" s="1">
        <v>0.66</v>
      </c>
      <c r="H74" s="1">
        <v>0</v>
      </c>
      <c r="I74" s="2">
        <v>19.86</v>
      </c>
      <c r="J74" s="1">
        <v>0.27</v>
      </c>
      <c r="K74" s="2">
        <v>9.2799999999999994</v>
      </c>
      <c r="L74" s="2">
        <v>10.27</v>
      </c>
      <c r="M74" s="1">
        <v>0.28000000000000003</v>
      </c>
      <c r="N74" s="1">
        <v>0.03</v>
      </c>
      <c r="O74" s="1">
        <v>7.0000000000000007E-2</v>
      </c>
      <c r="P74" s="1">
        <v>0</v>
      </c>
      <c r="Q74" s="1">
        <v>0</v>
      </c>
      <c r="R74" s="1">
        <v>0</v>
      </c>
      <c r="S74" s="1">
        <v>42</v>
      </c>
      <c r="T74" s="1">
        <v>0</v>
      </c>
      <c r="U74" s="1">
        <v>0</v>
      </c>
      <c r="V74" s="1" t="s">
        <v>1599</v>
      </c>
      <c r="W74" s="1" t="s">
        <v>1651</v>
      </c>
    </row>
    <row r="75" spans="1:23" ht="12.4">
      <c r="A75" s="1">
        <v>74</v>
      </c>
      <c r="B75" s="1" t="s">
        <v>1652</v>
      </c>
      <c r="C75" s="1" t="s">
        <v>1496</v>
      </c>
      <c r="D75" s="1">
        <v>48.34</v>
      </c>
      <c r="E75" s="1">
        <v>1.46</v>
      </c>
      <c r="F75" s="1">
        <v>9.7899999999999991</v>
      </c>
      <c r="G75" s="1">
        <v>0.5</v>
      </c>
      <c r="H75" s="1">
        <v>0</v>
      </c>
      <c r="I75" s="2">
        <v>18.82</v>
      </c>
      <c r="J75" s="1">
        <v>0.25</v>
      </c>
      <c r="K75" s="2">
        <v>10.47</v>
      </c>
      <c r="L75" s="2">
        <v>9.75</v>
      </c>
      <c r="M75" s="1">
        <v>0.34</v>
      </c>
      <c r="N75" s="1">
        <v>0.05</v>
      </c>
      <c r="O75" s="1">
        <v>7.0000000000000007E-2</v>
      </c>
      <c r="P75" s="1">
        <v>0</v>
      </c>
      <c r="Q75" s="1">
        <v>64</v>
      </c>
      <c r="R75" s="1">
        <v>75.900000000000006</v>
      </c>
      <c r="S75" s="1">
        <v>52</v>
      </c>
      <c r="T75" s="1">
        <v>5</v>
      </c>
      <c r="U75" s="1">
        <v>158</v>
      </c>
      <c r="V75" s="1" t="s">
        <v>1599</v>
      </c>
      <c r="W75" s="1" t="s">
        <v>1653</v>
      </c>
    </row>
    <row r="76" spans="1:23" ht="12.4">
      <c r="A76" s="1">
        <v>75</v>
      </c>
      <c r="B76" s="1" t="s">
        <v>1654</v>
      </c>
      <c r="C76" s="1" t="s">
        <v>1496</v>
      </c>
      <c r="D76" s="1">
        <v>48.13</v>
      </c>
      <c r="E76" s="1">
        <v>1.5</v>
      </c>
      <c r="F76" s="1">
        <v>13.85</v>
      </c>
      <c r="G76" s="1">
        <v>0.44</v>
      </c>
      <c r="H76" s="1">
        <v>0</v>
      </c>
      <c r="I76" s="2">
        <v>16.21</v>
      </c>
      <c r="J76" s="1">
        <v>0.2</v>
      </c>
      <c r="K76" s="2">
        <v>11.14</v>
      </c>
      <c r="L76" s="2">
        <v>11.19</v>
      </c>
      <c r="M76" s="1">
        <v>0.36</v>
      </c>
      <c r="N76" s="1">
        <v>0.15</v>
      </c>
      <c r="O76" s="1">
        <v>0</v>
      </c>
      <c r="P76" s="1">
        <v>0</v>
      </c>
      <c r="Q76" s="1">
        <v>0</v>
      </c>
      <c r="R76" s="1">
        <v>0</v>
      </c>
      <c r="S76" s="1">
        <v>46</v>
      </c>
      <c r="T76" s="1">
        <v>0</v>
      </c>
      <c r="U76" s="1">
        <v>116</v>
      </c>
      <c r="V76" s="1" t="s">
        <v>1605</v>
      </c>
      <c r="W76" s="1" t="s">
        <v>1655</v>
      </c>
    </row>
    <row r="77" spans="1:23" ht="12.4">
      <c r="A77" s="1">
        <v>76</v>
      </c>
      <c r="B77" s="1" t="s">
        <v>1656</v>
      </c>
      <c r="C77" s="1" t="s">
        <v>1496</v>
      </c>
      <c r="D77" s="1">
        <v>47.5</v>
      </c>
      <c r="E77" s="1">
        <v>1.67</v>
      </c>
      <c r="F77" s="1">
        <v>11.01</v>
      </c>
      <c r="G77" s="1">
        <v>0.42</v>
      </c>
      <c r="H77" s="1">
        <v>0</v>
      </c>
      <c r="I77" s="2">
        <v>17.489999999999998</v>
      </c>
      <c r="J77" s="1">
        <v>0.26</v>
      </c>
      <c r="K77" s="2">
        <v>10.55</v>
      </c>
      <c r="L77" s="2">
        <v>10.26</v>
      </c>
      <c r="M77" s="1">
        <v>0.35</v>
      </c>
      <c r="N77" s="1">
        <v>0.14000000000000001</v>
      </c>
      <c r="O77" s="1">
        <v>0.17</v>
      </c>
      <c r="P77" s="1">
        <v>0</v>
      </c>
      <c r="Q77" s="1">
        <v>0</v>
      </c>
      <c r="R77" s="1">
        <v>157.16</v>
      </c>
      <c r="S77" s="1">
        <v>41</v>
      </c>
      <c r="T77" s="1">
        <v>0</v>
      </c>
      <c r="U77" s="1">
        <v>0</v>
      </c>
      <c r="V77" s="1" t="s">
        <v>1576</v>
      </c>
      <c r="W77" s="1" t="s">
        <v>1657</v>
      </c>
    </row>
    <row r="78" spans="1:23" ht="12.4">
      <c r="A78" s="1">
        <v>77</v>
      </c>
      <c r="B78" s="1" t="s">
        <v>1658</v>
      </c>
      <c r="C78" s="1" t="s">
        <v>1496</v>
      </c>
      <c r="D78" s="1">
        <v>46.47</v>
      </c>
      <c r="E78" s="1">
        <v>1.31</v>
      </c>
      <c r="F78" s="1">
        <v>17.47</v>
      </c>
      <c r="G78" s="1">
        <v>0.24</v>
      </c>
      <c r="H78" s="1">
        <v>0</v>
      </c>
      <c r="I78" s="2">
        <v>11.57</v>
      </c>
      <c r="J78" s="1">
        <v>0.17</v>
      </c>
      <c r="K78" s="2">
        <v>10.5</v>
      </c>
      <c r="L78" s="2">
        <v>11.77</v>
      </c>
      <c r="M78" s="1">
        <v>0.41</v>
      </c>
      <c r="N78" s="1">
        <v>0.18</v>
      </c>
      <c r="O78" s="1">
        <v>0.16</v>
      </c>
      <c r="P78" s="1">
        <v>0</v>
      </c>
      <c r="Q78" s="1">
        <v>0</v>
      </c>
      <c r="R78" s="1">
        <v>365</v>
      </c>
      <c r="S78" s="1">
        <v>39</v>
      </c>
      <c r="T78" s="1">
        <v>0</v>
      </c>
      <c r="U78" s="1">
        <v>80</v>
      </c>
      <c r="V78" s="1" t="s">
        <v>1605</v>
      </c>
      <c r="W78" s="1" t="s">
        <v>1659</v>
      </c>
    </row>
    <row r="79" spans="1:23" ht="12.4">
      <c r="A79" s="1">
        <v>78</v>
      </c>
      <c r="B79" s="1" t="s">
        <v>1660</v>
      </c>
      <c r="C79" s="1" t="s">
        <v>1496</v>
      </c>
      <c r="D79" s="1">
        <v>46.29</v>
      </c>
      <c r="E79" s="1">
        <v>1.31</v>
      </c>
      <c r="F79" s="1">
        <v>17.7</v>
      </c>
      <c r="G79" s="1">
        <v>0.22</v>
      </c>
      <c r="H79" s="1">
        <v>0</v>
      </c>
      <c r="I79" s="2">
        <v>11.53</v>
      </c>
      <c r="J79" s="1">
        <v>0.16</v>
      </c>
      <c r="K79" s="2">
        <v>10.55</v>
      </c>
      <c r="L79" s="2">
        <v>11.54</v>
      </c>
      <c r="M79" s="1">
        <v>0.41</v>
      </c>
      <c r="N79" s="1">
        <v>0.19</v>
      </c>
      <c r="O79" s="1">
        <v>0.16</v>
      </c>
      <c r="P79" s="1">
        <v>0</v>
      </c>
      <c r="Q79" s="1">
        <v>0</v>
      </c>
      <c r="R79" s="1">
        <v>295</v>
      </c>
      <c r="S79" s="1">
        <v>44</v>
      </c>
      <c r="T79" s="1">
        <v>0</v>
      </c>
      <c r="U79" s="1">
        <v>94</v>
      </c>
      <c r="V79" s="1" t="s">
        <v>1605</v>
      </c>
      <c r="W79" s="1" t="s">
        <v>1661</v>
      </c>
    </row>
    <row r="80" spans="1:23" ht="12.4">
      <c r="A80" s="1">
        <v>79</v>
      </c>
      <c r="B80" s="1" t="s">
        <v>1662</v>
      </c>
      <c r="C80" s="1" t="s">
        <v>1496</v>
      </c>
      <c r="D80" s="1">
        <v>51.03</v>
      </c>
      <c r="E80" s="1">
        <v>1.99</v>
      </c>
      <c r="F80" s="1">
        <v>14.92</v>
      </c>
      <c r="G80" s="1">
        <v>0.34</v>
      </c>
      <c r="H80" s="1">
        <v>0</v>
      </c>
      <c r="I80" s="2">
        <v>11.28</v>
      </c>
      <c r="J80" s="1">
        <v>0.16</v>
      </c>
      <c r="K80" s="2">
        <v>8.23</v>
      </c>
      <c r="L80" s="2">
        <v>9.94</v>
      </c>
      <c r="M80" s="1">
        <v>0.73</v>
      </c>
      <c r="N80" s="1">
        <v>0.53</v>
      </c>
      <c r="O80" s="1">
        <v>0.56000000000000005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 t="s">
        <v>1576</v>
      </c>
      <c r="W80" s="1" t="s">
        <v>1663</v>
      </c>
    </row>
    <row r="81" spans="1:23" ht="12.4">
      <c r="A81" s="1">
        <v>80</v>
      </c>
      <c r="B81" s="1" t="s">
        <v>1664</v>
      </c>
      <c r="C81" s="1" t="s">
        <v>1496</v>
      </c>
      <c r="D81" s="1">
        <v>46.35</v>
      </c>
      <c r="E81" s="1">
        <v>1.34</v>
      </c>
      <c r="F81" s="1">
        <v>17.73</v>
      </c>
      <c r="G81" s="1">
        <v>0.23</v>
      </c>
      <c r="H81" s="1">
        <v>0</v>
      </c>
      <c r="I81" s="2">
        <v>11.66</v>
      </c>
      <c r="J81" s="1">
        <v>0.16</v>
      </c>
      <c r="K81" s="2">
        <v>10.48</v>
      </c>
      <c r="L81" s="2">
        <v>11.68</v>
      </c>
      <c r="M81" s="1">
        <v>0.44</v>
      </c>
      <c r="N81" s="1">
        <v>0.19</v>
      </c>
      <c r="O81" s="1">
        <v>0.19</v>
      </c>
      <c r="P81" s="1">
        <v>0</v>
      </c>
      <c r="Q81" s="1">
        <v>0</v>
      </c>
      <c r="R81" s="1">
        <v>325</v>
      </c>
      <c r="S81" s="1">
        <v>40</v>
      </c>
      <c r="T81" s="1">
        <v>0</v>
      </c>
      <c r="U81" s="1">
        <v>80</v>
      </c>
      <c r="V81" s="1" t="s">
        <v>1665</v>
      </c>
      <c r="W81" s="1" t="s">
        <v>1666</v>
      </c>
    </row>
    <row r="82" spans="1:23" ht="12.4">
      <c r="A82" s="1">
        <v>81</v>
      </c>
      <c r="B82" s="1" t="s">
        <v>1667</v>
      </c>
      <c r="C82" s="1" t="s">
        <v>1496</v>
      </c>
      <c r="D82" s="1">
        <v>46.56</v>
      </c>
      <c r="E82" s="1">
        <v>1.27</v>
      </c>
      <c r="F82" s="1">
        <v>17.54</v>
      </c>
      <c r="G82" s="1">
        <v>0.23</v>
      </c>
      <c r="H82" s="1">
        <v>0</v>
      </c>
      <c r="I82" s="2">
        <v>11.32</v>
      </c>
      <c r="J82" s="1">
        <v>0.15</v>
      </c>
      <c r="K82" s="2">
        <v>10.69</v>
      </c>
      <c r="L82" s="2">
        <v>11.87</v>
      </c>
      <c r="M82" s="1">
        <v>0.45</v>
      </c>
      <c r="N82" s="1">
        <v>0.19</v>
      </c>
      <c r="O82" s="1">
        <v>0.16</v>
      </c>
      <c r="P82" s="1">
        <v>0</v>
      </c>
      <c r="Q82" s="1">
        <v>0</v>
      </c>
      <c r="R82" s="1">
        <v>320</v>
      </c>
      <c r="S82" s="1">
        <v>44</v>
      </c>
      <c r="T82" s="1">
        <v>0</v>
      </c>
      <c r="U82" s="1">
        <v>84</v>
      </c>
      <c r="V82" s="1" t="s">
        <v>1605</v>
      </c>
      <c r="W82" s="1" t="s">
        <v>1668</v>
      </c>
    </row>
    <row r="83" spans="1:23" ht="12.4">
      <c r="A83" s="1">
        <v>82</v>
      </c>
      <c r="B83" s="1" t="s">
        <v>1669</v>
      </c>
      <c r="C83" s="1" t="s">
        <v>1496</v>
      </c>
      <c r="D83" s="1">
        <v>46.4</v>
      </c>
      <c r="E83" s="1">
        <v>1.35</v>
      </c>
      <c r="F83" s="1">
        <v>17.14</v>
      </c>
      <c r="G83" s="1">
        <v>0.23</v>
      </c>
      <c r="H83" s="1">
        <v>0</v>
      </c>
      <c r="I83" s="2">
        <v>11.53</v>
      </c>
      <c r="J83" s="1">
        <v>0.16</v>
      </c>
      <c r="K83" s="2">
        <v>10.47</v>
      </c>
      <c r="L83" s="2">
        <v>11.88</v>
      </c>
      <c r="M83" s="1">
        <v>0.41</v>
      </c>
      <c r="N83" s="1">
        <v>0.19</v>
      </c>
      <c r="O83" s="1">
        <v>0.15</v>
      </c>
      <c r="P83" s="1">
        <v>0</v>
      </c>
      <c r="Q83" s="1">
        <v>0</v>
      </c>
      <c r="R83" s="1">
        <v>315</v>
      </c>
      <c r="S83" s="1">
        <v>42</v>
      </c>
      <c r="T83" s="1">
        <v>0</v>
      </c>
      <c r="U83" s="1">
        <v>82</v>
      </c>
      <c r="V83" s="1" t="s">
        <v>1605</v>
      </c>
      <c r="W83" s="1" t="s">
        <v>1670</v>
      </c>
    </row>
    <row r="84" spans="1:23" ht="12.4">
      <c r="A84" s="1">
        <v>83</v>
      </c>
      <c r="B84" s="1" t="s">
        <v>1671</v>
      </c>
      <c r="C84" s="1" t="s">
        <v>1496</v>
      </c>
      <c r="D84" s="1">
        <v>47.02</v>
      </c>
      <c r="E84" s="1">
        <v>1.49</v>
      </c>
      <c r="F84" s="1">
        <v>16.28</v>
      </c>
      <c r="G84" s="1">
        <v>0.3</v>
      </c>
      <c r="H84" s="1">
        <v>0</v>
      </c>
      <c r="I84" s="2">
        <v>12</v>
      </c>
      <c r="J84" s="1">
        <v>0.16</v>
      </c>
      <c r="K84" s="2">
        <v>10.31</v>
      </c>
      <c r="L84" s="2">
        <v>11.25</v>
      </c>
      <c r="M84" s="1">
        <v>0.54</v>
      </c>
      <c r="N84" s="1">
        <v>0.22</v>
      </c>
      <c r="O84" s="1">
        <v>0.24</v>
      </c>
      <c r="P84" s="1">
        <v>0</v>
      </c>
      <c r="Q84" s="1">
        <v>0</v>
      </c>
      <c r="R84" s="1">
        <v>405</v>
      </c>
      <c r="S84" s="1">
        <v>46</v>
      </c>
      <c r="T84" s="1">
        <v>0</v>
      </c>
      <c r="U84" s="1">
        <v>85</v>
      </c>
      <c r="V84" s="1" t="s">
        <v>1605</v>
      </c>
      <c r="W84" s="1" t="s">
        <v>1672</v>
      </c>
    </row>
    <row r="85" spans="1:23" ht="12.4">
      <c r="A85" s="1">
        <v>84</v>
      </c>
      <c r="B85" s="1" t="s">
        <v>1673</v>
      </c>
      <c r="C85" s="1" t="s">
        <v>1496</v>
      </c>
      <c r="D85" s="1">
        <v>46.4</v>
      </c>
      <c r="E85" s="1">
        <v>1.8</v>
      </c>
      <c r="F85" s="1">
        <v>14.1</v>
      </c>
      <c r="G85" s="1">
        <v>0</v>
      </c>
      <c r="H85" s="1">
        <v>0</v>
      </c>
      <c r="I85" s="2">
        <v>14.7</v>
      </c>
      <c r="J85" s="1">
        <v>0</v>
      </c>
      <c r="K85" s="2">
        <v>11.1</v>
      </c>
      <c r="L85" s="2">
        <v>10.7</v>
      </c>
      <c r="M85" s="1">
        <v>0.38</v>
      </c>
      <c r="N85" s="1">
        <v>0.16</v>
      </c>
      <c r="O85" s="1">
        <v>0.11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 t="s">
        <v>1674</v>
      </c>
      <c r="W85" s="1" t="s">
        <v>1675</v>
      </c>
    </row>
    <row r="86" spans="1:23" ht="12.4">
      <c r="A86" s="1">
        <v>85</v>
      </c>
      <c r="B86" s="1" t="s">
        <v>1676</v>
      </c>
      <c r="C86" s="1" t="s">
        <v>1496</v>
      </c>
      <c r="D86" s="1">
        <v>46.7</v>
      </c>
      <c r="E86" s="1">
        <v>1.47</v>
      </c>
      <c r="F86" s="1">
        <v>16.510000000000002</v>
      </c>
      <c r="G86" s="1">
        <v>0.38</v>
      </c>
      <c r="H86" s="1">
        <v>0</v>
      </c>
      <c r="I86" s="2">
        <v>12.15</v>
      </c>
      <c r="J86" s="1">
        <v>0.16</v>
      </c>
      <c r="K86" s="2">
        <v>10.55</v>
      </c>
      <c r="L86" s="2">
        <v>11.29</v>
      </c>
      <c r="M86" s="1">
        <v>0.43</v>
      </c>
      <c r="N86" s="1">
        <v>0.21</v>
      </c>
      <c r="O86" s="1">
        <v>0.21</v>
      </c>
      <c r="P86" s="1">
        <v>0</v>
      </c>
      <c r="Q86" s="1">
        <v>0</v>
      </c>
      <c r="R86" s="1">
        <v>231</v>
      </c>
      <c r="S86" s="1">
        <v>40</v>
      </c>
      <c r="T86" s="1">
        <v>0</v>
      </c>
      <c r="U86" s="1">
        <v>80</v>
      </c>
      <c r="V86" s="1" t="s">
        <v>1605</v>
      </c>
      <c r="W86" s="1" t="s">
        <v>1677</v>
      </c>
    </row>
    <row r="87" spans="1:23" ht="12.4">
      <c r="A87" s="1">
        <v>86</v>
      </c>
      <c r="B87" s="1" t="s">
        <v>1678</v>
      </c>
      <c r="C87" s="1" t="s">
        <v>1496</v>
      </c>
      <c r="D87" s="1">
        <v>49.91</v>
      </c>
      <c r="E87" s="1">
        <v>1.17</v>
      </c>
      <c r="F87" s="1">
        <v>14.53</v>
      </c>
      <c r="G87" s="1">
        <v>0</v>
      </c>
      <c r="H87" s="1">
        <v>0</v>
      </c>
      <c r="I87" s="2">
        <v>14.05</v>
      </c>
      <c r="J87" s="1">
        <v>0.19</v>
      </c>
      <c r="K87" s="2">
        <v>12.12</v>
      </c>
      <c r="L87" s="2">
        <v>10.7</v>
      </c>
      <c r="M87" s="1">
        <v>0.35</v>
      </c>
      <c r="N87" s="1">
        <v>0.16</v>
      </c>
      <c r="O87" s="1">
        <v>0.15</v>
      </c>
      <c r="P87" s="1">
        <v>0</v>
      </c>
      <c r="Q87" s="1">
        <v>0</v>
      </c>
      <c r="R87" s="1">
        <v>234</v>
      </c>
      <c r="S87" s="1">
        <v>51</v>
      </c>
      <c r="T87" s="1">
        <v>0</v>
      </c>
      <c r="U87" s="1">
        <v>97</v>
      </c>
      <c r="V87" s="1" t="s">
        <v>1605</v>
      </c>
      <c r="W87" s="1" t="s">
        <v>1679</v>
      </c>
    </row>
    <row r="88" spans="1:23" ht="12.4">
      <c r="A88" s="1">
        <v>87</v>
      </c>
      <c r="B88" s="1" t="s">
        <v>1680</v>
      </c>
      <c r="C88" s="1" t="s">
        <v>1496</v>
      </c>
      <c r="D88" s="1">
        <v>45.35</v>
      </c>
      <c r="E88" s="1">
        <v>0.4</v>
      </c>
      <c r="F88" s="1">
        <v>7.52</v>
      </c>
      <c r="G88" s="1">
        <v>0.44</v>
      </c>
      <c r="H88" s="1">
        <v>0</v>
      </c>
      <c r="I88" s="2">
        <v>20.100000000000001</v>
      </c>
      <c r="J88" s="1">
        <v>0.22</v>
      </c>
      <c r="K88" s="2">
        <v>17.079999999999998</v>
      </c>
      <c r="L88" s="2">
        <v>8.42</v>
      </c>
      <c r="M88" s="1">
        <v>0.13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 t="s">
        <v>1605</v>
      </c>
      <c r="W88" s="1" t="s">
        <v>1681</v>
      </c>
    </row>
    <row r="89" spans="1:23" ht="12.4">
      <c r="A89" s="1">
        <v>88</v>
      </c>
      <c r="B89" s="1" t="s">
        <v>1682</v>
      </c>
      <c r="C89" s="1" t="s">
        <v>1496</v>
      </c>
      <c r="D89" s="1">
        <v>46.1</v>
      </c>
      <c r="E89" s="1">
        <v>1.58</v>
      </c>
      <c r="F89" s="1">
        <v>12.91</v>
      </c>
      <c r="G89" s="1">
        <v>0.47</v>
      </c>
      <c r="H89" s="1">
        <v>0</v>
      </c>
      <c r="I89" s="2">
        <v>16.239999999999998</v>
      </c>
      <c r="J89" s="1">
        <v>0.21</v>
      </c>
      <c r="K89" s="2">
        <v>11.11</v>
      </c>
      <c r="L89" s="2">
        <v>10.42</v>
      </c>
      <c r="M89" s="1">
        <v>0.32</v>
      </c>
      <c r="N89" s="1">
        <v>0.12</v>
      </c>
      <c r="O89" s="1">
        <v>0.12</v>
      </c>
      <c r="P89" s="1">
        <v>0</v>
      </c>
      <c r="Q89" s="1">
        <v>0</v>
      </c>
      <c r="R89" s="1">
        <v>179</v>
      </c>
      <c r="S89" s="1">
        <v>46</v>
      </c>
      <c r="T89" s="1">
        <v>0</v>
      </c>
      <c r="U89" s="1">
        <v>128</v>
      </c>
      <c r="V89" s="1" t="s">
        <v>1605</v>
      </c>
      <c r="W89" s="1" t="s">
        <v>1683</v>
      </c>
    </row>
    <row r="90" spans="1:23" ht="12.4">
      <c r="A90" s="1">
        <v>89</v>
      </c>
      <c r="B90" s="1" t="s">
        <v>1684</v>
      </c>
      <c r="C90" s="1" t="s">
        <v>1496</v>
      </c>
      <c r="D90" s="1">
        <v>47.81</v>
      </c>
      <c r="E90" s="1">
        <v>1.78</v>
      </c>
      <c r="F90" s="1">
        <v>9.11</v>
      </c>
      <c r="G90" s="1">
        <v>0.56999999999999995</v>
      </c>
      <c r="H90" s="1">
        <v>0</v>
      </c>
      <c r="I90" s="2">
        <v>20.190000000000001</v>
      </c>
      <c r="J90" s="1">
        <v>0.28000000000000003</v>
      </c>
      <c r="K90" s="2">
        <v>9.33</v>
      </c>
      <c r="L90" s="2">
        <v>10.34</v>
      </c>
      <c r="M90" s="1">
        <v>0.32</v>
      </c>
      <c r="N90" s="1">
        <v>0.05</v>
      </c>
      <c r="O90" s="1">
        <v>0.08</v>
      </c>
      <c r="P90" s="1">
        <v>0</v>
      </c>
      <c r="Q90" s="1">
        <v>0</v>
      </c>
      <c r="R90" s="1">
        <v>19</v>
      </c>
      <c r="S90" s="1">
        <v>44</v>
      </c>
      <c r="T90" s="1">
        <v>2</v>
      </c>
      <c r="U90" s="1">
        <v>189</v>
      </c>
      <c r="V90" s="1" t="s">
        <v>1685</v>
      </c>
      <c r="W90" s="1" t="s">
        <v>1686</v>
      </c>
    </row>
    <row r="91" spans="1:23" ht="12.4">
      <c r="A91" s="1">
        <v>90</v>
      </c>
      <c r="B91" s="1" t="s">
        <v>1687</v>
      </c>
      <c r="C91" s="1" t="s">
        <v>1496</v>
      </c>
      <c r="D91" s="1">
        <v>46.21</v>
      </c>
      <c r="E91" s="1">
        <v>1.81</v>
      </c>
      <c r="F91" s="1">
        <v>12.2</v>
      </c>
      <c r="G91" s="1">
        <v>0.49</v>
      </c>
      <c r="H91" s="1">
        <v>0</v>
      </c>
      <c r="I91" s="2">
        <v>16.72</v>
      </c>
      <c r="J91" s="1">
        <v>0.22</v>
      </c>
      <c r="K91" s="2">
        <v>10.8</v>
      </c>
      <c r="L91" s="2">
        <v>10.25</v>
      </c>
      <c r="M91" s="1">
        <v>0.37</v>
      </c>
      <c r="N91" s="1">
        <v>0.16</v>
      </c>
      <c r="O91" s="1">
        <v>0.17</v>
      </c>
      <c r="P91" s="1">
        <v>0</v>
      </c>
      <c r="Q91" s="1">
        <v>0</v>
      </c>
      <c r="R91" s="1">
        <v>224</v>
      </c>
      <c r="S91" s="1">
        <v>50</v>
      </c>
      <c r="T91" s="1">
        <v>0</v>
      </c>
      <c r="U91" s="1">
        <v>129</v>
      </c>
      <c r="V91" s="1" t="s">
        <v>1605</v>
      </c>
      <c r="W91" s="1" t="s">
        <v>1688</v>
      </c>
    </row>
    <row r="92" spans="1:23" ht="12.4">
      <c r="A92" s="1">
        <v>91</v>
      </c>
      <c r="B92" s="1" t="s">
        <v>1689</v>
      </c>
      <c r="C92" s="1" t="s">
        <v>1496</v>
      </c>
      <c r="D92" s="1">
        <v>46.42</v>
      </c>
      <c r="E92" s="1">
        <v>2.17</v>
      </c>
      <c r="F92" s="1">
        <v>9.86</v>
      </c>
      <c r="G92" s="1">
        <v>0.56000000000000005</v>
      </c>
      <c r="H92" s="1">
        <v>0</v>
      </c>
      <c r="I92" s="2">
        <v>20.7</v>
      </c>
      <c r="J92" s="1">
        <v>0.25</v>
      </c>
      <c r="K92" s="2">
        <v>11.34</v>
      </c>
      <c r="L92" s="2">
        <v>9.3800000000000008</v>
      </c>
      <c r="M92" s="1">
        <v>0.31</v>
      </c>
      <c r="N92" s="1">
        <v>0.87</v>
      </c>
      <c r="O92" s="1">
        <v>0</v>
      </c>
      <c r="P92" s="1">
        <v>0</v>
      </c>
      <c r="Q92" s="1">
        <v>0</v>
      </c>
      <c r="R92" s="1">
        <v>0</v>
      </c>
      <c r="S92" s="1">
        <v>50</v>
      </c>
      <c r="T92" s="1">
        <v>0</v>
      </c>
      <c r="U92" s="1">
        <v>182</v>
      </c>
      <c r="V92" s="1" t="s">
        <v>1605</v>
      </c>
      <c r="W92" s="1" t="s">
        <v>1690</v>
      </c>
    </row>
    <row r="93" spans="1:23" ht="12.4">
      <c r="A93" s="1">
        <v>92</v>
      </c>
      <c r="B93" s="1" t="s">
        <v>1691</v>
      </c>
      <c r="C93" s="1" t="s">
        <v>1496</v>
      </c>
      <c r="D93" s="1">
        <v>44.57</v>
      </c>
      <c r="E93" s="1">
        <v>2.1</v>
      </c>
      <c r="F93" s="1">
        <v>8.69</v>
      </c>
      <c r="G93" s="1">
        <v>0.61</v>
      </c>
      <c r="H93" s="1">
        <v>0</v>
      </c>
      <c r="I93" s="2">
        <v>22.53</v>
      </c>
      <c r="J93" s="1">
        <v>0.28999999999999998</v>
      </c>
      <c r="K93" s="2">
        <v>11.36</v>
      </c>
      <c r="L93" s="2">
        <v>9.4</v>
      </c>
      <c r="M93" s="1">
        <v>0.27</v>
      </c>
      <c r="N93" s="1">
        <v>0.09</v>
      </c>
      <c r="O93" s="1">
        <v>0.06</v>
      </c>
      <c r="P93" s="1">
        <v>0</v>
      </c>
      <c r="Q93" s="1">
        <v>0</v>
      </c>
      <c r="R93" s="1">
        <v>41.9</v>
      </c>
      <c r="S93" s="1">
        <v>0</v>
      </c>
      <c r="T93" s="1">
        <v>10</v>
      </c>
      <c r="U93" s="1">
        <v>0</v>
      </c>
      <c r="V93" s="1" t="s">
        <v>1685</v>
      </c>
      <c r="W93" s="1" t="s">
        <v>1692</v>
      </c>
    </row>
    <row r="94" spans="1:23" ht="12.4">
      <c r="A94" s="1">
        <v>93</v>
      </c>
      <c r="B94" s="1" t="s">
        <v>1693</v>
      </c>
      <c r="C94" s="1" t="s">
        <v>1496</v>
      </c>
      <c r="D94" s="1">
        <v>45.05</v>
      </c>
      <c r="E94" s="1">
        <v>1.98</v>
      </c>
      <c r="F94" s="1">
        <v>10.199999999999999</v>
      </c>
      <c r="G94" s="1">
        <v>0.56000000000000005</v>
      </c>
      <c r="H94" s="1">
        <v>0</v>
      </c>
      <c r="I94" s="2">
        <v>19.79</v>
      </c>
      <c r="J94" s="1">
        <v>0.26</v>
      </c>
      <c r="K94" s="2">
        <v>10.89</v>
      </c>
      <c r="L94" s="2">
        <v>9.8699999999999992</v>
      </c>
      <c r="M94" s="1">
        <v>0.28999999999999998</v>
      </c>
      <c r="N94" s="1">
        <v>0.1</v>
      </c>
      <c r="O94" s="1">
        <v>0.11</v>
      </c>
      <c r="P94" s="1">
        <v>0</v>
      </c>
      <c r="Q94" s="1">
        <v>6.4</v>
      </c>
      <c r="R94" s="1">
        <v>170</v>
      </c>
      <c r="S94" s="1">
        <v>48.9</v>
      </c>
      <c r="T94" s="1">
        <v>0</v>
      </c>
      <c r="U94" s="1">
        <v>200</v>
      </c>
      <c r="V94" s="1" t="s">
        <v>1605</v>
      </c>
      <c r="W94" s="1" t="s">
        <v>1694</v>
      </c>
    </row>
    <row r="95" spans="1:23" ht="12.4">
      <c r="A95" s="1">
        <v>94</v>
      </c>
      <c r="B95" s="1" t="s">
        <v>1695</v>
      </c>
      <c r="C95" s="1" t="s">
        <v>1496</v>
      </c>
      <c r="D95" s="1">
        <v>45.5</v>
      </c>
      <c r="E95" s="1">
        <v>1.1000000000000001</v>
      </c>
      <c r="F95" s="1">
        <v>11.1</v>
      </c>
      <c r="G95" s="1">
        <v>0.52</v>
      </c>
      <c r="H95" s="1">
        <v>0</v>
      </c>
      <c r="I95" s="2">
        <v>20.5</v>
      </c>
      <c r="J95" s="1">
        <v>0</v>
      </c>
      <c r="K95" s="2">
        <v>10.199999999999999</v>
      </c>
      <c r="L95" s="2">
        <v>11</v>
      </c>
      <c r="M95" s="1">
        <v>0.28000000000000003</v>
      </c>
      <c r="N95" s="1">
        <v>0.03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/>
      <c r="W95" s="1" t="s">
        <v>1696</v>
      </c>
    </row>
    <row r="96" spans="1:23" ht="12.4">
      <c r="A96" s="1">
        <v>95</v>
      </c>
      <c r="B96" s="1" t="s">
        <v>1697</v>
      </c>
      <c r="C96" s="1" t="s">
        <v>1496</v>
      </c>
      <c r="D96" s="1">
        <v>45</v>
      </c>
      <c r="E96" s="1">
        <v>0.28999999999999998</v>
      </c>
      <c r="F96" s="1">
        <v>28.2</v>
      </c>
      <c r="G96" s="1">
        <v>7.0000000000000007E-2</v>
      </c>
      <c r="H96" s="1">
        <v>0</v>
      </c>
      <c r="I96" s="2">
        <v>4.28</v>
      </c>
      <c r="J96" s="1">
        <v>0.06</v>
      </c>
      <c r="K96" s="2">
        <v>5.51</v>
      </c>
      <c r="L96" s="2">
        <v>15.9</v>
      </c>
      <c r="M96" s="1">
        <v>0.43</v>
      </c>
      <c r="N96" s="1">
        <v>0.1</v>
      </c>
      <c r="O96" s="1">
        <v>0.8</v>
      </c>
      <c r="P96" s="1">
        <v>0</v>
      </c>
      <c r="Q96" s="1">
        <v>6</v>
      </c>
      <c r="R96" s="1">
        <v>330</v>
      </c>
      <c r="S96" s="1">
        <v>28</v>
      </c>
      <c r="T96" s="1">
        <v>7.55</v>
      </c>
      <c r="U96" s="1">
        <v>0</v>
      </c>
      <c r="V96" s="1" t="s">
        <v>1576</v>
      </c>
      <c r="W96" s="1" t="s">
        <v>1698</v>
      </c>
    </row>
    <row r="97" spans="1:23" ht="12.4">
      <c r="A97" s="1">
        <v>96</v>
      </c>
      <c r="B97" s="1" t="s">
        <v>1699</v>
      </c>
      <c r="C97" s="1" t="s">
        <v>1496</v>
      </c>
      <c r="D97" s="1">
        <v>45.35</v>
      </c>
      <c r="E97" s="1">
        <v>0.6</v>
      </c>
      <c r="F97" s="1">
        <v>26.75</v>
      </c>
      <c r="G97" s="1">
        <v>0</v>
      </c>
      <c r="H97" s="1">
        <v>0</v>
      </c>
      <c r="I97" s="2">
        <v>5.49</v>
      </c>
      <c r="J97" s="1">
        <v>7.0000000000000007E-2</v>
      </c>
      <c r="K97" s="2">
        <v>6.27</v>
      </c>
      <c r="L97" s="2">
        <v>15.46</v>
      </c>
      <c r="M97" s="1">
        <v>0.38</v>
      </c>
      <c r="N97" s="1">
        <v>0.11</v>
      </c>
      <c r="O97" s="1">
        <v>0.13</v>
      </c>
      <c r="P97" s="1">
        <v>0</v>
      </c>
      <c r="Q97" s="1">
        <v>0</v>
      </c>
      <c r="R97" s="1">
        <v>0</v>
      </c>
      <c r="S97" s="1">
        <v>31.4</v>
      </c>
      <c r="T97" s="1">
        <v>0</v>
      </c>
      <c r="U97" s="1">
        <v>0</v>
      </c>
      <c r="V97" s="1" t="s">
        <v>1665</v>
      </c>
      <c r="W97" s="1" t="s">
        <v>1700</v>
      </c>
    </row>
    <row r="98" spans="1:23" ht="12.4">
      <c r="A98" s="1">
        <v>97</v>
      </c>
      <c r="B98" s="1" t="s">
        <v>1701</v>
      </c>
      <c r="C98" s="1" t="s">
        <v>1496</v>
      </c>
      <c r="D98" s="1">
        <v>45.2</v>
      </c>
      <c r="E98" s="1">
        <v>0.57999999999999996</v>
      </c>
      <c r="F98" s="1">
        <v>26.4</v>
      </c>
      <c r="G98" s="1">
        <v>0.13</v>
      </c>
      <c r="H98" s="1">
        <v>0</v>
      </c>
      <c r="I98" s="2">
        <v>5.29</v>
      </c>
      <c r="J98" s="1">
        <v>0.7</v>
      </c>
      <c r="K98" s="2">
        <v>6.1</v>
      </c>
      <c r="L98" s="2">
        <v>15.32</v>
      </c>
      <c r="M98" s="1">
        <v>0.52</v>
      </c>
      <c r="N98" s="1">
        <v>0.14000000000000001</v>
      </c>
      <c r="O98" s="1">
        <v>0.12</v>
      </c>
      <c r="P98" s="1">
        <v>0</v>
      </c>
      <c r="Q98" s="1">
        <v>0</v>
      </c>
      <c r="R98" s="1">
        <v>310</v>
      </c>
      <c r="S98" s="1">
        <v>0</v>
      </c>
      <c r="T98" s="1">
        <v>0</v>
      </c>
      <c r="U98" s="1">
        <v>20</v>
      </c>
      <c r="V98" s="1" t="s">
        <v>1665</v>
      </c>
      <c r="W98" s="1" t="s">
        <v>1702</v>
      </c>
    </row>
    <row r="99" spans="1:23" ht="12.4">
      <c r="A99" s="1">
        <v>98</v>
      </c>
      <c r="B99" s="1" t="s">
        <v>1703</v>
      </c>
      <c r="C99" s="1" t="s">
        <v>1496</v>
      </c>
      <c r="D99" s="1">
        <v>44.71</v>
      </c>
      <c r="E99" s="1">
        <v>0.57999999999999996</v>
      </c>
      <c r="F99" s="1">
        <v>26.26</v>
      </c>
      <c r="G99" s="1">
        <v>0.98</v>
      </c>
      <c r="H99" s="1">
        <v>0</v>
      </c>
      <c r="I99" s="2">
        <v>5.25</v>
      </c>
      <c r="J99" s="1">
        <v>0.65</v>
      </c>
      <c r="K99" s="2">
        <v>6.35</v>
      </c>
      <c r="L99" s="2">
        <v>16.23</v>
      </c>
      <c r="M99" s="1">
        <v>0.43</v>
      </c>
      <c r="N99" s="1">
        <v>0.1</v>
      </c>
      <c r="O99" s="1">
        <v>0</v>
      </c>
      <c r="P99" s="1">
        <v>0</v>
      </c>
      <c r="Q99" s="1">
        <v>0</v>
      </c>
      <c r="R99" s="1">
        <v>305</v>
      </c>
      <c r="S99" s="1">
        <v>22.2</v>
      </c>
      <c r="T99" s="1">
        <v>0</v>
      </c>
      <c r="U99" s="1">
        <v>0</v>
      </c>
      <c r="V99" s="1" t="s">
        <v>1665</v>
      </c>
      <c r="W99" s="1" t="s">
        <v>1704</v>
      </c>
    </row>
    <row r="100" spans="1:23" ht="12.4">
      <c r="A100" s="1">
        <v>99</v>
      </c>
      <c r="B100" s="1" t="s">
        <v>1705</v>
      </c>
      <c r="C100" s="1" t="s">
        <v>1496</v>
      </c>
      <c r="D100" s="1">
        <v>45.35</v>
      </c>
      <c r="E100" s="1">
        <v>0.49</v>
      </c>
      <c r="F100" s="1">
        <v>28.25</v>
      </c>
      <c r="G100" s="1">
        <v>0</v>
      </c>
      <c r="H100" s="1">
        <v>0</v>
      </c>
      <c r="I100" s="2">
        <v>4.55</v>
      </c>
      <c r="J100" s="1">
        <v>0.06</v>
      </c>
      <c r="K100" s="2">
        <v>5.0199999999999996</v>
      </c>
      <c r="L100" s="2">
        <v>16.21</v>
      </c>
      <c r="M100" s="1">
        <v>0.42</v>
      </c>
      <c r="N100" s="1">
        <v>0.09</v>
      </c>
      <c r="O100" s="1">
        <v>0.1</v>
      </c>
      <c r="P100" s="1">
        <v>0</v>
      </c>
      <c r="Q100" s="1">
        <v>0</v>
      </c>
      <c r="R100" s="1">
        <v>0</v>
      </c>
      <c r="S100" s="1">
        <v>17</v>
      </c>
      <c r="T100" s="1">
        <v>0</v>
      </c>
      <c r="U100" s="1">
        <v>0</v>
      </c>
      <c r="V100" s="1" t="s">
        <v>1665</v>
      </c>
      <c r="W100" s="1" t="s">
        <v>1706</v>
      </c>
    </row>
    <row r="101" spans="1:23" ht="12.4">
      <c r="A101" s="1">
        <v>100</v>
      </c>
      <c r="B101" s="1" t="s">
        <v>1707</v>
      </c>
      <c r="C101" s="1" t="s">
        <v>1496</v>
      </c>
      <c r="D101" s="1">
        <v>45.32</v>
      </c>
      <c r="E101" s="1">
        <v>0.56999999999999995</v>
      </c>
      <c r="F101" s="1">
        <v>27.15</v>
      </c>
      <c r="G101" s="1">
        <v>0</v>
      </c>
      <c r="H101" s="1">
        <v>0</v>
      </c>
      <c r="I101" s="2">
        <v>5.33</v>
      </c>
      <c r="J101" s="1">
        <v>7.0000000000000007E-2</v>
      </c>
      <c r="K101" s="2">
        <v>5.75</v>
      </c>
      <c r="L101" s="2">
        <v>15.69</v>
      </c>
      <c r="M101" s="1">
        <v>0.55000000000000004</v>
      </c>
      <c r="N101" s="1">
        <v>0.1</v>
      </c>
      <c r="O101" s="1">
        <v>0.13</v>
      </c>
      <c r="P101" s="1">
        <v>0</v>
      </c>
      <c r="Q101" s="1">
        <v>0</v>
      </c>
      <c r="R101" s="1">
        <v>0</v>
      </c>
      <c r="S101" s="1">
        <v>22.8</v>
      </c>
      <c r="T101" s="1">
        <v>0</v>
      </c>
      <c r="U101" s="1">
        <v>18</v>
      </c>
      <c r="V101" s="1" t="s">
        <v>1665</v>
      </c>
      <c r="W101" s="1" t="s">
        <v>1708</v>
      </c>
    </row>
    <row r="102" spans="1:23" ht="12.4">
      <c r="A102" s="1">
        <v>101</v>
      </c>
      <c r="B102" s="1" t="s">
        <v>1709</v>
      </c>
      <c r="C102" s="1" t="s">
        <v>1496</v>
      </c>
      <c r="D102" s="1">
        <v>44.65</v>
      </c>
      <c r="E102" s="1">
        <v>0.54</v>
      </c>
      <c r="F102" s="1">
        <v>27.12</v>
      </c>
      <c r="G102" s="1">
        <v>0</v>
      </c>
      <c r="H102" s="1">
        <v>0</v>
      </c>
      <c r="I102" s="2">
        <v>5.07</v>
      </c>
      <c r="J102" s="1">
        <v>0.6</v>
      </c>
      <c r="K102" s="2">
        <v>0</v>
      </c>
      <c r="L102" s="2">
        <v>16</v>
      </c>
      <c r="M102" s="1">
        <v>0.45</v>
      </c>
      <c r="N102" s="1">
        <v>0.13</v>
      </c>
      <c r="O102" s="1">
        <v>0</v>
      </c>
      <c r="P102" s="1">
        <v>0</v>
      </c>
      <c r="Q102" s="1">
        <v>0</v>
      </c>
      <c r="R102" s="1">
        <v>440</v>
      </c>
      <c r="S102" s="1">
        <v>26</v>
      </c>
      <c r="T102" s="1">
        <v>0</v>
      </c>
      <c r="U102" s="1">
        <v>27</v>
      </c>
      <c r="V102" s="1" t="s">
        <v>1605</v>
      </c>
      <c r="W102" s="1" t="s">
        <v>1710</v>
      </c>
    </row>
    <row r="103" spans="1:23" ht="12.4">
      <c r="A103" s="1">
        <v>102</v>
      </c>
      <c r="B103" s="1" t="s">
        <v>1711</v>
      </c>
      <c r="C103" s="1" t="s">
        <v>1496</v>
      </c>
      <c r="D103" s="1">
        <v>44.66</v>
      </c>
      <c r="E103" s="1">
        <v>0.56000000000000005</v>
      </c>
      <c r="F103" s="1">
        <v>26.5</v>
      </c>
      <c r="G103" s="1">
        <v>0</v>
      </c>
      <c r="H103" s="1">
        <v>0</v>
      </c>
      <c r="I103" s="2">
        <v>5.31</v>
      </c>
      <c r="J103" s="1">
        <v>7.0000000000000007E-2</v>
      </c>
      <c r="K103" s="2">
        <v>6.08</v>
      </c>
      <c r="L103" s="2">
        <v>15.33</v>
      </c>
      <c r="M103" s="1">
        <v>0.41</v>
      </c>
      <c r="N103" s="1">
        <v>0.11</v>
      </c>
      <c r="O103" s="1">
        <v>0.11</v>
      </c>
      <c r="P103" s="1">
        <v>0</v>
      </c>
      <c r="Q103" s="1">
        <v>0</v>
      </c>
      <c r="R103" s="1">
        <v>0</v>
      </c>
      <c r="S103" s="1">
        <v>35</v>
      </c>
      <c r="T103" s="1">
        <v>0</v>
      </c>
      <c r="U103" s="1">
        <v>0</v>
      </c>
      <c r="V103" s="1" t="s">
        <v>1605</v>
      </c>
      <c r="W103" s="1" t="s">
        <v>1712</v>
      </c>
    </row>
    <row r="104" spans="1:23" ht="12.4">
      <c r="A104" s="1">
        <v>103</v>
      </c>
      <c r="B104" s="1" t="s">
        <v>1713</v>
      </c>
      <c r="C104" s="1" t="s">
        <v>1496</v>
      </c>
      <c r="D104" s="1">
        <v>0</v>
      </c>
      <c r="E104" s="1">
        <v>0</v>
      </c>
      <c r="F104" s="1">
        <v>26.5</v>
      </c>
      <c r="G104" s="1">
        <v>0</v>
      </c>
      <c r="H104" s="1">
        <v>0</v>
      </c>
      <c r="I104" s="2">
        <v>5.6</v>
      </c>
      <c r="J104" s="1">
        <v>0</v>
      </c>
      <c r="K104" s="2">
        <v>6.4</v>
      </c>
      <c r="L104" s="2">
        <v>14.5</v>
      </c>
      <c r="M104" s="1">
        <v>0.44</v>
      </c>
      <c r="N104" s="1">
        <v>0</v>
      </c>
      <c r="O104" s="1">
        <v>0</v>
      </c>
      <c r="P104" s="1">
        <v>0</v>
      </c>
      <c r="Q104" s="1">
        <v>0</v>
      </c>
      <c r="R104" s="1">
        <v>485</v>
      </c>
      <c r="S104" s="1">
        <v>35.5</v>
      </c>
      <c r="T104" s="1">
        <v>0</v>
      </c>
      <c r="U104" s="1">
        <v>22</v>
      </c>
      <c r="V104" s="1" t="s">
        <v>1605</v>
      </c>
      <c r="W104" s="1" t="s">
        <v>1714</v>
      </c>
    </row>
    <row r="105" spans="1:23" ht="12.4">
      <c r="A105" s="1">
        <v>104</v>
      </c>
      <c r="B105" s="1" t="s">
        <v>1715</v>
      </c>
      <c r="C105" s="1" t="s">
        <v>1496</v>
      </c>
      <c r="D105" s="1">
        <v>0</v>
      </c>
      <c r="E105" s="1">
        <v>0.35</v>
      </c>
      <c r="F105" s="1">
        <v>28.93</v>
      </c>
      <c r="G105" s="1">
        <v>0.94</v>
      </c>
      <c r="H105" s="1">
        <v>0</v>
      </c>
      <c r="I105" s="2">
        <v>4.67</v>
      </c>
      <c r="J105" s="1">
        <v>0.68</v>
      </c>
      <c r="K105" s="2">
        <v>6.96</v>
      </c>
      <c r="L105" s="2">
        <v>15.67</v>
      </c>
      <c r="M105" s="1">
        <v>0.56999999999999995</v>
      </c>
      <c r="N105" s="1">
        <v>0.77</v>
      </c>
      <c r="O105" s="1">
        <v>0</v>
      </c>
      <c r="P105" s="1">
        <v>0</v>
      </c>
      <c r="Q105" s="1">
        <v>0</v>
      </c>
      <c r="R105" s="1">
        <v>0</v>
      </c>
      <c r="S105" s="1">
        <v>19.8</v>
      </c>
      <c r="T105" s="1">
        <v>0</v>
      </c>
      <c r="U105" s="1">
        <v>15</v>
      </c>
      <c r="V105" s="1" t="s">
        <v>1605</v>
      </c>
      <c r="W105" s="1" t="s">
        <v>1716</v>
      </c>
    </row>
    <row r="106" spans="1:23" ht="12.4">
      <c r="A106" s="1">
        <v>105</v>
      </c>
      <c r="B106" s="1" t="s">
        <v>1717</v>
      </c>
      <c r="C106" s="1" t="s">
        <v>1496</v>
      </c>
      <c r="D106" s="1">
        <v>0</v>
      </c>
      <c r="E106" s="1">
        <v>0.6</v>
      </c>
      <c r="F106" s="1">
        <v>29</v>
      </c>
      <c r="G106" s="1">
        <v>0.95</v>
      </c>
      <c r="H106" s="1">
        <v>0</v>
      </c>
      <c r="I106" s="2">
        <v>4.53</v>
      </c>
      <c r="J106" s="1">
        <v>0.67</v>
      </c>
      <c r="K106" s="2">
        <v>7.3</v>
      </c>
      <c r="L106" s="2">
        <v>12.45</v>
      </c>
      <c r="M106" s="1">
        <v>0.56000000000000005</v>
      </c>
      <c r="N106" s="1">
        <v>0.15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 t="s">
        <v>1605</v>
      </c>
      <c r="W106" s="1" t="s">
        <v>1718</v>
      </c>
    </row>
    <row r="107" spans="1:23" ht="12.4">
      <c r="A107" s="1">
        <v>106</v>
      </c>
      <c r="B107" s="1" t="s">
        <v>1699</v>
      </c>
      <c r="C107" s="1" t="s">
        <v>1496</v>
      </c>
      <c r="D107" s="1">
        <v>45.02</v>
      </c>
      <c r="E107" s="1">
        <v>0.53</v>
      </c>
      <c r="F107" s="1">
        <v>27.72</v>
      </c>
      <c r="G107" s="1">
        <v>0</v>
      </c>
      <c r="H107" s="1">
        <v>0</v>
      </c>
      <c r="I107" s="2">
        <v>4.72</v>
      </c>
      <c r="J107" s="1">
        <v>0.7</v>
      </c>
      <c r="K107" s="2">
        <v>5.25</v>
      </c>
      <c r="L107" s="2">
        <v>15.87</v>
      </c>
      <c r="M107" s="1">
        <v>0.46</v>
      </c>
      <c r="N107" s="1">
        <v>0.9</v>
      </c>
      <c r="O107" s="1">
        <v>0.1</v>
      </c>
      <c r="P107" s="1">
        <v>0</v>
      </c>
      <c r="Q107" s="1">
        <v>0</v>
      </c>
      <c r="R107" s="1">
        <v>0</v>
      </c>
      <c r="S107" s="1">
        <v>6.19</v>
      </c>
      <c r="T107" s="1">
        <v>0</v>
      </c>
      <c r="U107" s="1">
        <v>0</v>
      </c>
      <c r="V107" s="1" t="s">
        <v>1605</v>
      </c>
      <c r="W107" s="1" t="s">
        <v>1719</v>
      </c>
    </row>
    <row r="108" spans="1:23" ht="12.4">
      <c r="A108" s="1">
        <v>107</v>
      </c>
      <c r="B108" s="1" t="s">
        <v>1720</v>
      </c>
      <c r="C108" s="1" t="s">
        <v>1496</v>
      </c>
      <c r="D108" s="1">
        <v>44.88</v>
      </c>
      <c r="E108" s="1">
        <v>0.55000000000000004</v>
      </c>
      <c r="F108" s="1">
        <v>27.6</v>
      </c>
      <c r="G108" s="1">
        <v>0</v>
      </c>
      <c r="H108" s="1">
        <v>0</v>
      </c>
      <c r="I108" s="2">
        <v>5.03</v>
      </c>
      <c r="J108" s="1">
        <v>0.06</v>
      </c>
      <c r="K108" s="2">
        <v>5.35</v>
      </c>
      <c r="L108" s="2">
        <v>15.81</v>
      </c>
      <c r="M108" s="1">
        <v>0.39</v>
      </c>
      <c r="N108" s="1">
        <v>0.1</v>
      </c>
      <c r="O108" s="1">
        <v>0.13</v>
      </c>
      <c r="P108" s="1">
        <v>0</v>
      </c>
      <c r="Q108" s="1">
        <v>0</v>
      </c>
      <c r="R108" s="1">
        <v>0</v>
      </c>
      <c r="S108" s="1">
        <v>25</v>
      </c>
      <c r="T108" s="1">
        <v>0</v>
      </c>
      <c r="U108" s="1">
        <v>0</v>
      </c>
      <c r="V108" s="1" t="s">
        <v>1605</v>
      </c>
      <c r="W108" s="1" t="s">
        <v>1721</v>
      </c>
    </row>
    <row r="109" spans="1:23" ht="12.4">
      <c r="A109" s="1">
        <v>108</v>
      </c>
      <c r="B109" s="1" t="s">
        <v>1722</v>
      </c>
      <c r="C109" s="1" t="s">
        <v>1496</v>
      </c>
      <c r="D109" s="1">
        <v>0</v>
      </c>
      <c r="E109" s="1">
        <v>0.53</v>
      </c>
      <c r="F109" s="1">
        <v>27.4</v>
      </c>
      <c r="G109" s="1">
        <v>0</v>
      </c>
      <c r="H109" s="1">
        <v>0</v>
      </c>
      <c r="I109" s="2">
        <v>4.16</v>
      </c>
      <c r="J109" s="1">
        <v>0</v>
      </c>
      <c r="K109" s="2">
        <v>4.2699999999999996</v>
      </c>
      <c r="L109" s="2">
        <v>16.600000000000001</v>
      </c>
      <c r="M109" s="1">
        <v>0.47</v>
      </c>
      <c r="N109" s="1">
        <v>0.11</v>
      </c>
      <c r="O109" s="1">
        <v>0</v>
      </c>
      <c r="P109" s="1">
        <v>0</v>
      </c>
      <c r="Q109" s="1">
        <v>0</v>
      </c>
      <c r="R109" s="1">
        <v>290</v>
      </c>
      <c r="S109" s="1">
        <v>21</v>
      </c>
      <c r="T109" s="1">
        <v>0</v>
      </c>
      <c r="U109" s="1">
        <v>0</v>
      </c>
      <c r="V109" s="1" t="s">
        <v>1605</v>
      </c>
      <c r="W109" s="1" t="s">
        <v>1723</v>
      </c>
    </row>
    <row r="110" spans="1:23" ht="12.4">
      <c r="A110" s="1">
        <v>109</v>
      </c>
      <c r="B110" s="1" t="s">
        <v>1724</v>
      </c>
      <c r="C110" s="1" t="s">
        <v>1496</v>
      </c>
      <c r="D110" s="1">
        <v>44.9</v>
      </c>
      <c r="E110" s="1">
        <v>0.47</v>
      </c>
      <c r="F110" s="1">
        <v>27.7</v>
      </c>
      <c r="G110" s="1">
        <v>0.11</v>
      </c>
      <c r="H110" s="1">
        <v>0</v>
      </c>
      <c r="I110" s="2">
        <v>5.01</v>
      </c>
      <c r="J110" s="1">
        <v>0</v>
      </c>
      <c r="K110" s="2">
        <v>5.69</v>
      </c>
      <c r="L110" s="2">
        <v>15.7</v>
      </c>
      <c r="M110" s="1">
        <v>0.51</v>
      </c>
      <c r="N110" s="1">
        <v>0.22</v>
      </c>
      <c r="O110" s="1">
        <v>0.16</v>
      </c>
      <c r="P110" s="1">
        <v>0</v>
      </c>
      <c r="Q110" s="1">
        <v>0</v>
      </c>
      <c r="R110" s="1">
        <v>0</v>
      </c>
      <c r="S110" s="1">
        <v>27</v>
      </c>
      <c r="T110" s="1">
        <v>0</v>
      </c>
      <c r="U110" s="1">
        <v>28</v>
      </c>
      <c r="V110" s="1" t="s">
        <v>1605</v>
      </c>
      <c r="W110" s="1" t="s">
        <v>1725</v>
      </c>
    </row>
    <row r="111" spans="1:23" ht="12.4">
      <c r="A111" s="1">
        <v>110</v>
      </c>
      <c r="B111" s="1" t="s">
        <v>1726</v>
      </c>
      <c r="C111" s="1" t="s">
        <v>1496</v>
      </c>
      <c r="D111" s="1">
        <v>45.5</v>
      </c>
      <c r="E111" s="1">
        <v>0.7</v>
      </c>
      <c r="F111" s="1">
        <v>26.07</v>
      </c>
      <c r="G111" s="1">
        <v>0</v>
      </c>
      <c r="H111" s="1">
        <v>0</v>
      </c>
      <c r="I111" s="2">
        <v>5.96</v>
      </c>
      <c r="J111" s="1">
        <v>0.79</v>
      </c>
      <c r="K111" s="2">
        <v>6.28</v>
      </c>
      <c r="L111" s="2">
        <v>14.97</v>
      </c>
      <c r="M111" s="1">
        <v>0.44</v>
      </c>
      <c r="N111" s="1">
        <v>0.15</v>
      </c>
      <c r="O111" s="1">
        <v>0.16</v>
      </c>
      <c r="P111" s="1">
        <v>0</v>
      </c>
      <c r="Q111" s="1">
        <v>0</v>
      </c>
      <c r="R111" s="1">
        <v>290</v>
      </c>
      <c r="S111" s="1">
        <v>0</v>
      </c>
      <c r="T111" s="1">
        <v>0</v>
      </c>
      <c r="U111" s="1">
        <v>0</v>
      </c>
      <c r="V111" s="1" t="s">
        <v>1605</v>
      </c>
      <c r="W111" s="1" t="s">
        <v>1727</v>
      </c>
    </row>
    <row r="112" spans="1:23" ht="12.4">
      <c r="A112" s="1">
        <v>111</v>
      </c>
      <c r="B112" s="1" t="s">
        <v>1728</v>
      </c>
      <c r="C112" s="1" t="s">
        <v>1496</v>
      </c>
      <c r="D112" s="1">
        <v>45.03</v>
      </c>
      <c r="E112" s="1">
        <v>0.64</v>
      </c>
      <c r="F112" s="1">
        <v>26.47</v>
      </c>
      <c r="G112" s="1">
        <v>0</v>
      </c>
      <c r="H112" s="1">
        <v>0</v>
      </c>
      <c r="I112" s="2">
        <v>5.87</v>
      </c>
      <c r="J112" s="1">
        <v>0.08</v>
      </c>
      <c r="K112" s="2">
        <v>6.02</v>
      </c>
      <c r="L112" s="2">
        <v>15.29</v>
      </c>
      <c r="M112" s="1">
        <v>0.41</v>
      </c>
      <c r="N112" s="1">
        <v>0.12</v>
      </c>
      <c r="O112" s="1">
        <v>0.13</v>
      </c>
      <c r="P112" s="1">
        <v>0</v>
      </c>
      <c r="Q112" s="1">
        <v>0</v>
      </c>
      <c r="R112" s="1">
        <v>510</v>
      </c>
      <c r="S112" s="1">
        <v>31.7</v>
      </c>
      <c r="T112" s="1">
        <v>0</v>
      </c>
      <c r="U112" s="1">
        <v>0</v>
      </c>
      <c r="V112" s="1" t="s">
        <v>1605</v>
      </c>
      <c r="W112" s="1" t="s">
        <v>1729</v>
      </c>
    </row>
    <row r="113" spans="1:23" ht="12.4">
      <c r="A113" s="1">
        <v>112</v>
      </c>
      <c r="B113" s="1" t="s">
        <v>1730</v>
      </c>
      <c r="C113" s="1" t="s">
        <v>1496</v>
      </c>
      <c r="D113" s="1">
        <v>45.07</v>
      </c>
      <c r="E113" s="1">
        <v>0.64</v>
      </c>
      <c r="F113" s="1">
        <v>26.39</v>
      </c>
      <c r="G113" s="1">
        <v>0</v>
      </c>
      <c r="H113" s="1">
        <v>0</v>
      </c>
      <c r="I113" s="2">
        <v>6.08</v>
      </c>
      <c r="J113" s="1">
        <v>0.08</v>
      </c>
      <c r="K113" s="2">
        <v>6.14</v>
      </c>
      <c r="L113" s="2">
        <v>15.29</v>
      </c>
      <c r="M113" s="1">
        <v>0.38</v>
      </c>
      <c r="N113" s="1">
        <v>0.12</v>
      </c>
      <c r="O113" s="1">
        <v>0.15</v>
      </c>
      <c r="P113" s="1">
        <v>0</v>
      </c>
      <c r="Q113" s="1">
        <v>0</v>
      </c>
      <c r="R113" s="1">
        <v>330</v>
      </c>
      <c r="S113" s="1">
        <v>21</v>
      </c>
      <c r="T113" s="1">
        <v>0</v>
      </c>
      <c r="U113" s="1">
        <v>22</v>
      </c>
      <c r="V113" s="1" t="s">
        <v>1605</v>
      </c>
      <c r="W113" s="1" t="s">
        <v>1731</v>
      </c>
    </row>
    <row r="114" spans="1:23" ht="12.4">
      <c r="A114" s="1">
        <v>113</v>
      </c>
      <c r="B114" s="1" t="s">
        <v>1732</v>
      </c>
      <c r="C114" s="1" t="s">
        <v>1496</v>
      </c>
      <c r="D114" s="1">
        <v>45.38</v>
      </c>
      <c r="E114" s="1">
        <v>0.67</v>
      </c>
      <c r="F114" s="1">
        <v>26.22</v>
      </c>
      <c r="G114" s="1">
        <v>0</v>
      </c>
      <c r="H114" s="1">
        <v>0</v>
      </c>
      <c r="I114" s="2">
        <v>5.85</v>
      </c>
      <c r="J114" s="1">
        <v>0.08</v>
      </c>
      <c r="K114" s="2">
        <v>6.39</v>
      </c>
      <c r="L114" s="2">
        <v>15.28</v>
      </c>
      <c r="M114" s="1">
        <v>0.39</v>
      </c>
      <c r="N114" s="1">
        <v>0.13</v>
      </c>
      <c r="O114" s="1">
        <v>0.13</v>
      </c>
      <c r="P114" s="1">
        <v>0</v>
      </c>
      <c r="Q114" s="1">
        <v>0</v>
      </c>
      <c r="R114" s="1">
        <v>348</v>
      </c>
      <c r="S114" s="1">
        <v>21</v>
      </c>
      <c r="T114" s="1">
        <v>0</v>
      </c>
      <c r="U114" s="1">
        <v>19</v>
      </c>
      <c r="V114" s="1" t="s">
        <v>1605</v>
      </c>
      <c r="W114" s="1" t="s">
        <v>1733</v>
      </c>
    </row>
    <row r="115" spans="1:23" ht="12.4">
      <c r="A115" s="1">
        <v>114</v>
      </c>
      <c r="B115" s="1" t="s">
        <v>1734</v>
      </c>
      <c r="C115" s="1" t="s">
        <v>1496</v>
      </c>
      <c r="D115" s="1">
        <v>44.5</v>
      </c>
      <c r="E115" s="1">
        <v>0.34</v>
      </c>
      <c r="F115" s="1">
        <v>29.6</v>
      </c>
      <c r="G115" s="1">
        <v>7.0000000000000007E-2</v>
      </c>
      <c r="H115" s="1">
        <v>0</v>
      </c>
      <c r="I115" s="2">
        <v>3.7</v>
      </c>
      <c r="J115" s="1">
        <v>0.05</v>
      </c>
      <c r="K115" s="2">
        <v>4.0999999999999996</v>
      </c>
      <c r="L115" s="2">
        <v>16.399999999999999</v>
      </c>
      <c r="M115" s="1">
        <v>0.52</v>
      </c>
      <c r="N115" s="1">
        <v>0.05</v>
      </c>
      <c r="O115" s="1">
        <v>0.03</v>
      </c>
      <c r="P115" s="1">
        <v>0</v>
      </c>
      <c r="Q115" s="1">
        <v>2</v>
      </c>
      <c r="R115" s="1">
        <v>80</v>
      </c>
      <c r="S115" s="1">
        <v>10</v>
      </c>
      <c r="T115" s="1">
        <v>6</v>
      </c>
      <c r="U115" s="1">
        <v>0</v>
      </c>
      <c r="V115" s="1" t="s">
        <v>1735</v>
      </c>
      <c r="W115" s="1" t="s">
        <v>1736</v>
      </c>
    </row>
    <row r="116" spans="1:23" ht="12.4">
      <c r="A116" s="1">
        <v>115</v>
      </c>
      <c r="B116" s="1" t="s">
        <v>1737</v>
      </c>
      <c r="C116" s="1" t="s">
        <v>1496</v>
      </c>
      <c r="D116" s="1">
        <v>44.8</v>
      </c>
      <c r="E116" s="1">
        <v>0.25</v>
      </c>
      <c r="F116" s="1">
        <v>31.1</v>
      </c>
      <c r="G116" s="1">
        <v>7.0000000000000007E-2</v>
      </c>
      <c r="H116" s="1">
        <v>0</v>
      </c>
      <c r="I116" s="2">
        <v>4</v>
      </c>
      <c r="J116" s="1">
        <v>0.05</v>
      </c>
      <c r="K116" s="2">
        <v>3</v>
      </c>
      <c r="L116" s="2">
        <v>17.8</v>
      </c>
      <c r="M116" s="1">
        <v>0.37</v>
      </c>
      <c r="N116" s="1">
        <v>0.02</v>
      </c>
      <c r="O116" s="1">
        <v>0.02</v>
      </c>
      <c r="P116" s="1">
        <v>0</v>
      </c>
      <c r="Q116" s="1">
        <v>1.9</v>
      </c>
      <c r="R116" s="1">
        <v>26</v>
      </c>
      <c r="S116" s="1">
        <v>8</v>
      </c>
      <c r="T116" s="1">
        <v>7.5</v>
      </c>
      <c r="U116" s="1">
        <v>0</v>
      </c>
      <c r="V116" s="1" t="s">
        <v>1738</v>
      </c>
      <c r="W116" s="1" t="s">
        <v>1739</v>
      </c>
    </row>
    <row r="117" spans="1:23" ht="12.4">
      <c r="A117" s="1">
        <v>116</v>
      </c>
      <c r="B117" s="1" t="s">
        <v>1740</v>
      </c>
      <c r="C117" s="1" t="s">
        <v>1496</v>
      </c>
      <c r="D117" s="1">
        <v>44.77</v>
      </c>
      <c r="E117" s="1">
        <v>0.37</v>
      </c>
      <c r="F117" s="1">
        <v>28.99</v>
      </c>
      <c r="G117" s="1">
        <v>0</v>
      </c>
      <c r="H117" s="1">
        <v>0</v>
      </c>
      <c r="I117" s="2">
        <v>4.3499999999999996</v>
      </c>
      <c r="J117" s="1">
        <v>7.0000000000000007E-2</v>
      </c>
      <c r="K117" s="2">
        <v>4.2</v>
      </c>
      <c r="L117" s="2">
        <v>16.850000000000001</v>
      </c>
      <c r="M117" s="1">
        <v>0.44</v>
      </c>
      <c r="N117" s="1">
        <v>0.06</v>
      </c>
      <c r="O117" s="1">
        <v>0.05</v>
      </c>
      <c r="P117" s="1">
        <v>0</v>
      </c>
      <c r="Q117" s="1">
        <v>0</v>
      </c>
      <c r="R117" s="1">
        <v>0</v>
      </c>
      <c r="S117" s="1">
        <v>13</v>
      </c>
      <c r="T117" s="1">
        <v>0</v>
      </c>
      <c r="U117" s="1">
        <v>17</v>
      </c>
      <c r="V117" s="1" t="s">
        <v>1605</v>
      </c>
      <c r="W117" s="1" t="s">
        <v>1741</v>
      </c>
    </row>
    <row r="118" spans="1:23" ht="12.4">
      <c r="A118" s="1">
        <v>117</v>
      </c>
      <c r="B118" s="1" t="s">
        <v>1742</v>
      </c>
      <c r="C118" s="1" t="s">
        <v>1496</v>
      </c>
      <c r="D118" s="1">
        <v>44.95</v>
      </c>
      <c r="E118" s="1">
        <v>0.41</v>
      </c>
      <c r="F118" s="1">
        <v>29.01</v>
      </c>
      <c r="G118" s="1">
        <v>0</v>
      </c>
      <c r="H118" s="1">
        <v>0</v>
      </c>
      <c r="I118" s="2">
        <v>4.66</v>
      </c>
      <c r="J118" s="1">
        <v>0.06</v>
      </c>
      <c r="K118" s="2">
        <v>4.2</v>
      </c>
      <c r="L118" s="2">
        <v>16.54</v>
      </c>
      <c r="M118" s="1">
        <v>0.42</v>
      </c>
      <c r="N118" s="1">
        <v>0.06</v>
      </c>
      <c r="O118" s="1">
        <v>0.13</v>
      </c>
      <c r="P118" s="1">
        <v>0</v>
      </c>
      <c r="Q118" s="1">
        <v>0</v>
      </c>
      <c r="R118" s="1">
        <v>0</v>
      </c>
      <c r="S118" s="1">
        <v>14.9</v>
      </c>
      <c r="T118" s="1">
        <v>0</v>
      </c>
      <c r="U118" s="1">
        <v>14</v>
      </c>
      <c r="V118" s="1" t="s">
        <v>1605</v>
      </c>
      <c r="W118" s="1" t="s">
        <v>1743</v>
      </c>
    </row>
    <row r="119" spans="1:23" ht="12.4">
      <c r="A119" s="1">
        <v>118</v>
      </c>
      <c r="B119" s="1" t="s">
        <v>1744</v>
      </c>
      <c r="C119" s="1" t="s">
        <v>1496</v>
      </c>
      <c r="D119" s="1">
        <v>45.28</v>
      </c>
      <c r="E119" s="1">
        <v>0.42</v>
      </c>
      <c r="F119" s="1">
        <v>28.93</v>
      </c>
      <c r="G119" s="1">
        <v>0</v>
      </c>
      <c r="H119" s="1">
        <v>0</v>
      </c>
      <c r="I119" s="2">
        <v>4.09</v>
      </c>
      <c r="J119" s="1">
        <v>0.06</v>
      </c>
      <c r="K119" s="2">
        <v>4.75</v>
      </c>
      <c r="L119" s="2">
        <v>16.399999999999999</v>
      </c>
      <c r="M119" s="1">
        <v>0.44</v>
      </c>
      <c r="N119" s="1">
        <v>7.0000000000000007E-2</v>
      </c>
      <c r="O119" s="1">
        <v>0.06</v>
      </c>
      <c r="P119" s="1">
        <v>0</v>
      </c>
      <c r="Q119" s="1">
        <v>0</v>
      </c>
      <c r="R119" s="1">
        <v>180</v>
      </c>
      <c r="S119" s="1">
        <v>14.4</v>
      </c>
      <c r="T119" s="1">
        <v>0</v>
      </c>
      <c r="U119" s="1">
        <v>0</v>
      </c>
      <c r="V119" s="1" t="s">
        <v>1605</v>
      </c>
      <c r="W119" s="1" t="s">
        <v>1745</v>
      </c>
    </row>
    <row r="120" spans="1:23" ht="12.4">
      <c r="A120" s="1">
        <v>119</v>
      </c>
      <c r="B120" s="1" t="s">
        <v>1746</v>
      </c>
      <c r="C120" s="1" t="s">
        <v>1496</v>
      </c>
      <c r="D120" s="1">
        <v>44.77</v>
      </c>
      <c r="E120" s="1">
        <v>0.44</v>
      </c>
      <c r="F120" s="1">
        <v>28.48</v>
      </c>
      <c r="G120" s="1">
        <v>0</v>
      </c>
      <c r="H120" s="1">
        <v>0</v>
      </c>
      <c r="I120" s="2">
        <v>4.17</v>
      </c>
      <c r="J120" s="1">
        <v>0.06</v>
      </c>
      <c r="K120" s="2">
        <v>4.92</v>
      </c>
      <c r="L120" s="2">
        <v>16.87</v>
      </c>
      <c r="M120" s="1">
        <v>0.52</v>
      </c>
      <c r="N120" s="1">
        <v>7.0000000000000007E-2</v>
      </c>
      <c r="O120" s="1">
        <v>0.08</v>
      </c>
      <c r="P120" s="1">
        <v>0</v>
      </c>
      <c r="Q120" s="1">
        <v>0</v>
      </c>
      <c r="R120" s="1">
        <v>0</v>
      </c>
      <c r="S120" s="1">
        <v>14.9</v>
      </c>
      <c r="T120" s="1">
        <v>0</v>
      </c>
      <c r="U120" s="1">
        <v>27</v>
      </c>
      <c r="V120" s="1" t="s">
        <v>1605</v>
      </c>
      <c r="W120" s="1" t="s">
        <v>1747</v>
      </c>
    </row>
    <row r="121" spans="1:23" ht="12.4">
      <c r="A121" s="1">
        <v>120</v>
      </c>
      <c r="B121" s="1" t="s">
        <v>1748</v>
      </c>
      <c r="C121" s="1" t="s">
        <v>1496</v>
      </c>
      <c r="D121" s="1">
        <v>44.2</v>
      </c>
      <c r="E121" s="1">
        <v>0.26</v>
      </c>
      <c r="F121" s="1">
        <v>29.4</v>
      </c>
      <c r="G121" s="1">
        <v>0</v>
      </c>
      <c r="H121" s="1">
        <v>0</v>
      </c>
      <c r="I121" s="2">
        <v>2.96</v>
      </c>
      <c r="J121" s="1">
        <v>0.6</v>
      </c>
      <c r="K121" s="2">
        <v>3.86</v>
      </c>
      <c r="L121" s="2">
        <v>16.3</v>
      </c>
      <c r="M121" s="1">
        <v>0.73</v>
      </c>
      <c r="N121" s="1">
        <v>0.11</v>
      </c>
      <c r="O121" s="1">
        <v>0</v>
      </c>
      <c r="P121" s="1">
        <v>0</v>
      </c>
      <c r="Q121" s="1">
        <v>0</v>
      </c>
      <c r="R121" s="1">
        <v>0</v>
      </c>
      <c r="S121" s="1">
        <v>15.5</v>
      </c>
      <c r="T121" s="1">
        <v>0</v>
      </c>
      <c r="U121" s="1">
        <v>0</v>
      </c>
      <c r="V121" s="1" t="s">
        <v>1605</v>
      </c>
      <c r="W121" s="1" t="s">
        <v>1749</v>
      </c>
    </row>
    <row r="122" spans="1:23" ht="12.4">
      <c r="A122" s="1">
        <v>121</v>
      </c>
      <c r="B122" s="1" t="s">
        <v>1750</v>
      </c>
      <c r="C122" s="1" t="s">
        <v>1496</v>
      </c>
      <c r="D122" s="1">
        <v>45.75</v>
      </c>
      <c r="E122" s="1">
        <v>0.54</v>
      </c>
      <c r="F122" s="1">
        <v>26.18</v>
      </c>
      <c r="G122" s="1">
        <v>0.09</v>
      </c>
      <c r="H122" s="1">
        <v>0</v>
      </c>
      <c r="I122" s="2">
        <v>4.7300000000000004</v>
      </c>
      <c r="J122" s="1">
        <v>0.06</v>
      </c>
      <c r="K122" s="2">
        <v>6.48</v>
      </c>
      <c r="L122" s="2">
        <v>15.56</v>
      </c>
      <c r="M122" s="1">
        <v>0.53</v>
      </c>
      <c r="N122" s="1">
        <v>0.14000000000000001</v>
      </c>
      <c r="O122" s="1">
        <v>0.1</v>
      </c>
      <c r="P122" s="1">
        <v>0</v>
      </c>
      <c r="Q122" s="1">
        <v>0</v>
      </c>
      <c r="R122" s="1">
        <v>0</v>
      </c>
      <c r="S122" s="1">
        <v>16.3</v>
      </c>
      <c r="T122" s="1">
        <v>0</v>
      </c>
      <c r="U122" s="1">
        <v>0</v>
      </c>
      <c r="V122" s="1" t="s">
        <v>1605</v>
      </c>
      <c r="W122" s="1" t="s">
        <v>1751</v>
      </c>
    </row>
    <row r="123" spans="1:23" ht="12.4">
      <c r="A123" s="1">
        <v>122</v>
      </c>
      <c r="B123" s="1" t="s">
        <v>1752</v>
      </c>
      <c r="C123" s="1" t="s">
        <v>1496</v>
      </c>
      <c r="D123" s="1">
        <v>45.18</v>
      </c>
      <c r="E123" s="1">
        <v>0.57999999999999996</v>
      </c>
      <c r="F123" s="1">
        <v>26.65</v>
      </c>
      <c r="G123" s="1">
        <v>0</v>
      </c>
      <c r="H123" s="1">
        <v>0</v>
      </c>
      <c r="I123" s="2">
        <v>5.48</v>
      </c>
      <c r="J123" s="1">
        <v>7.0000000000000007E-2</v>
      </c>
      <c r="K123" s="2">
        <v>6.28</v>
      </c>
      <c r="L123" s="2">
        <v>15.35</v>
      </c>
      <c r="M123" s="1">
        <v>0.47</v>
      </c>
      <c r="N123" s="1">
        <v>0.11</v>
      </c>
      <c r="O123" s="1">
        <v>0.12</v>
      </c>
      <c r="P123" s="1">
        <v>0</v>
      </c>
      <c r="Q123" s="1">
        <v>0</v>
      </c>
      <c r="R123" s="1">
        <v>560</v>
      </c>
      <c r="S123" s="1">
        <v>34.700000000000003</v>
      </c>
      <c r="T123" s="1">
        <v>0</v>
      </c>
      <c r="U123" s="1">
        <v>0</v>
      </c>
      <c r="V123" s="1" t="s">
        <v>1605</v>
      </c>
      <c r="W123" s="1" t="s">
        <v>1753</v>
      </c>
    </row>
    <row r="124" spans="1:23" ht="12.4">
      <c r="A124" s="1">
        <v>123</v>
      </c>
      <c r="B124" s="1" t="s">
        <v>1754</v>
      </c>
      <c r="C124" s="1" t="s">
        <v>1496</v>
      </c>
      <c r="D124" s="1">
        <v>46</v>
      </c>
      <c r="E124" s="1">
        <v>0.49</v>
      </c>
      <c r="F124" s="1">
        <v>27</v>
      </c>
      <c r="G124" s="1">
        <v>0.1</v>
      </c>
      <c r="H124" s="1">
        <v>0</v>
      </c>
      <c r="I124" s="2">
        <v>5</v>
      </c>
      <c r="J124" s="1">
        <v>0.06</v>
      </c>
      <c r="K124" s="2">
        <v>5.9</v>
      </c>
      <c r="L124" s="2">
        <v>15.4</v>
      </c>
      <c r="M124" s="1">
        <v>0.48</v>
      </c>
      <c r="N124" s="1">
        <v>0.2</v>
      </c>
      <c r="O124" s="1">
        <v>0.18</v>
      </c>
      <c r="P124" s="1">
        <v>0</v>
      </c>
      <c r="Q124" s="1">
        <v>7.8</v>
      </c>
      <c r="R124" s="1">
        <v>300</v>
      </c>
      <c r="S124" s="1">
        <v>40</v>
      </c>
      <c r="T124" s="1">
        <v>2.4500000000000002</v>
      </c>
      <c r="U124" s="1">
        <v>0</v>
      </c>
      <c r="V124" s="1" t="s">
        <v>1755</v>
      </c>
      <c r="W124" s="1" t="s">
        <v>1756</v>
      </c>
    </row>
    <row r="125" spans="1:23" ht="12.4">
      <c r="A125" s="1">
        <v>124</v>
      </c>
      <c r="B125" s="1" t="s">
        <v>1757</v>
      </c>
      <c r="C125" s="1" t="s">
        <v>1496</v>
      </c>
      <c r="D125" s="1">
        <v>45.08</v>
      </c>
      <c r="E125" s="1">
        <v>0.59</v>
      </c>
      <c r="F125" s="1">
        <v>26.49</v>
      </c>
      <c r="G125" s="1">
        <v>0</v>
      </c>
      <c r="H125" s="1">
        <v>0</v>
      </c>
      <c r="I125" s="2">
        <v>5.65</v>
      </c>
      <c r="J125" s="1">
        <v>7.0000000000000007E-2</v>
      </c>
      <c r="K125" s="2">
        <v>6.27</v>
      </c>
      <c r="L125" s="2">
        <v>15.3</v>
      </c>
      <c r="M125" s="1">
        <v>0.41</v>
      </c>
      <c r="N125" s="1">
        <v>0.11</v>
      </c>
      <c r="O125" s="1">
        <v>0.12</v>
      </c>
      <c r="P125" s="1">
        <v>0</v>
      </c>
      <c r="Q125" s="1">
        <v>0</v>
      </c>
      <c r="R125" s="1">
        <v>680</v>
      </c>
      <c r="S125" s="1">
        <v>34</v>
      </c>
      <c r="T125" s="1">
        <v>0</v>
      </c>
      <c r="U125" s="1">
        <v>14</v>
      </c>
      <c r="V125" s="1" t="s">
        <v>1758</v>
      </c>
      <c r="W125" s="1" t="s">
        <v>1759</v>
      </c>
    </row>
    <row r="126" spans="1:23" ht="12.4">
      <c r="A126" s="1">
        <v>125</v>
      </c>
      <c r="B126" s="1" t="s">
        <v>1760</v>
      </c>
      <c r="C126" s="1" t="s">
        <v>1496</v>
      </c>
      <c r="D126" s="1">
        <v>45.2</v>
      </c>
      <c r="E126" s="1">
        <v>0.59</v>
      </c>
      <c r="F126" s="1">
        <v>26.2</v>
      </c>
      <c r="G126" s="1">
        <v>0.14000000000000001</v>
      </c>
      <c r="H126" s="1">
        <v>0</v>
      </c>
      <c r="I126" s="2">
        <v>5.54</v>
      </c>
      <c r="J126" s="1">
        <v>7.0000000000000007E-2</v>
      </c>
      <c r="K126" s="2">
        <v>6.35</v>
      </c>
      <c r="L126" s="2">
        <v>15.35</v>
      </c>
      <c r="M126" s="1">
        <v>0.53</v>
      </c>
      <c r="N126" s="1">
        <v>0.14000000000000001</v>
      </c>
      <c r="O126" s="1">
        <v>0.12</v>
      </c>
      <c r="P126" s="1">
        <v>0</v>
      </c>
      <c r="Q126" s="1">
        <v>0</v>
      </c>
      <c r="R126" s="1">
        <v>348</v>
      </c>
      <c r="S126" s="1">
        <v>21</v>
      </c>
      <c r="T126" s="1">
        <v>0</v>
      </c>
      <c r="U126" s="1">
        <v>19</v>
      </c>
      <c r="V126" s="1" t="s">
        <v>1605</v>
      </c>
      <c r="W126" s="1" t="s">
        <v>1761</v>
      </c>
    </row>
    <row r="127" spans="1:23" ht="12.4">
      <c r="A127" s="1">
        <v>126</v>
      </c>
      <c r="B127" s="1" t="s">
        <v>1762</v>
      </c>
      <c r="C127" s="1" t="s">
        <v>1496</v>
      </c>
      <c r="D127" s="1">
        <v>44.67</v>
      </c>
      <c r="E127" s="1">
        <v>0.63</v>
      </c>
      <c r="F127" s="1">
        <v>26.3</v>
      </c>
      <c r="G127" s="1">
        <v>0.13</v>
      </c>
      <c r="H127" s="1">
        <v>0</v>
      </c>
      <c r="I127" s="2">
        <v>5.76</v>
      </c>
      <c r="J127" s="1">
        <v>7.0000000000000007E-2</v>
      </c>
      <c r="K127" s="2">
        <v>6.35</v>
      </c>
      <c r="L127" s="2">
        <v>15.57</v>
      </c>
      <c r="M127" s="1">
        <v>0.42</v>
      </c>
      <c r="N127" s="1">
        <v>0.14000000000000001</v>
      </c>
      <c r="O127" s="1">
        <v>0.12</v>
      </c>
      <c r="P127" s="1">
        <v>0</v>
      </c>
      <c r="Q127" s="1">
        <v>0</v>
      </c>
      <c r="R127" s="1">
        <v>470</v>
      </c>
      <c r="S127" s="1">
        <v>32.1</v>
      </c>
      <c r="T127" s="1">
        <v>0</v>
      </c>
      <c r="U127" s="1">
        <v>0</v>
      </c>
      <c r="V127" s="1" t="s">
        <v>1605</v>
      </c>
      <c r="W127" s="1" t="s">
        <v>1763</v>
      </c>
    </row>
    <row r="128" spans="1:23" ht="12.4">
      <c r="A128" s="1">
        <v>127</v>
      </c>
      <c r="B128" s="1" t="s">
        <v>1764</v>
      </c>
      <c r="C128" s="1" t="s">
        <v>1496</v>
      </c>
      <c r="D128" s="1">
        <v>44.76</v>
      </c>
      <c r="E128" s="1">
        <v>0.6</v>
      </c>
      <c r="F128" s="1">
        <v>26.35</v>
      </c>
      <c r="G128" s="1">
        <v>0.13</v>
      </c>
      <c r="H128" s="1">
        <v>0</v>
      </c>
      <c r="I128" s="2">
        <v>5.76</v>
      </c>
      <c r="J128" s="1">
        <v>7.0000000000000007E-2</v>
      </c>
      <c r="K128" s="2">
        <v>6.33</v>
      </c>
      <c r="L128" s="2">
        <v>15.55</v>
      </c>
      <c r="M128" s="1">
        <v>0.41</v>
      </c>
      <c r="N128" s="1">
        <v>0.14000000000000001</v>
      </c>
      <c r="O128" s="1">
        <v>0.12</v>
      </c>
      <c r="P128" s="1">
        <v>0</v>
      </c>
      <c r="Q128" s="1">
        <v>0</v>
      </c>
      <c r="R128" s="1">
        <v>600</v>
      </c>
      <c r="S128" s="1">
        <v>47</v>
      </c>
      <c r="T128" s="1">
        <v>0</v>
      </c>
      <c r="U128" s="1">
        <v>29</v>
      </c>
      <c r="V128" s="1" t="s">
        <v>1605</v>
      </c>
      <c r="W128" s="1" t="s">
        <v>1765</v>
      </c>
    </row>
    <row r="129" spans="1:23" ht="12.4">
      <c r="A129" s="1">
        <v>128</v>
      </c>
      <c r="B129" s="1" t="s">
        <v>1766</v>
      </c>
      <c r="C129" s="1" t="s">
        <v>1496</v>
      </c>
      <c r="D129" s="1">
        <v>38.54</v>
      </c>
      <c r="E129" s="1">
        <v>12.99</v>
      </c>
      <c r="F129" s="1">
        <v>8.65</v>
      </c>
      <c r="G129" s="1">
        <v>0.5</v>
      </c>
      <c r="H129" s="1">
        <v>0</v>
      </c>
      <c r="I129" s="2">
        <v>18.25</v>
      </c>
      <c r="J129" s="1">
        <v>0.25</v>
      </c>
      <c r="K129" s="2">
        <v>9.98</v>
      </c>
      <c r="L129" s="2">
        <v>10.28</v>
      </c>
      <c r="M129" s="1">
        <v>0.39</v>
      </c>
      <c r="N129" s="1">
        <v>0.05</v>
      </c>
      <c r="O129" s="1">
        <v>0.05</v>
      </c>
      <c r="P129" s="1">
        <v>0</v>
      </c>
      <c r="Q129" s="1">
        <v>28</v>
      </c>
      <c r="R129" s="1">
        <v>3</v>
      </c>
      <c r="S129" s="1">
        <v>32</v>
      </c>
      <c r="T129" s="1">
        <v>2</v>
      </c>
      <c r="U129" s="1">
        <v>146</v>
      </c>
      <c r="V129" s="1" t="s">
        <v>1767</v>
      </c>
      <c r="W129" s="1" t="s">
        <v>1768</v>
      </c>
    </row>
    <row r="130" spans="1:23" ht="12.4">
      <c r="A130" s="1">
        <v>129</v>
      </c>
      <c r="B130" s="1" t="s">
        <v>1769</v>
      </c>
      <c r="C130" s="1" t="s">
        <v>1496</v>
      </c>
      <c r="D130" s="1">
        <v>40.869999999999997</v>
      </c>
      <c r="E130" s="1">
        <v>8.11</v>
      </c>
      <c r="F130" s="1">
        <v>12.3</v>
      </c>
      <c r="G130" s="1">
        <v>0.44</v>
      </c>
      <c r="H130" s="1">
        <v>0</v>
      </c>
      <c r="I130" s="2">
        <v>16.37</v>
      </c>
      <c r="J130" s="1">
        <v>0.24</v>
      </c>
      <c r="K130" s="2">
        <v>9.82</v>
      </c>
      <c r="L130" s="2">
        <v>11.05</v>
      </c>
      <c r="M130" s="1">
        <v>0.35</v>
      </c>
      <c r="N130" s="1">
        <v>0.08</v>
      </c>
      <c r="O130" s="1">
        <v>0.06</v>
      </c>
      <c r="P130" s="1">
        <v>0</v>
      </c>
      <c r="Q130" s="1">
        <v>0</v>
      </c>
      <c r="R130" s="1">
        <v>191</v>
      </c>
      <c r="S130" s="1">
        <v>0</v>
      </c>
      <c r="T130" s="1">
        <v>0</v>
      </c>
      <c r="U130" s="1">
        <v>0</v>
      </c>
      <c r="V130" s="1" t="s">
        <v>1605</v>
      </c>
      <c r="W130" s="1" t="s">
        <v>1770</v>
      </c>
    </row>
    <row r="131" spans="1:23" ht="12.4">
      <c r="A131" s="1">
        <v>130</v>
      </c>
      <c r="B131" s="1" t="s">
        <v>1771</v>
      </c>
      <c r="C131" s="1" t="s">
        <v>1496</v>
      </c>
      <c r="D131" s="1">
        <v>39.74</v>
      </c>
      <c r="E131" s="1">
        <v>9.57</v>
      </c>
      <c r="F131" s="1">
        <v>10.8</v>
      </c>
      <c r="G131" s="1">
        <v>0.47</v>
      </c>
      <c r="H131" s="1">
        <v>0</v>
      </c>
      <c r="I131" s="2">
        <v>17.73</v>
      </c>
      <c r="J131" s="1">
        <v>0.24</v>
      </c>
      <c r="K131" s="2">
        <v>9.7200000000000006</v>
      </c>
      <c r="L131" s="2">
        <v>10.72</v>
      </c>
      <c r="M131" s="1">
        <v>0.35</v>
      </c>
      <c r="N131" s="1">
        <v>0.08</v>
      </c>
      <c r="O131" s="1">
        <v>7.0000000000000007E-2</v>
      </c>
      <c r="P131" s="1">
        <v>0</v>
      </c>
      <c r="Q131" s="1">
        <v>0</v>
      </c>
      <c r="R131" s="1">
        <v>117</v>
      </c>
      <c r="S131" s="1">
        <v>0</v>
      </c>
      <c r="T131" s="1">
        <v>0</v>
      </c>
      <c r="U131" s="1">
        <v>0</v>
      </c>
      <c r="V131" s="1" t="s">
        <v>1605</v>
      </c>
      <c r="W131" s="1" t="s">
        <v>1772</v>
      </c>
    </row>
    <row r="132" spans="1:23" ht="12.4">
      <c r="A132" s="1">
        <v>131</v>
      </c>
      <c r="B132" s="1" t="s">
        <v>1773</v>
      </c>
      <c r="C132" s="1" t="s">
        <v>1496</v>
      </c>
      <c r="D132" s="1">
        <v>38.14</v>
      </c>
      <c r="E132" s="1">
        <v>13.41</v>
      </c>
      <c r="F132" s="1">
        <v>8.6199999999999992</v>
      </c>
      <c r="G132" s="1">
        <v>0.41</v>
      </c>
      <c r="H132" s="1">
        <v>0</v>
      </c>
      <c r="I132" s="2">
        <v>19.2</v>
      </c>
      <c r="J132" s="1">
        <v>0.26</v>
      </c>
      <c r="K132" s="2">
        <v>9.0399999999999991</v>
      </c>
      <c r="L132" s="2">
        <v>10.77</v>
      </c>
      <c r="M132" s="1">
        <v>0.31</v>
      </c>
      <c r="N132" s="1">
        <v>0.06</v>
      </c>
      <c r="O132" s="1">
        <v>0.08</v>
      </c>
      <c r="P132" s="1">
        <v>0</v>
      </c>
      <c r="Q132" s="1">
        <v>31</v>
      </c>
      <c r="R132" s="1">
        <v>43</v>
      </c>
      <c r="S132" s="1">
        <v>26</v>
      </c>
      <c r="T132" s="1">
        <v>4</v>
      </c>
      <c r="U132" s="1">
        <v>88</v>
      </c>
      <c r="V132" s="1" t="s">
        <v>1774</v>
      </c>
      <c r="W132" s="1" t="s">
        <v>1775</v>
      </c>
    </row>
    <row r="133" spans="1:23" ht="12.4">
      <c r="A133" s="1">
        <v>132</v>
      </c>
      <c r="B133" s="1" t="s">
        <v>1776</v>
      </c>
      <c r="C133" s="1" t="s">
        <v>1496</v>
      </c>
      <c r="D133" s="1">
        <v>40.090000000000003</v>
      </c>
      <c r="E133" s="1">
        <v>9.32</v>
      </c>
      <c r="F133" s="1">
        <v>10.7</v>
      </c>
      <c r="G133" s="1">
        <v>0.49</v>
      </c>
      <c r="H133" s="1">
        <v>0</v>
      </c>
      <c r="I133" s="2">
        <v>17.850000000000001</v>
      </c>
      <c r="J133" s="1">
        <v>0.24</v>
      </c>
      <c r="K133" s="2">
        <v>9.92</v>
      </c>
      <c r="L133" s="2">
        <v>10.59</v>
      </c>
      <c r="M133" s="1">
        <v>0.36</v>
      </c>
      <c r="N133" s="1">
        <v>0.08</v>
      </c>
      <c r="O133" s="1">
        <v>7.0000000000000007E-2</v>
      </c>
      <c r="P133" s="1">
        <v>0</v>
      </c>
      <c r="Q133" s="1">
        <v>0</v>
      </c>
      <c r="R133" s="1">
        <v>50</v>
      </c>
      <c r="S133" s="1">
        <v>26.3</v>
      </c>
      <c r="T133" s="1">
        <v>0</v>
      </c>
      <c r="U133" s="1">
        <v>0</v>
      </c>
      <c r="V133" s="1" t="s">
        <v>1605</v>
      </c>
      <c r="W133" s="1" t="s">
        <v>1777</v>
      </c>
    </row>
    <row r="134" spans="1:23" ht="12.4">
      <c r="A134" s="1">
        <v>133</v>
      </c>
      <c r="B134" s="1" t="s">
        <v>1778</v>
      </c>
      <c r="C134" s="1" t="s">
        <v>1496</v>
      </c>
      <c r="D134" s="1">
        <v>44.91</v>
      </c>
      <c r="E134" s="1">
        <v>1.56</v>
      </c>
      <c r="F134" s="1">
        <v>20.57</v>
      </c>
      <c r="G134" s="1">
        <v>0</v>
      </c>
      <c r="H134" s="1">
        <v>0</v>
      </c>
      <c r="I134" s="2">
        <v>8.65</v>
      </c>
      <c r="J134" s="1">
        <v>0.13</v>
      </c>
      <c r="K134" s="2">
        <v>9.84</v>
      </c>
      <c r="L134" s="2">
        <v>12.82</v>
      </c>
      <c r="M134" s="1">
        <v>0.47</v>
      </c>
      <c r="N134" s="1">
        <v>0.16</v>
      </c>
      <c r="O134" s="1">
        <v>0.15</v>
      </c>
      <c r="P134" s="1">
        <v>0</v>
      </c>
      <c r="Q134" s="1">
        <v>0</v>
      </c>
      <c r="R134" s="1">
        <v>250</v>
      </c>
      <c r="S134" s="1">
        <v>30</v>
      </c>
      <c r="T134" s="1">
        <v>0</v>
      </c>
      <c r="U134" s="1">
        <v>50</v>
      </c>
      <c r="V134" s="1" t="s">
        <v>1779</v>
      </c>
      <c r="W134" s="1" t="s">
        <v>1780</v>
      </c>
    </row>
    <row r="135" spans="1:23" ht="12.4">
      <c r="A135" s="1">
        <v>134</v>
      </c>
      <c r="B135" s="1" t="s">
        <v>1781</v>
      </c>
      <c r="C135" s="1" t="s">
        <v>1496</v>
      </c>
      <c r="D135" s="1">
        <v>41.67</v>
      </c>
      <c r="E135" s="1">
        <v>6.52</v>
      </c>
      <c r="F135" s="1">
        <v>13.57</v>
      </c>
      <c r="G135" s="1">
        <v>0.42</v>
      </c>
      <c r="H135" s="1">
        <v>0</v>
      </c>
      <c r="I135" s="2">
        <v>15.37</v>
      </c>
      <c r="J135" s="1">
        <v>0.21</v>
      </c>
      <c r="K135" s="2">
        <v>10.220000000000001</v>
      </c>
      <c r="L135" s="2">
        <v>11.18</v>
      </c>
      <c r="M135" s="1">
        <v>0.34</v>
      </c>
      <c r="N135" s="1">
        <v>0.09</v>
      </c>
      <c r="O135" s="1">
        <v>0.06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 t="s">
        <v>1605</v>
      </c>
      <c r="W135" s="1" t="s">
        <v>1782</v>
      </c>
    </row>
    <row r="136" spans="1:23" ht="12.4">
      <c r="A136" s="1">
        <v>135</v>
      </c>
      <c r="B136" s="1" t="s">
        <v>1783</v>
      </c>
      <c r="C136" s="1" t="s">
        <v>1496</v>
      </c>
      <c r="D136" s="1">
        <v>39.82</v>
      </c>
      <c r="E136" s="1">
        <v>9.52</v>
      </c>
      <c r="F136" s="1">
        <v>11.13</v>
      </c>
      <c r="G136" s="1">
        <v>0.46</v>
      </c>
      <c r="H136" s="1">
        <v>0</v>
      </c>
      <c r="I136" s="2">
        <v>17.41</v>
      </c>
      <c r="J136" s="1">
        <v>0.25</v>
      </c>
      <c r="K136" s="2">
        <v>9.51</v>
      </c>
      <c r="L136" s="2">
        <v>10.85</v>
      </c>
      <c r="M136" s="1">
        <v>0.32</v>
      </c>
      <c r="N136" s="1">
        <v>7.0000000000000007E-2</v>
      </c>
      <c r="O136" s="1">
        <v>0.06</v>
      </c>
      <c r="P136" s="1">
        <v>0</v>
      </c>
      <c r="Q136" s="1">
        <v>0</v>
      </c>
      <c r="R136" s="1">
        <v>90</v>
      </c>
      <c r="S136" s="1">
        <v>33.1</v>
      </c>
      <c r="T136" s="1">
        <v>0</v>
      </c>
      <c r="U136" s="1">
        <v>0</v>
      </c>
      <c r="V136" s="1" t="s">
        <v>1605</v>
      </c>
      <c r="W136" s="1" t="s">
        <v>1784</v>
      </c>
    </row>
    <row r="137" spans="1:23" ht="12.4">
      <c r="A137" s="1">
        <v>136</v>
      </c>
      <c r="B137" s="1" t="s">
        <v>1785</v>
      </c>
      <c r="C137" s="1" t="s">
        <v>1496</v>
      </c>
      <c r="D137" s="1">
        <v>41.69</v>
      </c>
      <c r="E137" s="1">
        <v>6.13</v>
      </c>
      <c r="F137" s="1">
        <v>13.79</v>
      </c>
      <c r="G137" s="1">
        <v>0.43</v>
      </c>
      <c r="H137" s="1">
        <v>0</v>
      </c>
      <c r="I137" s="2">
        <v>15.11</v>
      </c>
      <c r="J137" s="1">
        <v>0.27</v>
      </c>
      <c r="K137" s="2">
        <v>10.31</v>
      </c>
      <c r="L137" s="2">
        <v>10.73</v>
      </c>
      <c r="M137" s="1">
        <v>0.27</v>
      </c>
      <c r="N137" s="1">
        <v>0.18</v>
      </c>
      <c r="O137" s="1">
        <v>0.06</v>
      </c>
      <c r="P137" s="1">
        <v>0</v>
      </c>
      <c r="Q137" s="1">
        <v>0</v>
      </c>
      <c r="R137" s="1">
        <v>170</v>
      </c>
      <c r="S137" s="1">
        <v>37</v>
      </c>
      <c r="T137" s="1">
        <v>0</v>
      </c>
      <c r="U137" s="1">
        <v>85</v>
      </c>
      <c r="V137" s="1" t="s">
        <v>1605</v>
      </c>
      <c r="W137" s="1" t="s">
        <v>1786</v>
      </c>
    </row>
    <row r="138" spans="1:23" ht="12.4">
      <c r="A138" s="1">
        <v>137</v>
      </c>
      <c r="B138" s="1" t="s">
        <v>1787</v>
      </c>
      <c r="C138" s="1" t="s">
        <v>1496</v>
      </c>
      <c r="D138" s="1">
        <v>43.11</v>
      </c>
      <c r="E138" s="1">
        <v>4.37</v>
      </c>
      <c r="F138" s="1">
        <v>16.100000000000001</v>
      </c>
      <c r="G138" s="1">
        <v>0.37</v>
      </c>
      <c r="H138" s="1">
        <v>0</v>
      </c>
      <c r="I138" s="2">
        <v>13.45</v>
      </c>
      <c r="J138" s="1">
        <v>0.19</v>
      </c>
      <c r="K138" s="2">
        <v>10.25</v>
      </c>
      <c r="L138" s="2">
        <v>11.83</v>
      </c>
      <c r="M138" s="1">
        <v>0.4</v>
      </c>
      <c r="N138" s="1">
        <v>0.12</v>
      </c>
      <c r="O138" s="1">
        <v>0.1</v>
      </c>
      <c r="P138" s="1">
        <v>0</v>
      </c>
      <c r="Q138" s="1">
        <v>0</v>
      </c>
      <c r="R138" s="1">
        <v>271</v>
      </c>
      <c r="S138" s="1">
        <v>0</v>
      </c>
      <c r="T138" s="1">
        <v>0</v>
      </c>
      <c r="U138" s="1">
        <v>0</v>
      </c>
      <c r="V138" s="1" t="s">
        <v>1605</v>
      </c>
      <c r="W138" s="1" t="s">
        <v>1788</v>
      </c>
    </row>
    <row r="139" spans="1:23" ht="12.4">
      <c r="A139" s="1">
        <v>138</v>
      </c>
      <c r="B139" s="1" t="s">
        <v>1789</v>
      </c>
      <c r="C139" s="1" t="s">
        <v>1496</v>
      </c>
      <c r="D139" s="1">
        <v>42.12</v>
      </c>
      <c r="E139" s="1">
        <v>5.21</v>
      </c>
      <c r="F139" s="1">
        <v>14.22</v>
      </c>
      <c r="G139" s="1">
        <v>0.42</v>
      </c>
      <c r="H139" s="1">
        <v>0</v>
      </c>
      <c r="I139" s="2">
        <v>14.86</v>
      </c>
      <c r="J139" s="1">
        <v>0.22</v>
      </c>
      <c r="K139" s="2">
        <v>10.54</v>
      </c>
      <c r="L139" s="2">
        <v>11.17</v>
      </c>
      <c r="M139" s="1">
        <v>0.41</v>
      </c>
      <c r="N139" s="1">
        <v>0.11</v>
      </c>
      <c r="O139" s="1">
        <v>0.08</v>
      </c>
      <c r="P139" s="1">
        <v>0</v>
      </c>
      <c r="Q139" s="1">
        <v>0</v>
      </c>
      <c r="R139" s="1">
        <v>273</v>
      </c>
      <c r="S139" s="1">
        <v>0</v>
      </c>
      <c r="T139" s="1">
        <v>0</v>
      </c>
      <c r="U139" s="1">
        <v>0</v>
      </c>
      <c r="V139" s="1" t="s">
        <v>1605</v>
      </c>
      <c r="W139" s="1" t="s">
        <v>1790</v>
      </c>
    </row>
    <row r="140" spans="1:23" ht="12.4">
      <c r="A140" s="1">
        <v>139</v>
      </c>
      <c r="B140" s="1" t="s">
        <v>1791</v>
      </c>
      <c r="C140" s="1" t="s">
        <v>1496</v>
      </c>
      <c r="D140" s="1">
        <v>45.03</v>
      </c>
      <c r="E140" s="1">
        <v>1.55</v>
      </c>
      <c r="F140" s="1">
        <v>20.51</v>
      </c>
      <c r="G140" s="1">
        <v>0.22</v>
      </c>
      <c r="H140" s="1">
        <v>0</v>
      </c>
      <c r="I140" s="2">
        <v>8.85</v>
      </c>
      <c r="J140" s="1">
        <v>0.13</v>
      </c>
      <c r="K140" s="2">
        <v>9.89</v>
      </c>
      <c r="L140" s="2">
        <v>12.83</v>
      </c>
      <c r="M140" s="1">
        <v>0.46</v>
      </c>
      <c r="N140" s="1">
        <v>0.17</v>
      </c>
      <c r="O140" s="1">
        <v>0.17</v>
      </c>
      <c r="P140" s="1">
        <v>0</v>
      </c>
      <c r="Q140" s="1">
        <v>0</v>
      </c>
      <c r="R140" s="1">
        <v>270</v>
      </c>
      <c r="S140" s="1">
        <v>30</v>
      </c>
      <c r="T140" s="1">
        <v>0</v>
      </c>
      <c r="U140" s="1">
        <v>50</v>
      </c>
      <c r="V140" s="1" t="s">
        <v>1605</v>
      </c>
      <c r="W140" s="1" t="s">
        <v>1792</v>
      </c>
    </row>
    <row r="141" spans="1:23" ht="12.4">
      <c r="A141" s="1">
        <v>140</v>
      </c>
      <c r="B141" s="1" t="s">
        <v>1793</v>
      </c>
      <c r="C141" s="1" t="s">
        <v>1496</v>
      </c>
      <c r="D141" s="1">
        <v>44.48</v>
      </c>
      <c r="E141" s="1">
        <v>1.5</v>
      </c>
      <c r="F141" s="1">
        <v>20.87</v>
      </c>
      <c r="G141" s="1">
        <v>0.21</v>
      </c>
      <c r="H141" s="1">
        <v>0</v>
      </c>
      <c r="I141" s="2">
        <v>8.58</v>
      </c>
      <c r="J141" s="1">
        <v>0.12</v>
      </c>
      <c r="K141" s="2">
        <v>9.69</v>
      </c>
      <c r="L141" s="2">
        <v>12.97</v>
      </c>
      <c r="M141" s="1">
        <v>0.47</v>
      </c>
      <c r="N141" s="1">
        <v>0.17</v>
      </c>
      <c r="O141" s="1">
        <v>0.16</v>
      </c>
      <c r="P141" s="1">
        <v>0</v>
      </c>
      <c r="Q141" s="1">
        <v>0</v>
      </c>
      <c r="R141" s="1">
        <v>230</v>
      </c>
      <c r="S141" s="1">
        <v>30</v>
      </c>
      <c r="T141" s="1">
        <v>0</v>
      </c>
      <c r="U141" s="1">
        <v>50</v>
      </c>
      <c r="V141" s="1" t="s">
        <v>1605</v>
      </c>
      <c r="W141" s="1" t="s">
        <v>1794</v>
      </c>
    </row>
    <row r="142" spans="1:23" ht="12.4">
      <c r="A142" s="1">
        <v>141</v>
      </c>
      <c r="B142" s="1" t="s">
        <v>1795</v>
      </c>
      <c r="C142" s="1" t="s">
        <v>1496</v>
      </c>
      <c r="D142" s="1">
        <v>45.12</v>
      </c>
      <c r="E142" s="1">
        <v>1.56</v>
      </c>
      <c r="F142" s="1">
        <v>20.64</v>
      </c>
      <c r="G142" s="1">
        <v>0.23</v>
      </c>
      <c r="H142" s="1">
        <v>0</v>
      </c>
      <c r="I142" s="2">
        <v>8.77</v>
      </c>
      <c r="J142" s="1">
        <v>0.11</v>
      </c>
      <c r="K142" s="2">
        <v>10.08</v>
      </c>
      <c r="L142" s="2">
        <v>12.86</v>
      </c>
      <c r="M142" s="1">
        <v>0.4</v>
      </c>
      <c r="N142" s="1">
        <v>0.16</v>
      </c>
      <c r="O142" s="1">
        <v>0.13</v>
      </c>
      <c r="P142" s="1">
        <v>0</v>
      </c>
      <c r="Q142" s="1">
        <v>0</v>
      </c>
      <c r="R142" s="1">
        <v>250</v>
      </c>
      <c r="S142" s="1">
        <v>31</v>
      </c>
      <c r="T142" s="1">
        <v>0</v>
      </c>
      <c r="U142" s="1">
        <v>45</v>
      </c>
      <c r="V142" s="1" t="e" cm="1">
        <f t="array" aca="1" ref="V142" ca="1">Chemical_analyses!I/$AB$1/(17.3/$AB$1+23.58/$AC$1+1.59/$AD$1)*100</f>
        <v>#NAME?</v>
      </c>
      <c r="W142" s="1" t="s">
        <v>1796</v>
      </c>
    </row>
    <row r="143" spans="1:23" ht="12.4">
      <c r="A143" s="1">
        <v>142</v>
      </c>
      <c r="B143" s="1" t="s">
        <v>1797</v>
      </c>
      <c r="C143" s="1" t="s">
        <v>1496</v>
      </c>
      <c r="D143" s="1">
        <v>44.87</v>
      </c>
      <c r="E143" s="1">
        <v>1.52</v>
      </c>
      <c r="F143" s="1">
        <v>20.6</v>
      </c>
      <c r="G143" s="1">
        <v>0.23</v>
      </c>
      <c r="H143" s="1">
        <v>0</v>
      </c>
      <c r="I143" s="2">
        <v>8.65</v>
      </c>
      <c r="J143" s="1">
        <v>0.12</v>
      </c>
      <c r="K143" s="2">
        <v>9.9700000000000006</v>
      </c>
      <c r="L143" s="2">
        <v>12.8</v>
      </c>
      <c r="M143" s="1">
        <v>0.4</v>
      </c>
      <c r="N143" s="1">
        <v>0.16</v>
      </c>
      <c r="O143" s="1">
        <v>0.15</v>
      </c>
      <c r="P143" s="1">
        <v>0</v>
      </c>
      <c r="Q143" s="1">
        <v>0</v>
      </c>
      <c r="R143" s="1">
        <v>280.5</v>
      </c>
      <c r="S143" s="1">
        <v>0</v>
      </c>
      <c r="T143" s="1">
        <v>0</v>
      </c>
      <c r="U143" s="1">
        <v>0</v>
      </c>
      <c r="V143" s="1" t="s">
        <v>1648</v>
      </c>
      <c r="W143" s="1" t="s">
        <v>1798</v>
      </c>
    </row>
    <row r="144" spans="1:23" ht="12.4">
      <c r="A144" s="1">
        <v>143</v>
      </c>
      <c r="B144" s="1" t="s">
        <v>1799</v>
      </c>
      <c r="C144" s="1" t="s">
        <v>1496</v>
      </c>
      <c r="D144" s="1">
        <v>45.56</v>
      </c>
      <c r="E144" s="1">
        <v>1.39</v>
      </c>
      <c r="F144" s="1">
        <v>21.23</v>
      </c>
      <c r="G144" s="1">
        <v>0.26</v>
      </c>
      <c r="H144" s="1">
        <v>0</v>
      </c>
      <c r="I144" s="2">
        <v>8.4499999999999993</v>
      </c>
      <c r="J144" s="1">
        <v>0.11</v>
      </c>
      <c r="K144" s="2">
        <v>9.73</v>
      </c>
      <c r="L144" s="2">
        <v>12.82</v>
      </c>
      <c r="M144" s="1">
        <v>0.39</v>
      </c>
      <c r="N144" s="1">
        <v>0.17</v>
      </c>
      <c r="O144" s="1">
        <v>0.15</v>
      </c>
      <c r="P144" s="1">
        <v>0</v>
      </c>
      <c r="Q144" s="1">
        <v>0</v>
      </c>
      <c r="R144" s="1">
        <v>280</v>
      </c>
      <c r="S144" s="1">
        <v>31</v>
      </c>
      <c r="T144" s="1">
        <v>0</v>
      </c>
      <c r="U144" s="1">
        <v>50</v>
      </c>
      <c r="V144" s="1" t="s">
        <v>1648</v>
      </c>
      <c r="W144" s="1" t="s">
        <v>1800</v>
      </c>
    </row>
    <row r="145" spans="1:23" ht="12.4">
      <c r="A145" s="1">
        <v>144</v>
      </c>
      <c r="B145" s="1" t="s">
        <v>1801</v>
      </c>
      <c r="C145" s="1" t="s">
        <v>1496</v>
      </c>
      <c r="D145" s="1">
        <v>45.35</v>
      </c>
      <c r="E145" s="1">
        <v>1.26</v>
      </c>
      <c r="F145" s="1">
        <v>21.56</v>
      </c>
      <c r="G145" s="1">
        <v>0.24</v>
      </c>
      <c r="H145" s="1">
        <v>0</v>
      </c>
      <c r="I145" s="2">
        <v>8.02</v>
      </c>
      <c r="J145" s="1">
        <v>0.11</v>
      </c>
      <c r="K145" s="2">
        <v>10.28</v>
      </c>
      <c r="L145" s="2">
        <v>12.91</v>
      </c>
      <c r="M145" s="1">
        <v>0.38</v>
      </c>
      <c r="N145" s="1">
        <v>0.14000000000000001</v>
      </c>
      <c r="O145" s="1">
        <v>0.12</v>
      </c>
      <c r="P145" s="1">
        <v>0</v>
      </c>
      <c r="Q145" s="1">
        <v>0</v>
      </c>
      <c r="R145" s="1">
        <v>240</v>
      </c>
      <c r="S145" s="1">
        <v>30</v>
      </c>
      <c r="T145" s="1">
        <v>0</v>
      </c>
      <c r="U145" s="1">
        <v>45</v>
      </c>
      <c r="V145" s="1" t="s">
        <v>1648</v>
      </c>
      <c r="W145" s="1" t="s">
        <v>1802</v>
      </c>
    </row>
    <row r="146" spans="1:23" ht="12.4">
      <c r="A146" s="1">
        <v>145</v>
      </c>
      <c r="B146" s="1" t="s">
        <v>1803</v>
      </c>
      <c r="C146" s="1" t="s">
        <v>1496</v>
      </c>
      <c r="D146" s="1">
        <v>45.2</v>
      </c>
      <c r="E146" s="1">
        <v>1.86</v>
      </c>
      <c r="F146" s="1">
        <v>21.03</v>
      </c>
      <c r="G146" s="1">
        <v>0.27</v>
      </c>
      <c r="H146" s="1">
        <v>0</v>
      </c>
      <c r="I146" s="2">
        <v>8.85</v>
      </c>
      <c r="J146" s="1">
        <v>0.11</v>
      </c>
      <c r="K146" s="2">
        <v>8.9700000000000006</v>
      </c>
      <c r="L146" s="2">
        <v>12.86</v>
      </c>
      <c r="M146" s="1">
        <v>0.41</v>
      </c>
      <c r="N146" s="1">
        <v>0.16</v>
      </c>
      <c r="O146" s="1">
        <v>0.15</v>
      </c>
      <c r="P146" s="1">
        <v>0</v>
      </c>
      <c r="Q146" s="1">
        <v>0</v>
      </c>
      <c r="R146" s="1">
        <v>250</v>
      </c>
      <c r="S146" s="1">
        <v>49</v>
      </c>
      <c r="T146" s="1">
        <v>0</v>
      </c>
      <c r="U146" s="1">
        <v>40</v>
      </c>
      <c r="V146" s="1" t="s">
        <v>1804</v>
      </c>
      <c r="W146" s="1" t="s">
        <v>1805</v>
      </c>
    </row>
    <row r="147" spans="1:23" ht="12.4">
      <c r="A147" s="1">
        <v>146</v>
      </c>
      <c r="B147" s="1" t="s">
        <v>1806</v>
      </c>
      <c r="C147" s="1" t="s">
        <v>1496</v>
      </c>
      <c r="D147" s="1">
        <v>44.55</v>
      </c>
      <c r="E147" s="1">
        <v>1.73</v>
      </c>
      <c r="F147" s="1">
        <v>20.2</v>
      </c>
      <c r="G147" s="1">
        <v>0.25</v>
      </c>
      <c r="H147" s="1">
        <v>0</v>
      </c>
      <c r="I147" s="2">
        <v>8.4499999999999993</v>
      </c>
      <c r="J147" s="1">
        <v>0.11</v>
      </c>
      <c r="K147" s="2">
        <v>11.11</v>
      </c>
      <c r="L147" s="2">
        <v>12.9</v>
      </c>
      <c r="M147" s="1">
        <v>0.46</v>
      </c>
      <c r="N147" s="1">
        <v>0.16</v>
      </c>
      <c r="O147" s="1">
        <v>0.15</v>
      </c>
      <c r="P147" s="1">
        <v>0</v>
      </c>
      <c r="Q147" s="1">
        <v>0</v>
      </c>
      <c r="R147" s="1">
        <v>320</v>
      </c>
      <c r="S147" s="1">
        <v>37</v>
      </c>
      <c r="T147" s="1">
        <v>0</v>
      </c>
      <c r="U147" s="1">
        <v>46</v>
      </c>
      <c r="V147" s="1" t="s">
        <v>1648</v>
      </c>
      <c r="W147" s="1" t="s">
        <v>1807</v>
      </c>
    </row>
    <row r="148" spans="1:23" ht="12.4">
      <c r="A148" s="1">
        <v>147</v>
      </c>
      <c r="B148" s="1" t="s">
        <v>1808</v>
      </c>
      <c r="C148" s="1" t="s">
        <v>1496</v>
      </c>
      <c r="D148" s="1">
        <v>45.31</v>
      </c>
      <c r="E148" s="1">
        <v>1.76</v>
      </c>
      <c r="F148" s="1">
        <v>20.23</v>
      </c>
      <c r="G148" s="1">
        <v>0.27</v>
      </c>
      <c r="H148" s="1">
        <v>0</v>
      </c>
      <c r="I148" s="2">
        <v>8.82</v>
      </c>
      <c r="J148" s="1">
        <v>0.11</v>
      </c>
      <c r="K148" s="2">
        <v>9.9499999999999993</v>
      </c>
      <c r="L148" s="2">
        <v>12.91</v>
      </c>
      <c r="M148" s="1">
        <v>0.41</v>
      </c>
      <c r="N148" s="1">
        <v>0.16</v>
      </c>
      <c r="O148" s="1">
        <v>0.14000000000000001</v>
      </c>
      <c r="P148" s="1">
        <v>0</v>
      </c>
      <c r="Q148" s="1">
        <v>0</v>
      </c>
      <c r="R148" s="1">
        <v>380</v>
      </c>
      <c r="S148" s="1">
        <v>46</v>
      </c>
      <c r="T148" s="1">
        <v>0</v>
      </c>
      <c r="U148" s="1">
        <v>42</v>
      </c>
      <c r="V148" s="1" t="s">
        <v>1605</v>
      </c>
      <c r="W148" s="1" t="s">
        <v>1809</v>
      </c>
    </row>
    <row r="149" spans="1:23" ht="12.4">
      <c r="A149" s="1">
        <v>148</v>
      </c>
      <c r="B149" s="1" t="s">
        <v>1810</v>
      </c>
      <c r="C149" s="1" t="s">
        <v>1496</v>
      </c>
      <c r="D149" s="1">
        <v>38.57</v>
      </c>
      <c r="E149" s="1">
        <v>8.81</v>
      </c>
      <c r="F149" s="1">
        <v>6.32</v>
      </c>
      <c r="G149" s="1">
        <v>0.75</v>
      </c>
      <c r="H149" s="1">
        <v>0</v>
      </c>
      <c r="I149" s="2">
        <v>22.04</v>
      </c>
      <c r="J149" s="1">
        <v>0.3</v>
      </c>
      <c r="K149" s="2">
        <v>14.44</v>
      </c>
      <c r="L149" s="2">
        <v>7.68</v>
      </c>
      <c r="M149" s="1">
        <v>0.36</v>
      </c>
      <c r="N149" s="1">
        <v>0.09</v>
      </c>
      <c r="O149" s="1">
        <v>0.04</v>
      </c>
      <c r="P149" s="1">
        <v>0</v>
      </c>
      <c r="Q149" s="1">
        <v>0</v>
      </c>
      <c r="R149" s="1">
        <v>83</v>
      </c>
      <c r="S149" s="1">
        <v>0</v>
      </c>
      <c r="T149" s="1">
        <v>0</v>
      </c>
      <c r="U149" s="1">
        <v>0</v>
      </c>
      <c r="V149" s="1" t="s">
        <v>1605</v>
      </c>
      <c r="W149" s="1" t="s">
        <v>1811</v>
      </c>
    </row>
    <row r="150" spans="1:23" ht="12.4">
      <c r="A150" s="1">
        <v>149</v>
      </c>
      <c r="B150" s="1" t="s">
        <v>1812</v>
      </c>
      <c r="C150" s="1" t="s">
        <v>1496</v>
      </c>
      <c r="D150" s="1">
        <v>40.78</v>
      </c>
      <c r="E150" s="1">
        <v>8.61</v>
      </c>
      <c r="F150" s="1">
        <v>12.54</v>
      </c>
      <c r="G150" s="1">
        <v>0.41</v>
      </c>
      <c r="H150" s="1">
        <v>0</v>
      </c>
      <c r="I150" s="2">
        <v>15.84</v>
      </c>
      <c r="J150" s="1">
        <v>0.24</v>
      </c>
      <c r="K150" s="2">
        <v>9.15</v>
      </c>
      <c r="L150" s="2">
        <v>11.36</v>
      </c>
      <c r="M150" s="1">
        <v>0.38</v>
      </c>
      <c r="N150" s="1">
        <v>0.12</v>
      </c>
      <c r="O150" s="1">
        <v>0.09</v>
      </c>
      <c r="P150" s="1">
        <v>0</v>
      </c>
      <c r="Q150" s="1">
        <v>0</v>
      </c>
      <c r="R150" s="1">
        <v>80</v>
      </c>
      <c r="S150" s="1">
        <v>0</v>
      </c>
      <c r="T150" s="1">
        <v>0</v>
      </c>
      <c r="U150" s="1">
        <v>0</v>
      </c>
      <c r="V150" s="1" t="s">
        <v>1648</v>
      </c>
      <c r="W150" s="1" t="s">
        <v>1813</v>
      </c>
    </row>
    <row r="151" spans="1:23" ht="12.4">
      <c r="A151" s="1">
        <v>150</v>
      </c>
      <c r="B151" s="1" t="s">
        <v>1814</v>
      </c>
      <c r="C151" s="1" t="s">
        <v>1496</v>
      </c>
      <c r="D151" s="1">
        <v>38.43</v>
      </c>
      <c r="E151" s="1">
        <v>12.7</v>
      </c>
      <c r="F151" s="1">
        <v>8.7200000000000006</v>
      </c>
      <c r="G151" s="1">
        <v>0.65</v>
      </c>
      <c r="H151" s="1">
        <v>0</v>
      </c>
      <c r="I151" s="2">
        <v>18.14</v>
      </c>
      <c r="J151" s="1">
        <v>0.26</v>
      </c>
      <c r="K151" s="2">
        <v>10.36</v>
      </c>
      <c r="L151" s="2">
        <v>10.32</v>
      </c>
      <c r="M151" s="1">
        <v>0.35</v>
      </c>
      <c r="N151" s="1">
        <v>7.0000000000000007E-2</v>
      </c>
      <c r="O151" s="1">
        <v>0.06</v>
      </c>
      <c r="P151" s="1">
        <v>0</v>
      </c>
      <c r="Q151" s="1">
        <v>3</v>
      </c>
      <c r="R151" s="1">
        <v>3</v>
      </c>
      <c r="S151" s="1">
        <v>23.5</v>
      </c>
      <c r="T151" s="1">
        <v>2</v>
      </c>
      <c r="U151" s="1">
        <v>79</v>
      </c>
      <c r="V151" s="1" t="s">
        <v>1774</v>
      </c>
      <c r="W151" s="1" t="s">
        <v>1815</v>
      </c>
    </row>
    <row r="152" spans="1:23" ht="12.4">
      <c r="A152" s="1">
        <v>151</v>
      </c>
      <c r="B152" s="1" t="s">
        <v>1816</v>
      </c>
      <c r="C152" s="1" t="s">
        <v>1496</v>
      </c>
      <c r="D152" s="1">
        <v>42.31</v>
      </c>
      <c r="E152" s="1">
        <v>8.9499999999999993</v>
      </c>
      <c r="F152" s="1">
        <v>10.3</v>
      </c>
      <c r="G152" s="1">
        <v>0.21</v>
      </c>
      <c r="H152" s="1">
        <v>0</v>
      </c>
      <c r="I152" s="2">
        <v>18.57</v>
      </c>
      <c r="J152" s="1">
        <v>0.26</v>
      </c>
      <c r="K152" s="2">
        <v>6.28</v>
      </c>
      <c r="L152" s="2">
        <v>12.15</v>
      </c>
      <c r="M152" s="1">
        <v>0.53</v>
      </c>
      <c r="N152" s="1">
        <v>0.06</v>
      </c>
      <c r="O152" s="1">
        <v>0.08</v>
      </c>
      <c r="P152" s="1">
        <v>0</v>
      </c>
      <c r="Q152" s="1">
        <v>2</v>
      </c>
      <c r="R152" s="1">
        <v>2</v>
      </c>
      <c r="S152" s="1">
        <v>16.600000000000001</v>
      </c>
      <c r="T152" s="1">
        <v>2</v>
      </c>
      <c r="U152" s="1">
        <v>19</v>
      </c>
      <c r="V152" s="1" t="s">
        <v>1817</v>
      </c>
      <c r="W152" s="1" t="s">
        <v>1818</v>
      </c>
    </row>
    <row r="153" spans="1:23" ht="12.4">
      <c r="A153" s="1">
        <v>152</v>
      </c>
      <c r="B153" s="1" t="s">
        <v>1819</v>
      </c>
      <c r="C153" s="1" t="s">
        <v>1496</v>
      </c>
      <c r="D153" s="1">
        <v>39.32</v>
      </c>
      <c r="E153" s="1">
        <v>10.31</v>
      </c>
      <c r="F153" s="1">
        <v>10.42</v>
      </c>
      <c r="G153" s="1">
        <v>0.48</v>
      </c>
      <c r="H153" s="1">
        <v>0</v>
      </c>
      <c r="I153" s="2">
        <v>18.190000000000001</v>
      </c>
      <c r="J153" s="1">
        <v>0.25</v>
      </c>
      <c r="K153" s="2">
        <v>9.5299999999999994</v>
      </c>
      <c r="L153" s="2">
        <v>10.72</v>
      </c>
      <c r="M153" s="1">
        <v>0.33</v>
      </c>
      <c r="N153" s="1">
        <v>0.08</v>
      </c>
      <c r="O153" s="1">
        <v>0.06</v>
      </c>
      <c r="P153" s="1">
        <v>0</v>
      </c>
      <c r="Q153" s="1">
        <v>0</v>
      </c>
      <c r="R153" s="1">
        <v>115</v>
      </c>
      <c r="S153" s="1">
        <v>0</v>
      </c>
      <c r="T153" s="1">
        <v>0</v>
      </c>
      <c r="U153" s="1">
        <v>0</v>
      </c>
      <c r="V153" s="1" t="s">
        <v>1820</v>
      </c>
      <c r="W153" s="1" t="s">
        <v>1821</v>
      </c>
    </row>
    <row r="154" spans="1:23" ht="12.4">
      <c r="A154" s="1">
        <v>153</v>
      </c>
      <c r="B154" s="1" t="s">
        <v>1822</v>
      </c>
      <c r="C154" s="1" t="s">
        <v>1496</v>
      </c>
      <c r="D154" s="1">
        <v>40.270000000000003</v>
      </c>
      <c r="E154" s="1">
        <v>9.41</v>
      </c>
      <c r="F154" s="1">
        <v>11.31</v>
      </c>
      <c r="G154" s="1">
        <v>0.46</v>
      </c>
      <c r="H154" s="1">
        <v>0</v>
      </c>
      <c r="I154" s="2">
        <v>17.2</v>
      </c>
      <c r="J154" s="1">
        <v>0.25</v>
      </c>
      <c r="K154" s="2">
        <v>9.59</v>
      </c>
      <c r="L154" s="2">
        <v>10.97</v>
      </c>
      <c r="M154" s="1">
        <v>0.33</v>
      </c>
      <c r="N154" s="1">
        <v>0.08</v>
      </c>
      <c r="O154" s="1">
        <v>7.0000000000000007E-2</v>
      </c>
      <c r="P154" s="1">
        <v>0</v>
      </c>
      <c r="Q154" s="1">
        <v>0</v>
      </c>
      <c r="R154" s="1">
        <v>100</v>
      </c>
      <c r="S154" s="1">
        <v>27</v>
      </c>
      <c r="T154" s="1">
        <v>0</v>
      </c>
      <c r="U154" s="1">
        <v>100</v>
      </c>
      <c r="V154" s="1" t="s">
        <v>1823</v>
      </c>
      <c r="W154" s="1" t="s">
        <v>1824</v>
      </c>
    </row>
    <row r="155" spans="1:23" ht="24.95">
      <c r="A155" s="1">
        <v>154</v>
      </c>
      <c r="B155" s="1" t="s">
        <v>1825</v>
      </c>
      <c r="C155" s="1" t="s">
        <v>1496</v>
      </c>
      <c r="D155" s="1">
        <v>20.2</v>
      </c>
      <c r="E155" s="1">
        <v>1.8</v>
      </c>
      <c r="F155" s="1">
        <v>9</v>
      </c>
      <c r="G155" s="1">
        <v>0</v>
      </c>
      <c r="H155" s="1">
        <v>0</v>
      </c>
      <c r="I155" s="2">
        <v>9.3000000000000007</v>
      </c>
      <c r="J155" s="1">
        <v>0.12</v>
      </c>
      <c r="K155" s="2">
        <v>6.8</v>
      </c>
      <c r="L155" s="2">
        <v>7.6</v>
      </c>
      <c r="M155" s="1">
        <v>0.28999999999999998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38</v>
      </c>
      <c r="T155" s="1">
        <v>0</v>
      </c>
      <c r="U155" s="1">
        <v>0</v>
      </c>
      <c r="V155" s="1" t="s">
        <v>1826</v>
      </c>
      <c r="W155" s="1" t="s">
        <v>1827</v>
      </c>
    </row>
    <row r="156" spans="1:23" ht="12.4">
      <c r="A156" s="1">
        <v>155</v>
      </c>
      <c r="B156" s="1" t="s">
        <v>1828</v>
      </c>
      <c r="C156" s="1" t="s">
        <v>1496</v>
      </c>
      <c r="D156" s="1">
        <v>42.67</v>
      </c>
      <c r="E156" s="1">
        <v>5.47</v>
      </c>
      <c r="F156" s="1">
        <v>15.73</v>
      </c>
      <c r="G156" s="1">
        <v>0.37</v>
      </c>
      <c r="H156" s="1">
        <v>0</v>
      </c>
      <c r="I156" s="2">
        <v>13.15</v>
      </c>
      <c r="J156" s="1">
        <v>0.18</v>
      </c>
      <c r="K156" s="2">
        <v>9.91</v>
      </c>
      <c r="L156" s="2">
        <v>11.77</v>
      </c>
      <c r="M156" s="1">
        <v>0.35</v>
      </c>
      <c r="N156" s="1">
        <v>0.09</v>
      </c>
      <c r="O156" s="1">
        <v>0.05</v>
      </c>
      <c r="P156" s="1">
        <v>0</v>
      </c>
      <c r="Q156" s="1">
        <v>0</v>
      </c>
      <c r="R156" s="1">
        <v>194</v>
      </c>
      <c r="S156" s="1">
        <v>0</v>
      </c>
      <c r="T156" s="1">
        <v>0</v>
      </c>
      <c r="U156" s="1">
        <v>0</v>
      </c>
      <c r="V156" s="1" t="s">
        <v>1826</v>
      </c>
      <c r="W156" s="1" t="s">
        <v>1829</v>
      </c>
    </row>
    <row r="157" spans="1:23" ht="12.4">
      <c r="A157" s="1">
        <v>156</v>
      </c>
      <c r="B157" s="1" t="s">
        <v>1830</v>
      </c>
      <c r="C157" s="1" t="s">
        <v>1496</v>
      </c>
      <c r="D157" s="1">
        <v>43.2</v>
      </c>
      <c r="E157" s="1">
        <v>3.31</v>
      </c>
      <c r="F157" s="1">
        <v>17.850000000000001</v>
      </c>
      <c r="G157" s="1">
        <v>0</v>
      </c>
      <c r="H157" s="1">
        <v>0</v>
      </c>
      <c r="I157" s="2">
        <v>10.92</v>
      </c>
      <c r="J157" s="1">
        <v>0.16</v>
      </c>
      <c r="K157" s="2">
        <v>11.05</v>
      </c>
      <c r="L157" s="2">
        <v>11.97</v>
      </c>
      <c r="M157" s="1">
        <v>0.43</v>
      </c>
      <c r="N157" s="1">
        <v>0.12</v>
      </c>
      <c r="O157" s="1">
        <v>0.09</v>
      </c>
      <c r="P157" s="1">
        <v>0</v>
      </c>
      <c r="Q157" s="1">
        <v>0</v>
      </c>
      <c r="R157" s="1">
        <v>0</v>
      </c>
      <c r="S157" s="1">
        <v>37</v>
      </c>
      <c r="T157" s="1">
        <v>0</v>
      </c>
      <c r="U157" s="1">
        <v>0</v>
      </c>
      <c r="V157" s="1" t="s">
        <v>1823</v>
      </c>
      <c r="W157" s="1" t="s">
        <v>1831</v>
      </c>
    </row>
    <row r="158" spans="1:23" ht="12.4">
      <c r="A158" s="1">
        <v>157</v>
      </c>
      <c r="B158" s="1" t="s">
        <v>1832</v>
      </c>
      <c r="C158" s="1" t="s">
        <v>1496</v>
      </c>
      <c r="D158" s="1">
        <v>43.64</v>
      </c>
      <c r="E158" s="1">
        <v>3.38</v>
      </c>
      <c r="F158" s="1">
        <v>17.96</v>
      </c>
      <c r="G158" s="1">
        <v>0.28000000000000003</v>
      </c>
      <c r="H158" s="1">
        <v>0</v>
      </c>
      <c r="I158" s="2">
        <v>10.93</v>
      </c>
      <c r="J158" s="1">
        <v>0.16</v>
      </c>
      <c r="K158" s="2">
        <v>10.75</v>
      </c>
      <c r="L158" s="2">
        <v>12.11</v>
      </c>
      <c r="M158" s="1">
        <v>0.43</v>
      </c>
      <c r="N158" s="1">
        <v>0.12</v>
      </c>
      <c r="O158" s="1">
        <v>0.11</v>
      </c>
      <c r="P158" s="1">
        <v>0</v>
      </c>
      <c r="Q158" s="1">
        <v>0</v>
      </c>
      <c r="R158" s="1">
        <v>0</v>
      </c>
      <c r="S158" s="1">
        <v>32</v>
      </c>
      <c r="T158" s="1">
        <v>0</v>
      </c>
      <c r="U158" s="1">
        <v>0</v>
      </c>
      <c r="V158" s="1" t="s">
        <v>1826</v>
      </c>
      <c r="W158" s="1" t="s">
        <v>1833</v>
      </c>
    </row>
    <row r="159" spans="1:23" ht="12.4">
      <c r="A159" s="1">
        <v>158</v>
      </c>
      <c r="B159" s="1" t="s">
        <v>1834</v>
      </c>
      <c r="C159" s="1" t="s">
        <v>1496</v>
      </c>
      <c r="D159" s="1">
        <v>44.09</v>
      </c>
      <c r="E159" s="1">
        <v>0.41</v>
      </c>
      <c r="F159" s="1">
        <v>26.59</v>
      </c>
      <c r="G159" s="1">
        <v>0.13</v>
      </c>
      <c r="H159" s="1">
        <v>0</v>
      </c>
      <c r="I159" s="2">
        <v>6.19</v>
      </c>
      <c r="J159" s="1">
        <v>0.08</v>
      </c>
      <c r="K159" s="2">
        <v>0</v>
      </c>
      <c r="L159" s="2">
        <v>15.43</v>
      </c>
      <c r="M159" s="1">
        <v>0.3</v>
      </c>
      <c r="N159" s="1">
        <v>0.06</v>
      </c>
      <c r="O159" s="1">
        <v>0.03</v>
      </c>
      <c r="P159" s="1">
        <v>0</v>
      </c>
      <c r="Q159" s="1">
        <v>0</v>
      </c>
      <c r="R159" s="1">
        <v>443</v>
      </c>
      <c r="S159" s="1">
        <v>0</v>
      </c>
      <c r="T159" s="1">
        <v>2.5</v>
      </c>
      <c r="U159" s="1">
        <v>0</v>
      </c>
      <c r="V159" s="1" t="s">
        <v>1835</v>
      </c>
      <c r="W159" s="1" t="s">
        <v>1836</v>
      </c>
    </row>
    <row r="160" spans="1:23" ht="12.4">
      <c r="A160" s="1">
        <v>159</v>
      </c>
      <c r="B160" s="1" t="s">
        <v>1837</v>
      </c>
      <c r="C160" s="1" t="s">
        <v>1496</v>
      </c>
      <c r="D160" s="1">
        <v>45.57</v>
      </c>
      <c r="E160" s="1">
        <v>0.27</v>
      </c>
      <c r="F160" s="1">
        <v>25.94</v>
      </c>
      <c r="G160" s="1">
        <v>0.14000000000000001</v>
      </c>
      <c r="H160" s="1">
        <v>0</v>
      </c>
      <c r="I160" s="2">
        <v>5.82</v>
      </c>
      <c r="J160" s="1">
        <v>0.1</v>
      </c>
      <c r="K160" s="2">
        <v>6.33</v>
      </c>
      <c r="L160" s="2">
        <v>15.18</v>
      </c>
      <c r="M160" s="1">
        <v>0.33</v>
      </c>
      <c r="N160" s="1">
        <v>0.08</v>
      </c>
      <c r="O160" s="1">
        <v>0.04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 t="s">
        <v>1838</v>
      </c>
      <c r="W160" s="1" t="s">
        <v>1839</v>
      </c>
    </row>
    <row r="161" spans="1:23" ht="12.4">
      <c r="A161" s="1">
        <v>160</v>
      </c>
      <c r="B161" s="1" t="s">
        <v>1840</v>
      </c>
      <c r="C161" s="1" t="s">
        <v>1496</v>
      </c>
      <c r="D161" s="1">
        <v>48.5</v>
      </c>
      <c r="E161" s="1">
        <v>0.7</v>
      </c>
      <c r="F161" s="1">
        <v>5.68</v>
      </c>
      <c r="G161" s="1">
        <v>0.57999999999999996</v>
      </c>
      <c r="H161" s="1">
        <v>0.7</v>
      </c>
      <c r="I161" s="2">
        <v>17.899999999999999</v>
      </c>
      <c r="J161" s="1">
        <v>0.52</v>
      </c>
      <c r="K161" s="2">
        <v>16.600000000000001</v>
      </c>
      <c r="L161" s="2">
        <v>7.1</v>
      </c>
      <c r="M161" s="1">
        <v>0.84</v>
      </c>
      <c r="N161" s="1">
        <v>0.05</v>
      </c>
      <c r="O161" s="1">
        <v>0.65</v>
      </c>
      <c r="P161" s="1">
        <v>0</v>
      </c>
      <c r="Q161" s="1">
        <v>0</v>
      </c>
      <c r="R161" s="1">
        <v>300</v>
      </c>
      <c r="S161" s="1">
        <v>100</v>
      </c>
      <c r="T161" s="1">
        <v>0</v>
      </c>
      <c r="U161" s="1">
        <v>0</v>
      </c>
      <c r="V161" s="1"/>
      <c r="W161" s="1" t="s">
        <v>1841</v>
      </c>
    </row>
    <row r="162" spans="1:23" ht="12.4">
      <c r="A162" s="1">
        <v>161</v>
      </c>
      <c r="B162" s="1" t="s">
        <v>1842</v>
      </c>
      <c r="C162" s="1" t="s">
        <v>1496</v>
      </c>
      <c r="D162" s="1">
        <v>49</v>
      </c>
      <c r="E162" s="1">
        <v>1.23</v>
      </c>
      <c r="F162" s="1">
        <v>9.93</v>
      </c>
      <c r="G162" s="1">
        <v>0.14000000000000001</v>
      </c>
      <c r="H162" s="1">
        <v>0.22</v>
      </c>
      <c r="I162" s="2">
        <v>16.899999999999999</v>
      </c>
      <c r="J162" s="1">
        <v>0.47</v>
      </c>
      <c r="K162" s="2">
        <v>7.32</v>
      </c>
      <c r="L162" s="2">
        <v>11</v>
      </c>
      <c r="M162" s="1">
        <v>1.68</v>
      </c>
      <c r="N162" s="1">
        <v>0.09</v>
      </c>
      <c r="O162" s="1">
        <v>1.25</v>
      </c>
      <c r="P162" s="1">
        <v>0</v>
      </c>
      <c r="Q162" s="1">
        <v>0</v>
      </c>
      <c r="R162" s="1">
        <v>100</v>
      </c>
      <c r="S162" s="1">
        <v>100</v>
      </c>
      <c r="T162" s="1">
        <v>0</v>
      </c>
      <c r="U162" s="1">
        <v>0</v>
      </c>
      <c r="V162" s="1"/>
      <c r="W162" s="1" t="s">
        <v>1843</v>
      </c>
    </row>
    <row r="163" spans="1:23" ht="12.4">
      <c r="A163" s="1">
        <v>162</v>
      </c>
      <c r="B163" s="1" t="s">
        <v>1203</v>
      </c>
      <c r="C163" s="1" t="s">
        <v>1502</v>
      </c>
      <c r="D163" s="1">
        <v>35.35</v>
      </c>
      <c r="E163" s="1">
        <v>0</v>
      </c>
      <c r="F163" s="1">
        <v>0.02</v>
      </c>
      <c r="G163" s="1">
        <v>0</v>
      </c>
      <c r="H163" s="1">
        <v>0</v>
      </c>
      <c r="I163" s="2">
        <v>41.15</v>
      </c>
      <c r="J163" s="1">
        <v>0.54</v>
      </c>
      <c r="K163" s="2">
        <v>23.5</v>
      </c>
      <c r="L163" s="2">
        <v>0.03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/>
      <c r="W163" s="1" t="s">
        <v>1844</v>
      </c>
    </row>
    <row r="164" spans="1:23" ht="12.4">
      <c r="A164" s="1">
        <v>163</v>
      </c>
      <c r="B164" s="1" t="s">
        <v>1326</v>
      </c>
      <c r="C164" s="1" t="s">
        <v>1502</v>
      </c>
      <c r="D164" s="1">
        <v>39.659999999999997</v>
      </c>
      <c r="E164" s="1">
        <v>0.01</v>
      </c>
      <c r="F164" s="1">
        <v>0</v>
      </c>
      <c r="G164" s="1">
        <v>0.06</v>
      </c>
      <c r="H164" s="1">
        <v>0</v>
      </c>
      <c r="I164" s="2">
        <v>19.600000000000001</v>
      </c>
      <c r="J164" s="1">
        <v>0.27</v>
      </c>
      <c r="K164" s="2">
        <v>40.950000000000003</v>
      </c>
      <c r="L164" s="2">
        <v>7.0000000000000007E-2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/>
      <c r="W164" s="1" t="s">
        <v>1845</v>
      </c>
    </row>
    <row r="165" spans="1:23" ht="12.4">
      <c r="A165" s="1">
        <v>164</v>
      </c>
      <c r="B165" s="1" t="s">
        <v>1330</v>
      </c>
      <c r="C165" s="1" t="s">
        <v>1502</v>
      </c>
      <c r="D165" s="1">
        <v>36.799999999999997</v>
      </c>
      <c r="E165" s="1">
        <v>0.03</v>
      </c>
      <c r="F165" s="1">
        <v>0.06</v>
      </c>
      <c r="G165" s="1">
        <v>0</v>
      </c>
      <c r="H165" s="1">
        <v>0</v>
      </c>
      <c r="I165" s="2">
        <v>34.380000000000003</v>
      </c>
      <c r="J165" s="1">
        <v>0.47</v>
      </c>
      <c r="K165" s="2">
        <v>28.8</v>
      </c>
      <c r="L165" s="2">
        <v>0.08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/>
      <c r="W165" s="1" t="s">
        <v>1846</v>
      </c>
    </row>
    <row r="166" spans="1:23" ht="12.4">
      <c r="A166" s="1">
        <v>165</v>
      </c>
      <c r="B166" s="1" t="s">
        <v>1847</v>
      </c>
      <c r="C166" s="1" t="s">
        <v>1502</v>
      </c>
      <c r="D166" s="1">
        <v>31.65</v>
      </c>
      <c r="E166" s="1">
        <v>7.0000000000000007E-2</v>
      </c>
      <c r="F166" s="1">
        <v>0.04</v>
      </c>
      <c r="G166" s="1">
        <v>0</v>
      </c>
      <c r="H166" s="1">
        <v>0</v>
      </c>
      <c r="I166" s="2">
        <v>59.15</v>
      </c>
      <c r="J166" s="1">
        <v>0.94</v>
      </c>
      <c r="K166" s="2">
        <v>8.39</v>
      </c>
      <c r="L166" s="2">
        <v>0.19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/>
      <c r="W166" s="1" t="s">
        <v>1848</v>
      </c>
    </row>
    <row r="167" spans="1:23" ht="12.4">
      <c r="A167" s="1">
        <v>166</v>
      </c>
      <c r="B167" s="1" t="s">
        <v>1334</v>
      </c>
      <c r="C167" s="1" t="s">
        <v>1502</v>
      </c>
      <c r="D167" s="1">
        <v>36.26</v>
      </c>
      <c r="E167" s="1">
        <v>0.02</v>
      </c>
      <c r="F167" s="1">
        <v>0.06</v>
      </c>
      <c r="G167" s="1">
        <v>0</v>
      </c>
      <c r="H167" s="1">
        <v>0</v>
      </c>
      <c r="I167" s="2">
        <v>34.369999999999997</v>
      </c>
      <c r="J167" s="1">
        <v>0.48</v>
      </c>
      <c r="K167" s="2">
        <v>28.05</v>
      </c>
      <c r="L167" s="2">
        <v>0.1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/>
      <c r="W167" s="1" t="s">
        <v>1849</v>
      </c>
    </row>
    <row r="168" spans="1:23" ht="12.4">
      <c r="A168" s="1">
        <v>167</v>
      </c>
      <c r="B168" s="1" t="s">
        <v>1850</v>
      </c>
      <c r="C168" s="1" t="s">
        <v>1502</v>
      </c>
      <c r="D168" s="1">
        <v>32.630000000000003</v>
      </c>
      <c r="E168" s="1">
        <v>0.05</v>
      </c>
      <c r="F168" s="1">
        <v>0.09</v>
      </c>
      <c r="G168" s="1">
        <v>0</v>
      </c>
      <c r="H168" s="1">
        <v>0</v>
      </c>
      <c r="I168" s="2">
        <v>55.5</v>
      </c>
      <c r="J168" s="1">
        <v>0.39</v>
      </c>
      <c r="K168" s="2">
        <v>11.9</v>
      </c>
      <c r="L168" s="2">
        <v>0.11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/>
      <c r="W168" s="1" t="s">
        <v>1851</v>
      </c>
    </row>
    <row r="169" spans="1:23" ht="12.4">
      <c r="A169" s="1">
        <v>168</v>
      </c>
      <c r="B169" s="1" t="s">
        <v>1852</v>
      </c>
      <c r="C169" s="1" t="s">
        <v>1496</v>
      </c>
      <c r="D169" s="1">
        <v>16.47</v>
      </c>
      <c r="E169" s="1">
        <v>0.04</v>
      </c>
      <c r="F169" s="1">
        <v>0.77</v>
      </c>
      <c r="G169" s="1">
        <v>0.23</v>
      </c>
      <c r="H169" s="1">
        <v>0</v>
      </c>
      <c r="I169" s="2">
        <v>33.15</v>
      </c>
      <c r="J169" s="1">
        <v>0.19</v>
      </c>
      <c r="K169" s="2">
        <v>10.54</v>
      </c>
      <c r="L169" s="2">
        <v>0.89</v>
      </c>
      <c r="M169" s="1">
        <v>0.75</v>
      </c>
      <c r="N169" s="1">
        <v>0.09</v>
      </c>
      <c r="O169" s="1">
        <v>0.22</v>
      </c>
      <c r="P169" s="1">
        <v>0</v>
      </c>
      <c r="Q169" s="1">
        <v>0</v>
      </c>
      <c r="R169" s="1">
        <v>1.89</v>
      </c>
      <c r="S169" s="1">
        <v>0.08</v>
      </c>
      <c r="T169" s="1">
        <v>0</v>
      </c>
      <c r="U169" s="1">
        <v>0</v>
      </c>
      <c r="V169" s="1"/>
      <c r="W169" s="1" t="s">
        <v>1853</v>
      </c>
    </row>
    <row r="170" spans="1:23" ht="12.4">
      <c r="A170" s="1">
        <v>169</v>
      </c>
      <c r="B170" s="1" t="s">
        <v>1854</v>
      </c>
      <c r="C170" s="1" t="s">
        <v>1496</v>
      </c>
      <c r="D170" s="1">
        <v>10.5</v>
      </c>
      <c r="E170" s="1">
        <v>0.08</v>
      </c>
      <c r="F170" s="1">
        <v>1.1399999999999999</v>
      </c>
      <c r="G170" s="1">
        <v>0.28999999999999998</v>
      </c>
      <c r="H170" s="1">
        <v>0</v>
      </c>
      <c r="I170" s="2">
        <v>22.05</v>
      </c>
      <c r="J170" s="1">
        <v>0.16</v>
      </c>
      <c r="K170" s="2">
        <v>12.62</v>
      </c>
      <c r="L170" s="2">
        <v>0.94</v>
      </c>
      <c r="M170" s="1">
        <v>7.0000000000000007E-2</v>
      </c>
      <c r="N170" s="1">
        <v>7.0000000000000007E-2</v>
      </c>
      <c r="O170" s="1">
        <v>0.09</v>
      </c>
      <c r="P170" s="1">
        <v>0</v>
      </c>
      <c r="Q170" s="1">
        <v>0</v>
      </c>
      <c r="R170" s="1">
        <v>1.68</v>
      </c>
      <c r="S170" s="1">
        <v>800</v>
      </c>
      <c r="T170" s="1">
        <v>0</v>
      </c>
      <c r="U170" s="1">
        <v>0</v>
      </c>
      <c r="V170" s="1"/>
      <c r="W170" s="1" t="s">
        <v>1855</v>
      </c>
    </row>
    <row r="171" spans="1:23" ht="12.4">
      <c r="A171" s="1">
        <v>170</v>
      </c>
      <c r="B171" s="1" t="s">
        <v>1856</v>
      </c>
      <c r="C171" s="1" t="s">
        <v>1496</v>
      </c>
      <c r="D171" s="1">
        <v>40.32</v>
      </c>
      <c r="E171" s="1">
        <v>0.12</v>
      </c>
      <c r="F171" s="1">
        <v>2.19</v>
      </c>
      <c r="G171" s="1">
        <v>0.52</v>
      </c>
      <c r="H171" s="1">
        <v>0</v>
      </c>
      <c r="I171" s="2">
        <v>12.43</v>
      </c>
      <c r="J171" s="1">
        <v>0.34</v>
      </c>
      <c r="K171" s="2">
        <v>24.94</v>
      </c>
      <c r="L171" s="2">
        <v>1.82</v>
      </c>
      <c r="M171" s="1">
        <v>1</v>
      </c>
      <c r="N171" s="1">
        <v>0.11</v>
      </c>
      <c r="O171" s="1">
        <v>0.18</v>
      </c>
      <c r="P171" s="1">
        <v>0</v>
      </c>
      <c r="Q171" s="1">
        <v>0</v>
      </c>
      <c r="R171" s="1">
        <v>1.21</v>
      </c>
      <c r="S171" s="1">
        <v>600</v>
      </c>
      <c r="T171" s="1">
        <v>0</v>
      </c>
      <c r="U171" s="1">
        <v>0</v>
      </c>
      <c r="V171" s="1" t="s">
        <v>1857</v>
      </c>
      <c r="W171" s="1" t="s">
        <v>1858</v>
      </c>
    </row>
    <row r="172" spans="1:23" ht="12.4">
      <c r="A172" s="1">
        <v>171</v>
      </c>
      <c r="B172" s="1" t="s">
        <v>1859</v>
      </c>
      <c r="C172" s="1" t="s">
        <v>1496</v>
      </c>
      <c r="D172" s="1">
        <v>25.07</v>
      </c>
      <c r="E172" s="1">
        <v>7.0000000000000007E-2</v>
      </c>
      <c r="F172" s="1">
        <v>0.65</v>
      </c>
      <c r="G172" s="1">
        <v>0.59</v>
      </c>
      <c r="H172" s="1">
        <v>0</v>
      </c>
      <c r="I172" s="2">
        <v>12.64</v>
      </c>
      <c r="J172" s="1">
        <v>0.39</v>
      </c>
      <c r="K172" s="2">
        <v>15.62</v>
      </c>
      <c r="L172" s="2">
        <v>1.04</v>
      </c>
      <c r="M172" s="1">
        <v>0.02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/>
      <c r="W172" s="1" t="s">
        <v>1860</v>
      </c>
    </row>
    <row r="173" spans="1:23" ht="12.4">
      <c r="A173" s="1">
        <v>172</v>
      </c>
      <c r="B173" s="1" t="s">
        <v>1861</v>
      </c>
      <c r="C173" s="1" t="s">
        <v>1496</v>
      </c>
      <c r="D173" s="1">
        <v>25.58</v>
      </c>
      <c r="E173" s="1">
        <v>0.04</v>
      </c>
      <c r="F173" s="1">
        <v>0.27</v>
      </c>
      <c r="G173" s="1">
        <v>0.5</v>
      </c>
      <c r="H173" s="1">
        <v>0</v>
      </c>
      <c r="I173" s="2">
        <v>11.77</v>
      </c>
      <c r="J173" s="1">
        <v>0.38</v>
      </c>
      <c r="K173" s="2">
        <v>17.03</v>
      </c>
      <c r="L173" s="2">
        <v>0.54</v>
      </c>
      <c r="M173" s="1">
        <v>0.02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/>
      <c r="W173" s="1" t="s">
        <v>1862</v>
      </c>
    </row>
    <row r="174" spans="1:23" ht="12.4">
      <c r="A174" s="1">
        <v>173</v>
      </c>
      <c r="B174" s="1" t="s">
        <v>1863</v>
      </c>
      <c r="C174" s="1" t="s">
        <v>1496</v>
      </c>
      <c r="D174" s="1">
        <v>24.11</v>
      </c>
      <c r="E174" s="1">
        <v>0.04</v>
      </c>
      <c r="F174" s="1">
        <v>0.32</v>
      </c>
      <c r="G174" s="1">
        <v>1.65</v>
      </c>
      <c r="H174" s="1">
        <v>0</v>
      </c>
      <c r="I174" s="2">
        <v>12.65</v>
      </c>
      <c r="J174" s="1">
        <v>0.43</v>
      </c>
      <c r="K174" s="2">
        <v>15.55</v>
      </c>
      <c r="L174" s="2">
        <v>0.52</v>
      </c>
      <c r="M174" s="1">
        <v>0.03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/>
      <c r="W174" s="1" t="s">
        <v>1864</v>
      </c>
    </row>
    <row r="175" spans="1:23" ht="12.4">
      <c r="A175" s="1">
        <v>174</v>
      </c>
      <c r="B175" s="1" t="s">
        <v>1865</v>
      </c>
      <c r="C175" s="1" t="s">
        <v>1496</v>
      </c>
      <c r="D175" s="1">
        <v>48.24</v>
      </c>
      <c r="E175" s="1">
        <v>0.28999999999999998</v>
      </c>
      <c r="F175" s="1">
        <v>1.45</v>
      </c>
      <c r="G175" s="1">
        <v>0.42</v>
      </c>
      <c r="H175" s="1">
        <v>0</v>
      </c>
      <c r="I175" s="2">
        <v>20.64</v>
      </c>
      <c r="J175" s="1">
        <v>0.54</v>
      </c>
      <c r="K175" s="2">
        <v>12.47</v>
      </c>
      <c r="L175" s="2">
        <v>15.08</v>
      </c>
      <c r="M175" s="1">
        <v>0.42</v>
      </c>
      <c r="N175" s="1">
        <v>0.1</v>
      </c>
      <c r="O175" s="1">
        <v>0.12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/>
      <c r="W175" s="1" t="s">
        <v>1866</v>
      </c>
    </row>
    <row r="176" spans="1:23" ht="12.4">
      <c r="A176" s="1">
        <v>175</v>
      </c>
      <c r="B176" s="1" t="s">
        <v>1867</v>
      </c>
      <c r="C176" s="1" t="s">
        <v>1496</v>
      </c>
      <c r="D176" s="1">
        <v>44.64</v>
      </c>
      <c r="E176" s="1">
        <v>2.2999999999999998</v>
      </c>
      <c r="F176" s="1">
        <v>9.85</v>
      </c>
      <c r="G176" s="1">
        <v>0.28999999999999998</v>
      </c>
      <c r="H176" s="1">
        <v>0</v>
      </c>
      <c r="I176" s="2">
        <v>8.1</v>
      </c>
      <c r="J176" s="1">
        <v>0.08</v>
      </c>
      <c r="K176" s="2">
        <v>11.4</v>
      </c>
      <c r="L176" s="2">
        <v>23.3</v>
      </c>
      <c r="M176" s="1">
        <v>0.04</v>
      </c>
      <c r="N176" s="1">
        <v>0.01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/>
      <c r="W176" s="1" t="s">
        <v>1868</v>
      </c>
    </row>
    <row r="177" spans="1:23" ht="12.4">
      <c r="A177" s="1">
        <v>176</v>
      </c>
      <c r="B177" s="1" t="s">
        <v>1869</v>
      </c>
      <c r="C177" s="1" t="s">
        <v>1496</v>
      </c>
      <c r="D177" s="1">
        <v>37</v>
      </c>
      <c r="E177" s="1">
        <v>7.0000000000000007E-2</v>
      </c>
      <c r="F177" s="1">
        <v>0.36</v>
      </c>
      <c r="G177" s="1">
        <v>0.83</v>
      </c>
      <c r="H177" s="1">
        <v>0</v>
      </c>
      <c r="I177" s="2">
        <v>27.44</v>
      </c>
      <c r="J177" s="1">
        <v>0.53</v>
      </c>
      <c r="K177" s="2">
        <v>32.83</v>
      </c>
      <c r="L177" s="2">
        <v>1.99</v>
      </c>
      <c r="M177" s="1">
        <v>0.15</v>
      </c>
      <c r="N177" s="1">
        <v>0.03</v>
      </c>
      <c r="O177" s="1">
        <v>0.04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/>
      <c r="W177" s="1" t="s">
        <v>1870</v>
      </c>
    </row>
    <row r="178" spans="1:23" ht="12.4">
      <c r="A178" s="1">
        <v>177</v>
      </c>
      <c r="B178" s="1" t="s">
        <v>1871</v>
      </c>
      <c r="C178" s="1" t="s">
        <v>1496</v>
      </c>
      <c r="D178" s="1">
        <v>10.55</v>
      </c>
      <c r="E178" s="1">
        <v>0.04</v>
      </c>
      <c r="F178" s="1">
        <v>0.87</v>
      </c>
      <c r="G178" s="1">
        <v>0.25</v>
      </c>
      <c r="H178" s="1">
        <v>0</v>
      </c>
      <c r="I178" s="2">
        <v>18.28</v>
      </c>
      <c r="J178" s="1">
        <v>0.15</v>
      </c>
      <c r="K178" s="2">
        <v>9.5399999999999991</v>
      </c>
      <c r="L178" s="2">
        <v>0.87</v>
      </c>
      <c r="M178" s="1">
        <v>0.05</v>
      </c>
      <c r="N178" s="1">
        <v>0.06</v>
      </c>
      <c r="O178" s="1">
        <v>0.12</v>
      </c>
      <c r="P178" s="1">
        <v>0</v>
      </c>
      <c r="Q178" s="1">
        <v>0</v>
      </c>
      <c r="R178" s="1">
        <v>0</v>
      </c>
      <c r="S178" s="1">
        <v>500</v>
      </c>
      <c r="T178" s="1">
        <v>0</v>
      </c>
      <c r="U178" s="1">
        <v>0</v>
      </c>
      <c r="V178" s="1"/>
      <c r="W178" s="1" t="s">
        <v>1872</v>
      </c>
    </row>
    <row r="179" spans="1:23" ht="12.4">
      <c r="A179" s="1">
        <v>178</v>
      </c>
      <c r="B179" s="1" t="s">
        <v>1873</v>
      </c>
      <c r="C179" s="1" t="s">
        <v>1496</v>
      </c>
      <c r="D179" s="1">
        <v>13</v>
      </c>
      <c r="E179" s="1">
        <v>0.05</v>
      </c>
      <c r="F179" s="1">
        <v>1.1399999999999999</v>
      </c>
      <c r="G179" s="1">
        <v>0.25</v>
      </c>
      <c r="H179" s="1">
        <v>0</v>
      </c>
      <c r="I179" s="2">
        <v>21.2</v>
      </c>
      <c r="J179" s="1">
        <v>0.16</v>
      </c>
      <c r="K179" s="2">
        <v>11.73</v>
      </c>
      <c r="L179" s="2">
        <v>1.18</v>
      </c>
      <c r="M179" s="1">
        <v>0.04</v>
      </c>
      <c r="N179" s="1">
        <v>0.04</v>
      </c>
      <c r="O179" s="1">
        <v>0.13</v>
      </c>
      <c r="P179" s="1">
        <v>0</v>
      </c>
      <c r="Q179" s="1">
        <v>0</v>
      </c>
      <c r="R179" s="1">
        <v>0</v>
      </c>
      <c r="S179" s="1">
        <v>600</v>
      </c>
      <c r="T179" s="1">
        <v>0</v>
      </c>
      <c r="U179" s="1">
        <v>0</v>
      </c>
      <c r="V179" s="1"/>
      <c r="W179" s="1" t="s">
        <v>1874</v>
      </c>
    </row>
    <row r="180" spans="1:23" ht="12.4">
      <c r="A180" s="1">
        <v>179</v>
      </c>
      <c r="B180" s="1" t="s">
        <v>1875</v>
      </c>
      <c r="C180" s="1" t="s">
        <v>1496</v>
      </c>
      <c r="D180" s="1">
        <v>15.6</v>
      </c>
      <c r="E180" s="1">
        <v>0.11</v>
      </c>
      <c r="F180" s="1">
        <v>1.35</v>
      </c>
      <c r="G180" s="1">
        <v>0.38</v>
      </c>
      <c r="H180" s="1">
        <v>0</v>
      </c>
      <c r="I180" s="2">
        <v>25.83</v>
      </c>
      <c r="J180" s="1">
        <v>0.18</v>
      </c>
      <c r="K180" s="2">
        <v>14.66</v>
      </c>
      <c r="L180" s="2">
        <v>1.4</v>
      </c>
      <c r="M180" s="1">
        <v>0.41</v>
      </c>
      <c r="N180" s="1">
        <v>0.14000000000000001</v>
      </c>
      <c r="O180" s="1">
        <v>0.15</v>
      </c>
      <c r="P180" s="1">
        <v>0</v>
      </c>
      <c r="Q180" s="1">
        <v>0</v>
      </c>
      <c r="R180" s="1">
        <v>1.36</v>
      </c>
      <c r="S180" s="1">
        <v>820</v>
      </c>
      <c r="T180" s="1">
        <v>0</v>
      </c>
      <c r="U180" s="1">
        <v>0</v>
      </c>
      <c r="V180" s="1"/>
      <c r="W180" s="1" t="s">
        <v>1876</v>
      </c>
    </row>
    <row r="181" spans="1:23" ht="12.4">
      <c r="A181" s="1">
        <v>180</v>
      </c>
      <c r="B181" s="1" t="s">
        <v>1877</v>
      </c>
      <c r="C181" s="1" t="s">
        <v>1496</v>
      </c>
      <c r="D181" s="1">
        <v>15.62</v>
      </c>
      <c r="E181" s="1">
        <v>0.06</v>
      </c>
      <c r="F181" s="1">
        <v>1.32</v>
      </c>
      <c r="G181" s="1">
        <v>0.36</v>
      </c>
      <c r="H181" s="1">
        <v>0</v>
      </c>
      <c r="I181" s="2">
        <v>19.62</v>
      </c>
      <c r="J181" s="1">
        <v>0.15</v>
      </c>
      <c r="K181" s="2">
        <v>14.4</v>
      </c>
      <c r="L181" s="2">
        <v>1.83</v>
      </c>
      <c r="M181" s="1">
        <v>0.03</v>
      </c>
      <c r="N181" s="1">
        <v>0.03</v>
      </c>
      <c r="O181" s="1">
        <v>0.16</v>
      </c>
      <c r="P181" s="1">
        <v>0</v>
      </c>
      <c r="Q181" s="1">
        <v>97</v>
      </c>
      <c r="R181" s="1">
        <v>0</v>
      </c>
      <c r="S181" s="1">
        <v>600</v>
      </c>
      <c r="T181" s="1">
        <v>80</v>
      </c>
      <c r="U181" s="1">
        <v>0</v>
      </c>
      <c r="V181" s="1"/>
      <c r="W181" s="1" t="s">
        <v>1878</v>
      </c>
    </row>
    <row r="182" spans="1:23" ht="12.4">
      <c r="A182" s="1">
        <v>181</v>
      </c>
      <c r="B182" s="1" t="s">
        <v>1879</v>
      </c>
      <c r="C182" s="1" t="s">
        <v>1496</v>
      </c>
      <c r="D182" s="1">
        <v>45.8</v>
      </c>
      <c r="E182" s="1">
        <v>0</v>
      </c>
      <c r="F182" s="1">
        <v>2.4300000000000002</v>
      </c>
      <c r="G182" s="1">
        <v>0</v>
      </c>
      <c r="H182" s="1">
        <v>0</v>
      </c>
      <c r="I182" s="2">
        <v>11.4</v>
      </c>
      <c r="J182" s="1">
        <v>0</v>
      </c>
      <c r="K182" s="2">
        <v>28.7</v>
      </c>
      <c r="L182" s="2">
        <v>2.06</v>
      </c>
      <c r="M182" s="1">
        <v>1.06</v>
      </c>
      <c r="N182" s="1">
        <v>0</v>
      </c>
      <c r="O182" s="1">
        <v>0</v>
      </c>
      <c r="P182" s="1">
        <v>0</v>
      </c>
      <c r="Q182" s="1">
        <v>96</v>
      </c>
      <c r="R182" s="1">
        <v>0</v>
      </c>
      <c r="S182" s="1">
        <v>830</v>
      </c>
      <c r="T182" s="1">
        <v>0</v>
      </c>
      <c r="U182" s="1">
        <v>0</v>
      </c>
      <c r="V182" s="1"/>
      <c r="W182" s="1" t="s">
        <v>1880</v>
      </c>
    </row>
    <row r="183" spans="1:23" ht="12.4">
      <c r="A183" s="1">
        <v>182</v>
      </c>
      <c r="B183" s="1" t="s">
        <v>1879</v>
      </c>
      <c r="C183" s="1" t="s">
        <v>1496</v>
      </c>
      <c r="D183" s="1">
        <v>36.01</v>
      </c>
      <c r="E183" s="1">
        <v>0.09</v>
      </c>
      <c r="F183" s="1">
        <v>2</v>
      </c>
      <c r="G183" s="1">
        <v>0.24</v>
      </c>
      <c r="H183" s="1">
        <v>0</v>
      </c>
      <c r="I183" s="2">
        <v>9.49</v>
      </c>
      <c r="J183" s="1">
        <v>0.28000000000000003</v>
      </c>
      <c r="K183" s="2">
        <v>23.05</v>
      </c>
      <c r="L183" s="2">
        <v>1.62</v>
      </c>
      <c r="M183" s="1">
        <v>0.92</v>
      </c>
      <c r="N183" s="1">
        <v>0.09</v>
      </c>
      <c r="O183" s="1">
        <v>0.16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/>
      <c r="W183" s="1" t="s">
        <v>1881</v>
      </c>
    </row>
    <row r="184" spans="1:23" ht="12.4">
      <c r="A184" s="1">
        <v>183</v>
      </c>
      <c r="B184" s="1" t="s">
        <v>1882</v>
      </c>
      <c r="C184" s="1" t="s">
        <v>1496</v>
      </c>
      <c r="D184" s="1">
        <v>31.62</v>
      </c>
      <c r="E184" s="1">
        <v>0.03</v>
      </c>
      <c r="F184" s="1">
        <v>1.54</v>
      </c>
      <c r="G184" s="1">
        <v>0.13</v>
      </c>
      <c r="H184" s="1">
        <v>0</v>
      </c>
      <c r="I184" s="2">
        <v>0.14000000000000001</v>
      </c>
      <c r="J184" s="1">
        <v>0.04</v>
      </c>
      <c r="K184" s="2">
        <v>20.9</v>
      </c>
      <c r="L184" s="2">
        <v>1</v>
      </c>
      <c r="M184" s="1">
        <v>0.44</v>
      </c>
      <c r="N184" s="1">
        <v>0.06</v>
      </c>
      <c r="O184" s="1">
        <v>0.01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/>
      <c r="W184" s="1" t="s">
        <v>1883</v>
      </c>
    </row>
    <row r="185" spans="1:23" ht="24.95">
      <c r="A185" s="1">
        <v>184</v>
      </c>
      <c r="B185" s="1" t="s">
        <v>1884</v>
      </c>
      <c r="C185" s="1" t="s">
        <v>1496</v>
      </c>
      <c r="D185" s="1">
        <v>37.450000000000003</v>
      </c>
      <c r="E185" s="1">
        <v>0.08</v>
      </c>
      <c r="F185" s="1">
        <v>2.2799999999999998</v>
      </c>
      <c r="G185" s="1">
        <v>0.55000000000000004</v>
      </c>
      <c r="H185" s="1">
        <v>0</v>
      </c>
      <c r="I185" s="2">
        <v>9.34</v>
      </c>
      <c r="J185" s="1">
        <v>0.3</v>
      </c>
      <c r="K185" s="2">
        <v>24.18</v>
      </c>
      <c r="L185" s="2">
        <v>1.79</v>
      </c>
      <c r="M185" s="1">
        <v>0.96</v>
      </c>
      <c r="N185" s="1">
        <v>0.08</v>
      </c>
      <c r="O185" s="1">
        <v>0.13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/>
      <c r="W185" s="1" t="s">
        <v>1885</v>
      </c>
    </row>
    <row r="186" spans="1:23" ht="12.4">
      <c r="A186" s="1">
        <v>185</v>
      </c>
      <c r="B186" s="1" t="s">
        <v>1886</v>
      </c>
      <c r="C186" s="1" t="s">
        <v>1496</v>
      </c>
      <c r="D186" s="1">
        <v>41.45</v>
      </c>
      <c r="E186" s="1">
        <v>0.1</v>
      </c>
      <c r="F186" s="1">
        <v>2.12</v>
      </c>
      <c r="G186" s="1">
        <v>0.36</v>
      </c>
      <c r="H186" s="1">
        <v>0</v>
      </c>
      <c r="I186" s="2">
        <v>17.73</v>
      </c>
      <c r="J186" s="1">
        <v>0.05</v>
      </c>
      <c r="K186" s="2">
        <v>25.63</v>
      </c>
      <c r="L186" s="2">
        <v>1.92</v>
      </c>
      <c r="M186" s="1">
        <v>0.85</v>
      </c>
      <c r="N186" s="1">
        <v>7.0000000000000007E-2</v>
      </c>
      <c r="O186" s="1">
        <v>0.24</v>
      </c>
      <c r="P186" s="1">
        <v>0</v>
      </c>
      <c r="Q186" s="1">
        <v>0</v>
      </c>
      <c r="R186" s="1">
        <v>1.06</v>
      </c>
      <c r="S186" s="1">
        <v>0.09</v>
      </c>
      <c r="T186" s="1">
        <v>0</v>
      </c>
      <c r="U186" s="1">
        <v>0</v>
      </c>
      <c r="V186" s="1" t="s">
        <v>1887</v>
      </c>
      <c r="W186" s="1" t="s">
        <v>1888</v>
      </c>
    </row>
    <row r="187" spans="1:23" ht="12.4">
      <c r="A187" s="1">
        <v>186</v>
      </c>
      <c r="B187" s="1" t="s">
        <v>1889</v>
      </c>
      <c r="C187" s="1" t="s">
        <v>1496</v>
      </c>
      <c r="D187" s="1">
        <v>39.78</v>
      </c>
      <c r="E187" s="1">
        <v>0.12</v>
      </c>
      <c r="F187" s="1">
        <v>2.2400000000000002</v>
      </c>
      <c r="G187" s="1">
        <v>0.55000000000000004</v>
      </c>
      <c r="H187" s="1">
        <v>0</v>
      </c>
      <c r="I187" s="2">
        <v>14.78</v>
      </c>
      <c r="J187" s="1">
        <v>0.34</v>
      </c>
      <c r="K187" s="2">
        <v>24.65</v>
      </c>
      <c r="L187" s="2">
        <v>1.87</v>
      </c>
      <c r="M187" s="1">
        <v>0.94</v>
      </c>
      <c r="N187" s="1">
        <v>0.12</v>
      </c>
      <c r="O187" s="1">
        <v>0.26</v>
      </c>
      <c r="P187" s="1">
        <v>0</v>
      </c>
      <c r="Q187" s="1">
        <v>0</v>
      </c>
      <c r="R187" s="1">
        <v>1.1599999999999999</v>
      </c>
      <c r="S187" s="1">
        <v>700</v>
      </c>
      <c r="T187" s="1">
        <v>0</v>
      </c>
      <c r="U187" s="1">
        <v>0</v>
      </c>
      <c r="V187" s="1"/>
      <c r="W187" s="1" t="s">
        <v>1890</v>
      </c>
    </row>
    <row r="188" spans="1:23" ht="12.4">
      <c r="A188" s="1">
        <v>187</v>
      </c>
      <c r="B188" s="1" t="s">
        <v>1891</v>
      </c>
      <c r="C188" s="1" t="s">
        <v>1496</v>
      </c>
      <c r="D188" s="1">
        <v>9.6999999999999993</v>
      </c>
      <c r="E188" s="1">
        <v>0</v>
      </c>
      <c r="F188" s="1">
        <v>0.8</v>
      </c>
      <c r="G188" s="1">
        <v>0.2</v>
      </c>
      <c r="H188" s="1">
        <v>0</v>
      </c>
      <c r="I188" s="2">
        <v>14.4</v>
      </c>
      <c r="J188" s="1">
        <v>0.22</v>
      </c>
      <c r="K188" s="2">
        <v>9.44</v>
      </c>
      <c r="L188" s="2">
        <v>0.96</v>
      </c>
      <c r="M188" s="1">
        <v>0.49</v>
      </c>
      <c r="N188" s="1">
        <v>0</v>
      </c>
      <c r="O188" s="1">
        <v>0</v>
      </c>
      <c r="P188" s="1">
        <v>0</v>
      </c>
      <c r="Q188" s="1">
        <v>130</v>
      </c>
      <c r="R188" s="1">
        <v>0</v>
      </c>
      <c r="S188" s="1">
        <v>550</v>
      </c>
      <c r="T188" s="1">
        <v>299</v>
      </c>
      <c r="U188" s="1">
        <v>0</v>
      </c>
      <c r="V188" s="1" t="s">
        <v>1892</v>
      </c>
      <c r="W188" s="1" t="s">
        <v>1893</v>
      </c>
    </row>
    <row r="189" spans="1:23" ht="12.4">
      <c r="A189" s="1">
        <v>188</v>
      </c>
      <c r="B189" s="1" t="s">
        <v>1894</v>
      </c>
      <c r="C189" s="1" t="s">
        <v>1496</v>
      </c>
      <c r="D189" s="1">
        <v>13.4</v>
      </c>
      <c r="E189" s="1">
        <v>0</v>
      </c>
      <c r="F189" s="1">
        <v>0.98</v>
      </c>
      <c r="G189" s="1">
        <v>0.28999999999999998</v>
      </c>
      <c r="H189" s="1">
        <v>0</v>
      </c>
      <c r="I189" s="2">
        <v>23.8</v>
      </c>
      <c r="J189" s="1">
        <v>0.17</v>
      </c>
      <c r="K189" s="2">
        <v>11.9</v>
      </c>
      <c r="L189" s="2">
        <v>1.36</v>
      </c>
      <c r="M189" s="1">
        <v>0.14000000000000001</v>
      </c>
      <c r="N189" s="1">
        <v>0.03</v>
      </c>
      <c r="O189" s="1">
        <v>0</v>
      </c>
      <c r="P189" s="1">
        <v>0</v>
      </c>
      <c r="Q189" s="1">
        <v>118</v>
      </c>
      <c r="R189" s="1">
        <v>0</v>
      </c>
      <c r="S189" s="1">
        <v>460</v>
      </c>
      <c r="T189" s="1">
        <v>150</v>
      </c>
      <c r="U189" s="1">
        <v>0</v>
      </c>
      <c r="V189" s="1" t="s">
        <v>1895</v>
      </c>
      <c r="W189" s="1" t="s">
        <v>1896</v>
      </c>
    </row>
    <row r="190" spans="1:23" ht="12.4">
      <c r="A190" s="1">
        <v>189</v>
      </c>
      <c r="B190" s="1" t="s">
        <v>1897</v>
      </c>
      <c r="C190" s="1" t="s">
        <v>1496</v>
      </c>
      <c r="D190" s="1">
        <v>15.9</v>
      </c>
      <c r="E190" s="1">
        <v>0</v>
      </c>
      <c r="F190" s="1">
        <v>1.28</v>
      </c>
      <c r="G190" s="1">
        <v>0.37</v>
      </c>
      <c r="H190" s="1">
        <v>0</v>
      </c>
      <c r="I190" s="2">
        <v>25.7</v>
      </c>
      <c r="J190" s="1">
        <v>0.16</v>
      </c>
      <c r="K190" s="2">
        <v>14.3</v>
      </c>
      <c r="L190" s="2">
        <v>1.56</v>
      </c>
      <c r="M190" s="1">
        <v>0.41</v>
      </c>
      <c r="N190" s="1">
        <v>0.04</v>
      </c>
      <c r="O190" s="1">
        <v>0</v>
      </c>
      <c r="P190" s="1">
        <v>0</v>
      </c>
      <c r="Q190" s="1">
        <v>118</v>
      </c>
      <c r="R190" s="1">
        <v>0</v>
      </c>
      <c r="S190" s="1">
        <v>650</v>
      </c>
      <c r="T190" s="1">
        <v>130</v>
      </c>
      <c r="U190" s="1">
        <v>0</v>
      </c>
      <c r="V190" s="1" t="s">
        <v>1892</v>
      </c>
      <c r="W190" s="1" t="s">
        <v>1898</v>
      </c>
    </row>
    <row r="191" spans="1:23" ht="12.4">
      <c r="A191" s="1">
        <v>190</v>
      </c>
      <c r="B191" s="1" t="s">
        <v>1899</v>
      </c>
      <c r="C191" s="1" t="s">
        <v>1496</v>
      </c>
      <c r="D191" s="1">
        <v>14.9</v>
      </c>
      <c r="E191" s="1">
        <v>0</v>
      </c>
      <c r="F191" s="1">
        <v>1.28</v>
      </c>
      <c r="G191" s="1">
        <v>0.35</v>
      </c>
      <c r="H191" s="1">
        <v>0</v>
      </c>
      <c r="I191" s="2">
        <v>20.5</v>
      </c>
      <c r="J191" s="1">
        <v>0.16</v>
      </c>
      <c r="K191" s="2">
        <v>13.3</v>
      </c>
      <c r="L191" s="2">
        <v>1.69</v>
      </c>
      <c r="M191" s="1">
        <v>0.32</v>
      </c>
      <c r="N191" s="1">
        <v>0</v>
      </c>
      <c r="O191" s="1">
        <v>0</v>
      </c>
      <c r="P191" s="1">
        <v>0</v>
      </c>
      <c r="Q191" s="1">
        <v>99</v>
      </c>
      <c r="R191" s="1">
        <v>0</v>
      </c>
      <c r="S191" s="1">
        <v>650</v>
      </c>
      <c r="T191" s="1">
        <v>86</v>
      </c>
      <c r="U191" s="1">
        <v>0</v>
      </c>
      <c r="V191" s="1" t="s">
        <v>1892</v>
      </c>
      <c r="W191" s="1" t="s">
        <v>1900</v>
      </c>
    </row>
    <row r="192" spans="1:23" ht="12.4">
      <c r="A192" s="1">
        <v>191</v>
      </c>
      <c r="B192" s="1" t="s">
        <v>1901</v>
      </c>
      <c r="C192" s="1" t="s">
        <v>1496</v>
      </c>
      <c r="D192" s="1">
        <v>33.950000000000003</v>
      </c>
      <c r="E192" s="1">
        <v>0.1</v>
      </c>
      <c r="F192" s="1">
        <v>2.91</v>
      </c>
      <c r="G192" s="1">
        <v>0.44</v>
      </c>
      <c r="H192" s="1">
        <v>0</v>
      </c>
      <c r="I192" s="2">
        <v>22.84</v>
      </c>
      <c r="J192" s="1">
        <v>0.24</v>
      </c>
      <c r="K192" s="2">
        <v>23.74</v>
      </c>
      <c r="L192" s="2">
        <v>2.2000000000000002</v>
      </c>
      <c r="M192" s="1">
        <v>0.59</v>
      </c>
      <c r="N192" s="1">
        <v>0.05</v>
      </c>
      <c r="O192" s="1">
        <v>0.34</v>
      </c>
      <c r="P192" s="1">
        <v>0</v>
      </c>
      <c r="Q192" s="1">
        <v>0</v>
      </c>
      <c r="R192" s="1">
        <v>1.36</v>
      </c>
      <c r="S192" s="1">
        <v>700</v>
      </c>
      <c r="T192" s="1">
        <v>0</v>
      </c>
      <c r="U192" s="1">
        <v>0</v>
      </c>
      <c r="V192" s="1" t="s">
        <v>1902</v>
      </c>
      <c r="W192" s="1" t="s">
        <v>1903</v>
      </c>
    </row>
    <row r="193" spans="1:23" ht="12.4">
      <c r="A193" s="1">
        <v>192</v>
      </c>
      <c r="B193" s="1" t="s">
        <v>1904</v>
      </c>
      <c r="C193" s="1" t="s">
        <v>1496</v>
      </c>
      <c r="D193" s="1">
        <v>15.2</v>
      </c>
      <c r="E193" s="1">
        <v>0</v>
      </c>
      <c r="F193" s="1">
        <v>2.0699999999999998</v>
      </c>
      <c r="G193" s="1">
        <v>0.35</v>
      </c>
      <c r="H193" s="1">
        <v>0</v>
      </c>
      <c r="I193" s="2">
        <v>21</v>
      </c>
      <c r="J193" s="1">
        <v>0.13</v>
      </c>
      <c r="K193" s="2">
        <v>14.4</v>
      </c>
      <c r="L193" s="2">
        <v>1.78</v>
      </c>
      <c r="M193" s="1">
        <v>0.18</v>
      </c>
      <c r="N193" s="1">
        <v>0.03</v>
      </c>
      <c r="O193" s="1">
        <v>0</v>
      </c>
      <c r="P193" s="1">
        <v>0</v>
      </c>
      <c r="Q193" s="1">
        <v>97</v>
      </c>
      <c r="R193" s="1">
        <v>0</v>
      </c>
      <c r="S193" s="1">
        <v>610</v>
      </c>
      <c r="T193" s="1">
        <v>98</v>
      </c>
      <c r="U193" s="1">
        <v>0</v>
      </c>
      <c r="V193" s="1" t="s">
        <v>1892</v>
      </c>
      <c r="W193" s="1" t="s">
        <v>1905</v>
      </c>
    </row>
    <row r="194" spans="1:23" ht="12.4">
      <c r="A194" s="1">
        <v>193</v>
      </c>
      <c r="B194" s="1" t="s">
        <v>1906</v>
      </c>
      <c r="C194" s="1" t="s">
        <v>1496</v>
      </c>
      <c r="D194" s="1">
        <v>34.82</v>
      </c>
      <c r="E194" s="1">
        <v>0.15</v>
      </c>
      <c r="F194" s="1">
        <v>2.1800000000000002</v>
      </c>
      <c r="G194" s="1">
        <v>0.57999999999999996</v>
      </c>
      <c r="H194" s="1">
        <v>0</v>
      </c>
      <c r="I194" s="2">
        <v>24.34</v>
      </c>
      <c r="J194" s="1">
        <v>0.2</v>
      </c>
      <c r="K194" s="2">
        <v>23.57</v>
      </c>
      <c r="L194" s="2">
        <v>2.17</v>
      </c>
      <c r="M194" s="1">
        <v>0.69</v>
      </c>
      <c r="N194" s="1">
        <v>0.23</v>
      </c>
      <c r="O194" s="1">
        <v>0.2</v>
      </c>
      <c r="P194" s="1">
        <v>0</v>
      </c>
      <c r="Q194" s="1">
        <v>0</v>
      </c>
      <c r="R194" s="1">
        <v>1.43</v>
      </c>
      <c r="S194" s="1">
        <v>900</v>
      </c>
      <c r="T194" s="1">
        <v>0</v>
      </c>
      <c r="U194" s="1">
        <v>0</v>
      </c>
      <c r="V194" s="1" t="s">
        <v>1902</v>
      </c>
      <c r="W194" s="1" t="s">
        <v>1907</v>
      </c>
    </row>
    <row r="195" spans="1:23" ht="12.4">
      <c r="A195" s="1">
        <v>194</v>
      </c>
      <c r="B195" s="1" t="s">
        <v>1908</v>
      </c>
      <c r="C195" s="1" t="s">
        <v>1496</v>
      </c>
      <c r="D195" s="1">
        <v>34.229999999999997</v>
      </c>
      <c r="E195" s="1">
        <v>0.15</v>
      </c>
      <c r="F195" s="1">
        <v>3.27</v>
      </c>
      <c r="G195" s="1">
        <v>0.52</v>
      </c>
      <c r="H195" s="1">
        <v>0</v>
      </c>
      <c r="I195" s="2">
        <v>27.15</v>
      </c>
      <c r="J195" s="1">
        <v>0.18</v>
      </c>
      <c r="K195" s="2">
        <v>24.62</v>
      </c>
      <c r="L195" s="2">
        <v>2.61</v>
      </c>
      <c r="M195" s="1">
        <v>0.45</v>
      </c>
      <c r="N195" s="1">
        <v>0.03</v>
      </c>
      <c r="O195" s="1">
        <v>0.23</v>
      </c>
      <c r="P195" s="1">
        <v>0</v>
      </c>
      <c r="Q195" s="1">
        <v>0</v>
      </c>
      <c r="R195" s="1">
        <v>0.36</v>
      </c>
      <c r="S195" s="1">
        <v>100</v>
      </c>
      <c r="T195" s="1">
        <v>111</v>
      </c>
      <c r="U195" s="1">
        <v>0</v>
      </c>
      <c r="V195" s="1" t="s">
        <v>1909</v>
      </c>
      <c r="W195" s="1" t="s">
        <v>1910</v>
      </c>
    </row>
    <row r="196" spans="1:23" ht="12.4">
      <c r="A196" s="1">
        <v>195</v>
      </c>
      <c r="B196" s="1" t="s">
        <v>1911</v>
      </c>
      <c r="C196" s="1" t="s">
        <v>1496</v>
      </c>
      <c r="D196" s="1">
        <v>40.630000000000003</v>
      </c>
      <c r="E196" s="1">
        <v>0.09</v>
      </c>
      <c r="F196" s="1">
        <v>2.63</v>
      </c>
      <c r="G196" s="1">
        <v>0.7</v>
      </c>
      <c r="H196" s="1">
        <v>0</v>
      </c>
      <c r="I196" s="2">
        <v>16.29</v>
      </c>
      <c r="J196" s="1">
        <v>0.32</v>
      </c>
      <c r="K196" s="2">
        <v>25.14</v>
      </c>
      <c r="L196" s="2">
        <v>1.55</v>
      </c>
      <c r="M196" s="1">
        <v>0.75</v>
      </c>
      <c r="N196" s="1">
        <v>0.12</v>
      </c>
      <c r="O196" s="1">
        <v>0.36</v>
      </c>
      <c r="P196" s="1">
        <v>0</v>
      </c>
      <c r="Q196" s="1">
        <v>76</v>
      </c>
      <c r="R196" s="1">
        <v>0.96</v>
      </c>
      <c r="S196" s="1">
        <v>0.04</v>
      </c>
      <c r="T196" s="1">
        <v>39</v>
      </c>
      <c r="U196" s="1">
        <v>0</v>
      </c>
      <c r="V196" s="1" t="s">
        <v>1912</v>
      </c>
      <c r="W196" s="1" t="s">
        <v>1913</v>
      </c>
    </row>
    <row r="197" spans="1:23" ht="12.4">
      <c r="A197" s="1">
        <v>196</v>
      </c>
      <c r="B197" s="1" t="s">
        <v>1914</v>
      </c>
      <c r="C197" s="1" t="s">
        <v>1496</v>
      </c>
      <c r="D197" s="1">
        <v>41.03</v>
      </c>
      <c r="E197" s="1">
        <v>0.21</v>
      </c>
      <c r="F197" s="1">
        <v>2.64</v>
      </c>
      <c r="G197" s="1">
        <v>0.59</v>
      </c>
      <c r="H197" s="1">
        <v>0</v>
      </c>
      <c r="I197" s="2">
        <v>15.78</v>
      </c>
      <c r="J197" s="1">
        <v>0.35</v>
      </c>
      <c r="K197" s="2">
        <v>26.34</v>
      </c>
      <c r="L197" s="2">
        <v>1.58</v>
      </c>
      <c r="M197" s="1">
        <v>0.91</v>
      </c>
      <c r="N197" s="1">
        <v>0.11</v>
      </c>
      <c r="O197" s="1">
        <v>0.23</v>
      </c>
      <c r="P197" s="1">
        <v>0</v>
      </c>
      <c r="Q197" s="1">
        <v>0</v>
      </c>
      <c r="R197" s="1">
        <v>0.88</v>
      </c>
      <c r="S197" s="1">
        <v>0.09</v>
      </c>
      <c r="T197" s="1">
        <v>30</v>
      </c>
      <c r="U197" s="1">
        <v>0</v>
      </c>
      <c r="V197" s="1" t="s">
        <v>1915</v>
      </c>
      <c r="W197" s="1" t="s">
        <v>1916</v>
      </c>
    </row>
    <row r="198" spans="1:23" ht="12.4">
      <c r="A198" s="1">
        <v>197</v>
      </c>
      <c r="B198" s="1" t="s">
        <v>1917</v>
      </c>
      <c r="C198" s="1" t="s">
        <v>1496</v>
      </c>
      <c r="D198" s="1">
        <v>16.399999999999999</v>
      </c>
      <c r="E198" s="1">
        <v>0</v>
      </c>
      <c r="F198" s="1">
        <v>1.06</v>
      </c>
      <c r="G198" s="1">
        <v>0.31</v>
      </c>
      <c r="H198" s="1">
        <v>0</v>
      </c>
      <c r="I198" s="2">
        <v>29.2</v>
      </c>
      <c r="J198" s="1">
        <v>0.24</v>
      </c>
      <c r="K198" s="2">
        <v>13.9</v>
      </c>
      <c r="L198" s="2">
        <v>1.18</v>
      </c>
      <c r="M198" s="1">
        <v>0.52</v>
      </c>
      <c r="N198" s="1">
        <v>0.08</v>
      </c>
      <c r="O198" s="1">
        <v>0</v>
      </c>
      <c r="P198" s="1">
        <v>0</v>
      </c>
      <c r="Q198" s="1">
        <v>87</v>
      </c>
      <c r="R198" s="1">
        <v>0</v>
      </c>
      <c r="S198" s="1">
        <v>930</v>
      </c>
      <c r="T198" s="1">
        <v>52</v>
      </c>
      <c r="U198" s="1">
        <v>0</v>
      </c>
      <c r="V198" s="1" t="s">
        <v>1892</v>
      </c>
      <c r="W198" s="1" t="s">
        <v>1918</v>
      </c>
    </row>
    <row r="199" spans="1:23" ht="12.4">
      <c r="A199" s="1">
        <v>198</v>
      </c>
      <c r="B199" s="1" t="s">
        <v>1919</v>
      </c>
      <c r="C199" s="1" t="s">
        <v>1496</v>
      </c>
      <c r="D199" s="1">
        <v>16.3</v>
      </c>
      <c r="E199" s="1">
        <v>0</v>
      </c>
      <c r="F199" s="1">
        <v>0.84</v>
      </c>
      <c r="G199" s="1">
        <v>0.32</v>
      </c>
      <c r="H199" s="1">
        <v>0</v>
      </c>
      <c r="I199" s="2">
        <v>36.9</v>
      </c>
      <c r="J199" s="1">
        <v>0.38</v>
      </c>
      <c r="K199" s="2">
        <v>10.4</v>
      </c>
      <c r="L199" s="2">
        <v>0.74</v>
      </c>
      <c r="M199" s="1">
        <v>0.86</v>
      </c>
      <c r="N199" s="1">
        <v>0.1</v>
      </c>
      <c r="O199" s="1">
        <v>0</v>
      </c>
      <c r="P199" s="1">
        <v>0</v>
      </c>
      <c r="Q199" s="1">
        <v>190</v>
      </c>
      <c r="R199" s="1">
        <v>0</v>
      </c>
      <c r="S199" s="1">
        <v>870</v>
      </c>
      <c r="T199" s="1">
        <v>290</v>
      </c>
      <c r="U199" s="1">
        <v>0</v>
      </c>
      <c r="V199" s="1" t="s">
        <v>1892</v>
      </c>
      <c r="W199" s="1" t="s">
        <v>1920</v>
      </c>
    </row>
    <row r="200" spans="1:23" ht="12.4">
      <c r="A200" s="1">
        <v>199</v>
      </c>
      <c r="B200" s="1" t="s">
        <v>1921</v>
      </c>
      <c r="C200" s="1" t="s">
        <v>1496</v>
      </c>
      <c r="D200" s="1">
        <v>17.63</v>
      </c>
      <c r="E200" s="1">
        <v>0.06</v>
      </c>
      <c r="F200" s="1">
        <v>0.99</v>
      </c>
      <c r="G200" s="1">
        <v>0</v>
      </c>
      <c r="H200" s="1">
        <v>0</v>
      </c>
      <c r="I200" s="2">
        <v>24.81</v>
      </c>
      <c r="J200" s="1">
        <v>0.19</v>
      </c>
      <c r="K200" s="2">
        <v>12.73</v>
      </c>
      <c r="L200" s="2">
        <v>0.37</v>
      </c>
      <c r="M200" s="1">
        <v>0</v>
      </c>
      <c r="N200" s="1">
        <v>0.06</v>
      </c>
      <c r="O200" s="1">
        <v>0.11</v>
      </c>
      <c r="P200" s="1">
        <v>0</v>
      </c>
      <c r="Q200" s="1">
        <v>87</v>
      </c>
      <c r="R200" s="1">
        <v>0</v>
      </c>
      <c r="S200" s="1">
        <v>830</v>
      </c>
      <c r="T200" s="1">
        <v>7.5</v>
      </c>
      <c r="U200" s="1">
        <v>0</v>
      </c>
      <c r="V200" s="1" t="s">
        <v>1922</v>
      </c>
      <c r="W200" s="1" t="s">
        <v>1923</v>
      </c>
    </row>
    <row r="201" spans="1:23" ht="12.4">
      <c r="A201" s="1">
        <v>200</v>
      </c>
      <c r="B201" s="1" t="s">
        <v>1924</v>
      </c>
      <c r="C201" s="1" t="s">
        <v>1496</v>
      </c>
      <c r="D201" s="1">
        <v>41.53</v>
      </c>
      <c r="E201" s="1">
        <v>0</v>
      </c>
      <c r="F201" s="1">
        <v>1.55</v>
      </c>
      <c r="G201" s="1">
        <v>0.56000000000000005</v>
      </c>
      <c r="H201" s="1">
        <v>0</v>
      </c>
      <c r="I201" s="2">
        <v>6.34</v>
      </c>
      <c r="J201" s="1">
        <v>0</v>
      </c>
      <c r="K201" s="2">
        <v>23.23</v>
      </c>
      <c r="L201" s="2">
        <v>0.74</v>
      </c>
      <c r="M201" s="1">
        <v>1.26</v>
      </c>
      <c r="N201" s="1">
        <v>0.32</v>
      </c>
      <c r="O201" s="1">
        <v>0.08</v>
      </c>
      <c r="P201" s="1">
        <v>0</v>
      </c>
      <c r="Q201" s="1">
        <v>0</v>
      </c>
      <c r="R201" s="1">
        <v>1.96</v>
      </c>
      <c r="S201" s="1">
        <v>700</v>
      </c>
      <c r="T201" s="1">
        <v>0</v>
      </c>
      <c r="U201" s="1">
        <v>0</v>
      </c>
      <c r="V201" s="1" t="s">
        <v>1902</v>
      </c>
      <c r="W201" s="1" t="s">
        <v>1925</v>
      </c>
    </row>
    <row r="202" spans="1:23" ht="12.4">
      <c r="A202" s="1">
        <v>201</v>
      </c>
      <c r="B202" s="1" t="s">
        <v>1926</v>
      </c>
      <c r="C202" s="1" t="s">
        <v>1496</v>
      </c>
      <c r="D202" s="1">
        <v>0</v>
      </c>
      <c r="E202" s="1">
        <v>0</v>
      </c>
      <c r="F202" s="1">
        <v>0.93</v>
      </c>
      <c r="G202" s="1">
        <v>0.36</v>
      </c>
      <c r="H202" s="1">
        <v>0</v>
      </c>
      <c r="I202" s="2">
        <v>25.6</v>
      </c>
      <c r="J202" s="1">
        <v>0.25</v>
      </c>
      <c r="K202" s="2">
        <v>0</v>
      </c>
      <c r="L202" s="2">
        <v>0</v>
      </c>
      <c r="M202" s="1">
        <v>0.59</v>
      </c>
      <c r="N202" s="1">
        <v>7.0000000000000007E-2</v>
      </c>
      <c r="O202" s="1">
        <v>0</v>
      </c>
      <c r="P202" s="1">
        <v>0</v>
      </c>
      <c r="Q202" s="1">
        <v>98</v>
      </c>
      <c r="R202" s="1">
        <v>0</v>
      </c>
      <c r="S202" s="1">
        <v>999.99</v>
      </c>
      <c r="T202" s="1">
        <v>10</v>
      </c>
      <c r="U202" s="1">
        <v>0</v>
      </c>
      <c r="V202" s="1" t="s">
        <v>1895</v>
      </c>
      <c r="W202" s="1" t="s">
        <v>1927</v>
      </c>
    </row>
    <row r="203" spans="1:23" ht="12.4">
      <c r="A203" s="1">
        <v>202</v>
      </c>
      <c r="B203" s="1" t="s">
        <v>1928</v>
      </c>
      <c r="C203" s="1" t="s">
        <v>1496</v>
      </c>
      <c r="D203" s="1">
        <v>48.59</v>
      </c>
      <c r="E203" s="1">
        <v>0.65</v>
      </c>
      <c r="F203" s="1">
        <v>12.7</v>
      </c>
      <c r="G203" s="1">
        <v>0.33</v>
      </c>
      <c r="H203" s="1">
        <v>0</v>
      </c>
      <c r="I203" s="2">
        <v>19.579999999999998</v>
      </c>
      <c r="J203" s="1">
        <v>0.56000000000000005</v>
      </c>
      <c r="K203" s="2">
        <v>6.77</v>
      </c>
      <c r="L203" s="2">
        <v>10.25</v>
      </c>
      <c r="M203" s="1">
        <v>0.45</v>
      </c>
      <c r="N203" s="1">
        <v>0.05</v>
      </c>
      <c r="O203" s="1">
        <v>0.1</v>
      </c>
      <c r="P203" s="1">
        <v>0</v>
      </c>
      <c r="Q203" s="1">
        <v>4</v>
      </c>
      <c r="R203" s="1">
        <v>0</v>
      </c>
      <c r="S203" s="1">
        <v>6</v>
      </c>
      <c r="T203" s="1">
        <v>0</v>
      </c>
      <c r="U203" s="1">
        <v>0</v>
      </c>
      <c r="V203" s="1" t="s">
        <v>1929</v>
      </c>
      <c r="W203" s="1" t="s">
        <v>1930</v>
      </c>
    </row>
    <row r="204" spans="1:23" ht="12.4">
      <c r="A204" s="1">
        <v>203</v>
      </c>
      <c r="B204" s="1" t="s">
        <v>1931</v>
      </c>
      <c r="C204" s="1" t="s">
        <v>1496</v>
      </c>
      <c r="D204" s="1">
        <v>49.29</v>
      </c>
      <c r="E204" s="1">
        <v>0.6</v>
      </c>
      <c r="F204" s="1">
        <v>12.84</v>
      </c>
      <c r="G204" s="1">
        <v>0.31</v>
      </c>
      <c r="H204" s="1">
        <v>0</v>
      </c>
      <c r="I204" s="2">
        <v>18.25</v>
      </c>
      <c r="J204" s="1">
        <v>0.53</v>
      </c>
      <c r="K204" s="2">
        <v>7.08</v>
      </c>
      <c r="L204" s="2">
        <v>10.39</v>
      </c>
      <c r="M204" s="1">
        <v>0.42</v>
      </c>
      <c r="N204" s="1">
        <v>0.04</v>
      </c>
      <c r="O204" s="1">
        <v>0.09</v>
      </c>
      <c r="P204" s="1">
        <v>0</v>
      </c>
      <c r="Q204" s="1">
        <v>3</v>
      </c>
      <c r="R204" s="1">
        <v>0</v>
      </c>
      <c r="S204" s="1">
        <v>3</v>
      </c>
      <c r="T204" s="1">
        <v>1.3</v>
      </c>
      <c r="U204" s="1">
        <v>0</v>
      </c>
      <c r="V204" s="1" t="s">
        <v>1932</v>
      </c>
      <c r="W204" s="1" t="s">
        <v>1933</v>
      </c>
    </row>
    <row r="205" spans="1:23" ht="12.4">
      <c r="A205" s="1">
        <v>204</v>
      </c>
      <c r="B205" s="1" t="s">
        <v>1934</v>
      </c>
      <c r="C205" s="1" t="s">
        <v>1496</v>
      </c>
      <c r="D205" s="1">
        <v>49.33</v>
      </c>
      <c r="E205" s="1">
        <v>0.96</v>
      </c>
      <c r="F205" s="1">
        <v>12.34</v>
      </c>
      <c r="G205" s="1">
        <v>0.28000000000000003</v>
      </c>
      <c r="H205" s="1">
        <v>0</v>
      </c>
      <c r="I205" s="2">
        <v>17.920000000000002</v>
      </c>
      <c r="J205" s="1">
        <v>0.5</v>
      </c>
      <c r="K205" s="2">
        <v>6.36</v>
      </c>
      <c r="L205" s="2">
        <v>10.58</v>
      </c>
      <c r="M205" s="1">
        <v>0.6</v>
      </c>
      <c r="N205" s="1">
        <v>0.08</v>
      </c>
      <c r="O205" s="1">
        <v>0.13</v>
      </c>
      <c r="P205" s="1">
        <v>0</v>
      </c>
      <c r="Q205" s="1">
        <v>20</v>
      </c>
      <c r="R205" s="1">
        <v>0</v>
      </c>
      <c r="S205" s="1">
        <v>4</v>
      </c>
      <c r="T205" s="1">
        <v>40</v>
      </c>
      <c r="U205" s="1">
        <v>0</v>
      </c>
      <c r="V205" s="1" t="s">
        <v>1932</v>
      </c>
      <c r="W205" s="1" t="s">
        <v>1935</v>
      </c>
    </row>
    <row r="206" spans="1:23" ht="12.4">
      <c r="A206" s="1">
        <v>205</v>
      </c>
      <c r="B206" s="1" t="s">
        <v>1936</v>
      </c>
      <c r="C206" s="1" t="s">
        <v>1496</v>
      </c>
      <c r="D206" s="1">
        <v>49.48</v>
      </c>
      <c r="E206" s="1">
        <v>0.46</v>
      </c>
      <c r="F206" s="1">
        <v>5.0999999999999996</v>
      </c>
      <c r="G206" s="1">
        <v>1.34</v>
      </c>
      <c r="H206" s="1">
        <v>0</v>
      </c>
      <c r="I206" s="2">
        <v>17.39</v>
      </c>
      <c r="J206" s="1">
        <v>0.53</v>
      </c>
      <c r="K206" s="2">
        <v>20.5</v>
      </c>
      <c r="L206" s="2">
        <v>4.0199999999999996</v>
      </c>
      <c r="M206" s="1">
        <v>0.17</v>
      </c>
      <c r="N206" s="1">
        <v>0.02</v>
      </c>
      <c r="O206" s="1">
        <v>0</v>
      </c>
      <c r="P206" s="1">
        <v>0</v>
      </c>
      <c r="Q206" s="1">
        <v>18</v>
      </c>
      <c r="R206" s="1">
        <v>0</v>
      </c>
      <c r="S206" s="1">
        <v>26</v>
      </c>
      <c r="T206" s="1">
        <v>1.6</v>
      </c>
      <c r="U206" s="1">
        <v>0</v>
      </c>
      <c r="V206" s="1" t="s">
        <v>1937</v>
      </c>
      <c r="W206" s="1" t="s">
        <v>1938</v>
      </c>
    </row>
    <row r="207" spans="1:23" ht="12.4">
      <c r="A207" s="1">
        <v>206</v>
      </c>
      <c r="B207" s="1" t="s">
        <v>1939</v>
      </c>
      <c r="C207" s="1" t="s">
        <v>1496</v>
      </c>
      <c r="D207" s="1">
        <v>39.94</v>
      </c>
      <c r="E207" s="1">
        <v>0.12</v>
      </c>
      <c r="F207" s="1">
        <v>2.31</v>
      </c>
      <c r="G207" s="1">
        <v>0.5</v>
      </c>
      <c r="H207" s="1">
        <v>0</v>
      </c>
      <c r="I207" s="2">
        <v>13.51</v>
      </c>
      <c r="J207" s="1">
        <v>0.3</v>
      </c>
      <c r="K207" s="2">
        <v>24.92</v>
      </c>
      <c r="L207" s="2">
        <v>1.87</v>
      </c>
      <c r="M207" s="1">
        <v>0.98</v>
      </c>
      <c r="N207" s="1">
        <v>0.11</v>
      </c>
      <c r="O207" s="1">
        <v>0.26</v>
      </c>
      <c r="P207" s="1">
        <v>0</v>
      </c>
      <c r="Q207" s="1">
        <v>0</v>
      </c>
      <c r="R207" s="1">
        <v>1.26</v>
      </c>
      <c r="S207" s="1">
        <v>700</v>
      </c>
      <c r="T207" s="1">
        <v>0</v>
      </c>
      <c r="U207" s="1">
        <v>0</v>
      </c>
      <c r="V207" s="1" t="s">
        <v>1940</v>
      </c>
      <c r="W207" s="1" t="s">
        <v>1941</v>
      </c>
    </row>
    <row r="208" spans="1:23" ht="12.4">
      <c r="A208" s="1">
        <v>207</v>
      </c>
      <c r="B208" s="1" t="s">
        <v>1942</v>
      </c>
      <c r="C208" s="1" t="s">
        <v>1496</v>
      </c>
      <c r="D208" s="1">
        <v>40.17</v>
      </c>
      <c r="E208" s="1">
        <v>0.11</v>
      </c>
      <c r="F208" s="1">
        <v>2.0699999999999998</v>
      </c>
      <c r="G208" s="1">
        <v>0.49</v>
      </c>
      <c r="H208" s="1">
        <v>0</v>
      </c>
      <c r="I208" s="2">
        <v>13.15</v>
      </c>
      <c r="J208" s="1">
        <v>0.36</v>
      </c>
      <c r="K208" s="2">
        <v>24.95</v>
      </c>
      <c r="L208" s="2">
        <v>1.83</v>
      </c>
      <c r="M208" s="1">
        <v>0.92</v>
      </c>
      <c r="N208" s="1">
        <v>0.11</v>
      </c>
      <c r="O208" s="1">
        <v>0.24</v>
      </c>
      <c r="P208" s="1">
        <v>0</v>
      </c>
      <c r="Q208" s="1">
        <v>0</v>
      </c>
      <c r="R208" s="1">
        <v>1.1200000000000001</v>
      </c>
      <c r="S208" s="1">
        <v>400</v>
      </c>
      <c r="T208" s="1">
        <v>0</v>
      </c>
      <c r="U208" s="1">
        <v>0</v>
      </c>
      <c r="V208" s="1" t="s">
        <v>1940</v>
      </c>
      <c r="W208" s="1" t="s">
        <v>1943</v>
      </c>
    </row>
    <row r="209" spans="1:23" ht="12.4">
      <c r="A209" s="1">
        <v>208</v>
      </c>
      <c r="B209" s="1" t="s">
        <v>1944</v>
      </c>
      <c r="C209" s="1" t="s">
        <v>1496</v>
      </c>
      <c r="D209" s="1">
        <v>39.58</v>
      </c>
      <c r="E209" s="1">
        <v>0.13</v>
      </c>
      <c r="F209" s="1">
        <v>1.94</v>
      </c>
      <c r="G209" s="1">
        <v>0.52</v>
      </c>
      <c r="H209" s="1">
        <v>0</v>
      </c>
      <c r="I209" s="2">
        <v>14.46</v>
      </c>
      <c r="J209" s="1">
        <v>0.36</v>
      </c>
      <c r="K209" s="2">
        <v>24.61</v>
      </c>
      <c r="L209" s="2">
        <v>2.0099999999999998</v>
      </c>
      <c r="M209" s="1">
        <v>0.99</v>
      </c>
      <c r="N209" s="1">
        <v>0.11</v>
      </c>
      <c r="O209" s="1">
        <v>0.27</v>
      </c>
      <c r="P209" s="1">
        <v>0</v>
      </c>
      <c r="Q209" s="1">
        <v>0</v>
      </c>
      <c r="R209" s="1">
        <v>1.24</v>
      </c>
      <c r="S209" s="1">
        <v>600</v>
      </c>
      <c r="T209" s="1">
        <v>0</v>
      </c>
      <c r="U209" s="1">
        <v>0</v>
      </c>
      <c r="V209" s="1" t="s">
        <v>1945</v>
      </c>
      <c r="W209" s="1" t="s">
        <v>1946</v>
      </c>
    </row>
    <row r="210" spans="1:23" ht="12.4">
      <c r="A210" s="1">
        <v>209</v>
      </c>
      <c r="B210" s="1" t="s">
        <v>1947</v>
      </c>
      <c r="C210" s="1" t="s">
        <v>1496</v>
      </c>
      <c r="D210" s="1">
        <v>49.32</v>
      </c>
      <c r="E210" s="1">
        <v>0.68</v>
      </c>
      <c r="F210" s="1">
        <v>12.64</v>
      </c>
      <c r="G210" s="1">
        <v>0.3</v>
      </c>
      <c r="H210" s="1">
        <v>0</v>
      </c>
      <c r="I210" s="2">
        <v>18.489999999999998</v>
      </c>
      <c r="J210" s="1">
        <v>0.53</v>
      </c>
      <c r="K210" s="2">
        <v>6.83</v>
      </c>
      <c r="L210" s="2">
        <v>10.32</v>
      </c>
      <c r="M210" s="1">
        <v>0.42</v>
      </c>
      <c r="N210" s="1">
        <v>0.05</v>
      </c>
      <c r="O210" s="1">
        <v>0.09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 t="s">
        <v>1948</v>
      </c>
      <c r="W210" s="1" t="s">
        <v>1949</v>
      </c>
    </row>
    <row r="211" spans="1:23" ht="12.4">
      <c r="A211" s="1">
        <v>210</v>
      </c>
      <c r="B211" s="1" t="s">
        <v>1950</v>
      </c>
      <c r="C211" s="1" t="s">
        <v>1496</v>
      </c>
      <c r="D211" s="1">
        <v>34.42</v>
      </c>
      <c r="E211" s="1">
        <v>0.17</v>
      </c>
      <c r="F211" s="1">
        <v>3.31</v>
      </c>
      <c r="G211" s="1">
        <v>0.52</v>
      </c>
      <c r="H211" s="1">
        <v>11.1</v>
      </c>
      <c r="I211" s="2">
        <v>7.26</v>
      </c>
      <c r="J211" s="1">
        <v>0.24</v>
      </c>
      <c r="K211" s="2">
        <v>24.99</v>
      </c>
      <c r="L211" s="2">
        <v>2.66</v>
      </c>
      <c r="M211" s="1">
        <v>0.27</v>
      </c>
      <c r="N211" s="1">
        <v>0.03</v>
      </c>
      <c r="O211" s="1">
        <v>0.38</v>
      </c>
      <c r="P211" s="1">
        <v>0</v>
      </c>
      <c r="Q211" s="1">
        <v>0</v>
      </c>
      <c r="R211" s="1">
        <v>1.35</v>
      </c>
      <c r="S211" s="1">
        <v>800</v>
      </c>
      <c r="T211" s="1">
        <v>0</v>
      </c>
      <c r="U211" s="1">
        <v>0</v>
      </c>
      <c r="V211" s="1" t="s">
        <v>1951</v>
      </c>
      <c r="W211" s="1" t="s">
        <v>1952</v>
      </c>
    </row>
    <row r="212" spans="1:23" ht="12.4">
      <c r="A212" s="1">
        <v>211</v>
      </c>
      <c r="B212" s="1" t="s">
        <v>1953</v>
      </c>
      <c r="C212" s="1" t="s">
        <v>1496</v>
      </c>
      <c r="D212" s="1">
        <v>49.9</v>
      </c>
      <c r="E212" s="1">
        <v>0.28999999999999998</v>
      </c>
      <c r="F212" s="1">
        <v>6</v>
      </c>
      <c r="G212" s="1">
        <v>0.86</v>
      </c>
      <c r="H212" s="1">
        <v>0</v>
      </c>
      <c r="I212" s="2">
        <v>18.100000000000001</v>
      </c>
      <c r="J212" s="1">
        <v>0.52</v>
      </c>
      <c r="K212" s="2">
        <v>17.8</v>
      </c>
      <c r="L212" s="2">
        <v>5.3</v>
      </c>
      <c r="M212" s="1">
        <v>0.17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 t="s">
        <v>1937</v>
      </c>
      <c r="W212" s="1" t="s">
        <v>1954</v>
      </c>
    </row>
    <row r="213" spans="1:23" ht="12.4">
      <c r="A213" s="1">
        <v>212</v>
      </c>
      <c r="B213" s="1" t="s">
        <v>1955</v>
      </c>
      <c r="C213" s="1" t="s">
        <v>1496</v>
      </c>
      <c r="D213" s="1">
        <v>50.1</v>
      </c>
      <c r="E213" s="1">
        <v>0.42</v>
      </c>
      <c r="F213" s="1">
        <v>7.4</v>
      </c>
      <c r="G213" s="1">
        <v>0.72</v>
      </c>
      <c r="H213" s="1">
        <v>0</v>
      </c>
      <c r="I213" s="2">
        <v>17.600000000000001</v>
      </c>
      <c r="J213" s="1">
        <v>0.46</v>
      </c>
      <c r="K213" s="2">
        <v>15</v>
      </c>
      <c r="L213" s="2">
        <v>6.44</v>
      </c>
      <c r="M213" s="1">
        <v>0.17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 t="s">
        <v>1956</v>
      </c>
      <c r="W213" s="1" t="s">
        <v>1957</v>
      </c>
    </row>
    <row r="214" spans="1:23" ht="12.4">
      <c r="A214" s="1">
        <v>213</v>
      </c>
      <c r="B214" s="1" t="s">
        <v>1958</v>
      </c>
      <c r="C214" s="1" t="s">
        <v>1496</v>
      </c>
      <c r="D214" s="1">
        <v>49.18</v>
      </c>
      <c r="E214" s="1">
        <v>0.56999999999999995</v>
      </c>
      <c r="F214" s="1">
        <v>10.82</v>
      </c>
      <c r="G214" s="1">
        <v>0.56000000000000005</v>
      </c>
      <c r="H214" s="1">
        <v>0</v>
      </c>
      <c r="I214" s="2">
        <v>17</v>
      </c>
      <c r="J214" s="1">
        <v>0.52</v>
      </c>
      <c r="K214" s="2">
        <v>11.24</v>
      </c>
      <c r="L214" s="2">
        <v>8.49</v>
      </c>
      <c r="M214" s="1">
        <v>0.35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 t="s">
        <v>1937</v>
      </c>
      <c r="W214" s="1" t="s">
        <v>1959</v>
      </c>
    </row>
    <row r="215" spans="1:23" ht="12.4">
      <c r="A215" s="1">
        <v>214</v>
      </c>
      <c r="B215" s="1" t="s">
        <v>1960</v>
      </c>
      <c r="C215" s="1" t="s">
        <v>1496</v>
      </c>
      <c r="D215" s="1">
        <v>48.47</v>
      </c>
      <c r="E215" s="1">
        <v>0.37</v>
      </c>
      <c r="F215" s="1">
        <v>9.4600000000000009</v>
      </c>
      <c r="G215" s="1">
        <v>0.63</v>
      </c>
      <c r="H215" s="1">
        <v>0</v>
      </c>
      <c r="I215" s="2">
        <v>17.16</v>
      </c>
      <c r="J215" s="1">
        <v>0.53</v>
      </c>
      <c r="K215" s="2">
        <v>12</v>
      </c>
      <c r="L215" s="2">
        <v>8.08</v>
      </c>
      <c r="M215" s="1">
        <v>0.46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 t="s">
        <v>1937</v>
      </c>
      <c r="W215" s="1" t="s">
        <v>1961</v>
      </c>
    </row>
    <row r="216" spans="1:23" ht="12.4">
      <c r="A216" s="1">
        <v>215</v>
      </c>
      <c r="B216" s="1" t="s">
        <v>1962</v>
      </c>
      <c r="C216" s="1" t="s">
        <v>1496</v>
      </c>
      <c r="D216" s="1">
        <v>50.1</v>
      </c>
      <c r="E216" s="1">
        <v>0.92</v>
      </c>
      <c r="F216" s="1">
        <v>6.68</v>
      </c>
      <c r="G216" s="1">
        <v>0.18</v>
      </c>
      <c r="H216" s="1">
        <v>0</v>
      </c>
      <c r="I216" s="2">
        <v>18.66</v>
      </c>
      <c r="J216" s="1">
        <v>0.5</v>
      </c>
      <c r="K216" s="2">
        <v>9.4</v>
      </c>
      <c r="L216" s="2">
        <v>10.3</v>
      </c>
      <c r="M216" s="1">
        <v>1.28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 t="s">
        <v>1937</v>
      </c>
      <c r="W216" s="1" t="s">
        <v>1963</v>
      </c>
    </row>
    <row r="217" spans="1:23" ht="12.4">
      <c r="A217" s="1">
        <v>216</v>
      </c>
      <c r="B217" s="1" t="s">
        <v>1964</v>
      </c>
      <c r="C217" s="1" t="s">
        <v>1496</v>
      </c>
      <c r="D217" s="1">
        <v>50</v>
      </c>
      <c r="E217" s="1">
        <v>0.78</v>
      </c>
      <c r="F217" s="1">
        <v>12.5</v>
      </c>
      <c r="G217" s="1">
        <v>0.4</v>
      </c>
      <c r="H217" s="1">
        <v>0</v>
      </c>
      <c r="I217" s="2">
        <v>18.5</v>
      </c>
      <c r="J217" s="1">
        <v>0.46</v>
      </c>
      <c r="K217" s="2">
        <v>7.1</v>
      </c>
      <c r="L217" s="2">
        <v>10</v>
      </c>
      <c r="M217" s="1">
        <v>0.46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 t="s">
        <v>1937</v>
      </c>
      <c r="W217" s="1" t="s">
        <v>1965</v>
      </c>
    </row>
    <row r="218" spans="1:23" ht="12.4">
      <c r="A218" s="1">
        <v>217</v>
      </c>
      <c r="B218" s="1" t="s">
        <v>1966</v>
      </c>
      <c r="C218" s="1" t="s">
        <v>1496</v>
      </c>
      <c r="D218" s="1">
        <v>50.7</v>
      </c>
      <c r="E218" s="1">
        <v>0.98</v>
      </c>
      <c r="F218" s="1">
        <v>11.7</v>
      </c>
      <c r="G218" s="1">
        <v>0.33</v>
      </c>
      <c r="H218" s="1">
        <v>0</v>
      </c>
      <c r="I218" s="2">
        <v>17.600000000000001</v>
      </c>
      <c r="J218" s="1">
        <v>0.47</v>
      </c>
      <c r="K218" s="2">
        <v>6.9</v>
      </c>
      <c r="L218" s="2">
        <v>10.4</v>
      </c>
      <c r="M218" s="1">
        <v>0.38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 t="s">
        <v>1937</v>
      </c>
      <c r="W218" s="1" t="s">
        <v>1967</v>
      </c>
    </row>
    <row r="219" spans="1:23" ht="12.4">
      <c r="A219" s="1">
        <v>218</v>
      </c>
      <c r="B219" s="1" t="s">
        <v>1968</v>
      </c>
      <c r="C219" s="1" t="s">
        <v>1496</v>
      </c>
      <c r="D219" s="1">
        <v>48.3</v>
      </c>
      <c r="E219" s="1">
        <v>0.56999999999999995</v>
      </c>
      <c r="F219" s="1">
        <v>11.92</v>
      </c>
      <c r="G219" s="1">
        <v>0.33</v>
      </c>
      <c r="H219" s="1">
        <v>0</v>
      </c>
      <c r="I219" s="2">
        <v>19.95</v>
      </c>
      <c r="J219" s="1">
        <v>0.43</v>
      </c>
      <c r="K219" s="2">
        <v>6.96</v>
      </c>
      <c r="L219" s="2">
        <v>9.67</v>
      </c>
      <c r="M219" s="1">
        <v>0.37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 t="s">
        <v>1937</v>
      </c>
      <c r="W219" s="1" t="s">
        <v>1969</v>
      </c>
    </row>
    <row r="220" spans="1:23" ht="12.4">
      <c r="A220" s="1">
        <v>219</v>
      </c>
      <c r="B220" s="1" t="s">
        <v>1970</v>
      </c>
      <c r="C220" s="1" t="s">
        <v>1496</v>
      </c>
      <c r="D220" s="1">
        <v>49.13</v>
      </c>
      <c r="E220" s="1">
        <v>0.7</v>
      </c>
      <c r="F220" s="1">
        <v>12.75</v>
      </c>
      <c r="G220" s="1">
        <v>0.32</v>
      </c>
      <c r="H220" s="1">
        <v>0</v>
      </c>
      <c r="I220" s="2">
        <v>19.829999999999998</v>
      </c>
      <c r="J220" s="1">
        <v>0.55000000000000004</v>
      </c>
      <c r="K220" s="2">
        <v>6.8</v>
      </c>
      <c r="L220" s="2">
        <v>10.48</v>
      </c>
      <c r="M220" s="1">
        <v>0.47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 t="s">
        <v>1937</v>
      </c>
      <c r="W220" s="1" t="s">
        <v>1971</v>
      </c>
    </row>
    <row r="221" spans="1:23" ht="12.4">
      <c r="A221" s="1">
        <v>220</v>
      </c>
      <c r="B221" s="1" t="s">
        <v>1972</v>
      </c>
      <c r="C221" s="1" t="s">
        <v>1496</v>
      </c>
      <c r="D221" s="1">
        <v>36.25</v>
      </c>
      <c r="E221" s="1">
        <v>0.08</v>
      </c>
      <c r="F221" s="1">
        <v>1.94</v>
      </c>
      <c r="G221" s="1">
        <v>0.43</v>
      </c>
      <c r="H221" s="1">
        <v>0</v>
      </c>
      <c r="I221" s="2">
        <v>12.59</v>
      </c>
      <c r="J221" s="1">
        <v>0.3</v>
      </c>
      <c r="K221" s="2">
        <v>23.7</v>
      </c>
      <c r="L221" s="2">
        <v>2.73</v>
      </c>
      <c r="M221" s="1">
        <v>0.9</v>
      </c>
      <c r="N221" s="1">
        <v>0.14000000000000001</v>
      </c>
      <c r="O221" s="1">
        <v>0.28999999999999998</v>
      </c>
      <c r="P221" s="1">
        <v>0</v>
      </c>
      <c r="Q221" s="1">
        <v>0</v>
      </c>
      <c r="R221" s="1">
        <v>1.78</v>
      </c>
      <c r="S221" s="1">
        <v>0.1</v>
      </c>
      <c r="T221" s="1">
        <v>0</v>
      </c>
      <c r="U221" s="1">
        <v>0</v>
      </c>
      <c r="V221" s="1" t="s">
        <v>1915</v>
      </c>
      <c r="W221" s="1" t="s">
        <v>1973</v>
      </c>
    </row>
    <row r="222" spans="1:23" ht="12.4">
      <c r="A222" s="1">
        <v>221</v>
      </c>
      <c r="B222" s="1" t="s">
        <v>1974</v>
      </c>
      <c r="C222" s="1" t="s">
        <v>1496</v>
      </c>
      <c r="D222" s="1">
        <v>39.72</v>
      </c>
      <c r="E222" s="1">
        <v>0</v>
      </c>
      <c r="F222" s="1">
        <v>1.88</v>
      </c>
      <c r="G222" s="1">
        <v>0.49</v>
      </c>
      <c r="H222" s="1">
        <v>0</v>
      </c>
      <c r="I222" s="2">
        <v>21.53</v>
      </c>
      <c r="J222" s="1">
        <v>0.21</v>
      </c>
      <c r="K222" s="2">
        <v>25.34</v>
      </c>
      <c r="L222" s="2">
        <v>1.23</v>
      </c>
      <c r="M222" s="1">
        <v>0.12</v>
      </c>
      <c r="N222" s="1">
        <v>0</v>
      </c>
      <c r="O222" s="1">
        <v>0</v>
      </c>
      <c r="P222" s="1">
        <v>0</v>
      </c>
      <c r="Q222" s="1">
        <v>0</v>
      </c>
      <c r="R222" s="1">
        <v>0.83</v>
      </c>
      <c r="S222" s="1">
        <v>500</v>
      </c>
      <c r="T222" s="1">
        <v>0</v>
      </c>
      <c r="U222" s="1">
        <v>0</v>
      </c>
      <c r="V222" s="1" t="s">
        <v>1975</v>
      </c>
      <c r="W222" s="1" t="s">
        <v>1976</v>
      </c>
    </row>
    <row r="223" spans="1:23" ht="12.4">
      <c r="A223" s="1">
        <v>222</v>
      </c>
      <c r="B223" s="1" t="s">
        <v>1977</v>
      </c>
      <c r="C223" s="1" t="s">
        <v>1496</v>
      </c>
      <c r="D223" s="1">
        <v>40.729999999999997</v>
      </c>
      <c r="E223" s="1">
        <v>0</v>
      </c>
      <c r="F223" s="1">
        <v>2.2999999999999998</v>
      </c>
      <c r="G223" s="1">
        <v>0.14000000000000001</v>
      </c>
      <c r="H223" s="1">
        <v>0</v>
      </c>
      <c r="I223" s="2">
        <v>20.74</v>
      </c>
      <c r="J223" s="1">
        <v>0.15</v>
      </c>
      <c r="K223" s="2">
        <v>25.16</v>
      </c>
      <c r="L223" s="2">
        <v>2.09</v>
      </c>
      <c r="M223" s="1">
        <v>0.92</v>
      </c>
      <c r="N223" s="1">
        <v>0.33</v>
      </c>
      <c r="O223" s="1">
        <v>0.19</v>
      </c>
      <c r="P223" s="1">
        <v>0</v>
      </c>
      <c r="Q223" s="1">
        <v>0</v>
      </c>
      <c r="R223" s="1">
        <v>0.41</v>
      </c>
      <c r="S223" s="1">
        <v>0.02</v>
      </c>
      <c r="T223" s="1">
        <v>0</v>
      </c>
      <c r="U223" s="1">
        <v>0</v>
      </c>
      <c r="V223" s="1" t="s">
        <v>1975</v>
      </c>
      <c r="W223" s="1" t="s">
        <v>1978</v>
      </c>
    </row>
    <row r="224" spans="1:23" ht="12.4">
      <c r="A224" s="1">
        <v>223</v>
      </c>
      <c r="B224" s="1" t="s">
        <v>1979</v>
      </c>
      <c r="C224" s="1" t="s">
        <v>1496</v>
      </c>
      <c r="D224" s="1">
        <v>40.520000000000003</v>
      </c>
      <c r="E224" s="1">
        <v>0.09</v>
      </c>
      <c r="F224" s="1">
        <v>3</v>
      </c>
      <c r="G224" s="1">
        <v>0.64</v>
      </c>
      <c r="H224" s="1">
        <v>0</v>
      </c>
      <c r="I224" s="2">
        <v>19.45</v>
      </c>
      <c r="J224" s="1">
        <v>0.32</v>
      </c>
      <c r="K224" s="2">
        <v>25.65</v>
      </c>
      <c r="L224" s="2">
        <v>1.51</v>
      </c>
      <c r="M224" s="1">
        <v>1.07</v>
      </c>
      <c r="N224" s="1">
        <v>0.13</v>
      </c>
      <c r="O224" s="1">
        <v>0.35</v>
      </c>
      <c r="P224" s="1">
        <v>0</v>
      </c>
      <c r="Q224" s="1">
        <v>0</v>
      </c>
      <c r="R224" s="1">
        <v>0.81</v>
      </c>
      <c r="S224" s="1">
        <v>0.04</v>
      </c>
      <c r="T224" s="1">
        <v>0</v>
      </c>
      <c r="U224" s="1">
        <v>0</v>
      </c>
      <c r="V224" s="1" t="s">
        <v>1975</v>
      </c>
      <c r="W224" s="1" t="s">
        <v>1980</v>
      </c>
    </row>
    <row r="225" spans="1:23" ht="12.4">
      <c r="A225" s="1">
        <v>224</v>
      </c>
      <c r="B225" s="1" t="s">
        <v>1981</v>
      </c>
      <c r="C225" s="1" t="s">
        <v>1496</v>
      </c>
      <c r="D225" s="1">
        <v>39.86</v>
      </c>
      <c r="E225" s="1">
        <v>0.42</v>
      </c>
      <c r="F225" s="1">
        <v>3.31</v>
      </c>
      <c r="G225" s="1">
        <v>0.42</v>
      </c>
      <c r="H225" s="1">
        <v>0</v>
      </c>
      <c r="I225" s="2">
        <v>18.670000000000002</v>
      </c>
      <c r="J225" s="1">
        <v>0.5</v>
      </c>
      <c r="K225" s="2">
        <v>25.69</v>
      </c>
      <c r="L225" s="2">
        <v>1.81</v>
      </c>
      <c r="M225" s="1">
        <v>1.36</v>
      </c>
      <c r="N225" s="1">
        <v>0.18</v>
      </c>
      <c r="O225" s="1">
        <v>0.3</v>
      </c>
      <c r="P225" s="1">
        <v>0</v>
      </c>
      <c r="Q225" s="1">
        <v>0</v>
      </c>
      <c r="R225" s="1">
        <v>1.05</v>
      </c>
      <c r="S225" s="1">
        <v>0</v>
      </c>
      <c r="T225" s="1">
        <v>0</v>
      </c>
      <c r="U225" s="1">
        <v>0</v>
      </c>
      <c r="V225" s="1" t="s">
        <v>1975</v>
      </c>
      <c r="W225" s="1" t="s">
        <v>1982</v>
      </c>
    </row>
    <row r="226" spans="1:23" ht="12.4">
      <c r="A226" s="1">
        <v>225</v>
      </c>
      <c r="B226" s="1" t="s">
        <v>1983</v>
      </c>
      <c r="C226" s="1" t="s">
        <v>1496</v>
      </c>
      <c r="D226" s="1">
        <v>23.4</v>
      </c>
      <c r="E226" s="1">
        <v>0</v>
      </c>
      <c r="F226" s="1">
        <v>3.1</v>
      </c>
      <c r="G226" s="1">
        <v>0.3</v>
      </c>
      <c r="H226" s="1">
        <v>0</v>
      </c>
      <c r="I226" s="2">
        <v>34.1</v>
      </c>
      <c r="J226" s="1">
        <v>0.2</v>
      </c>
      <c r="K226" s="2">
        <v>15.1</v>
      </c>
      <c r="L226" s="2">
        <v>0.9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0.08</v>
      </c>
      <c r="S226" s="1">
        <v>0</v>
      </c>
      <c r="T226" s="1">
        <v>0</v>
      </c>
      <c r="U226" s="1">
        <v>0</v>
      </c>
      <c r="V226" s="1" t="s">
        <v>1984</v>
      </c>
      <c r="W226" s="1" t="s">
        <v>1985</v>
      </c>
    </row>
    <row r="227" spans="1:23" ht="12.4">
      <c r="A227" s="1">
        <v>226</v>
      </c>
      <c r="B227" s="1" t="s">
        <v>1986</v>
      </c>
      <c r="C227" s="1" t="s">
        <v>1496</v>
      </c>
      <c r="D227" s="1">
        <v>17.010000000000002</v>
      </c>
      <c r="E227" s="1">
        <v>0.04</v>
      </c>
      <c r="F227" s="1">
        <v>0.82</v>
      </c>
      <c r="G227" s="1">
        <v>0</v>
      </c>
      <c r="H227" s="1">
        <v>0</v>
      </c>
      <c r="I227" s="2">
        <v>31.42</v>
      </c>
      <c r="J227" s="1">
        <v>0.2</v>
      </c>
      <c r="K227" s="2">
        <v>11.06</v>
      </c>
      <c r="L227" s="2">
        <v>0.85</v>
      </c>
      <c r="M227" s="1">
        <v>0</v>
      </c>
      <c r="N227" s="1">
        <v>7.0000000000000007E-2</v>
      </c>
      <c r="O227" s="1">
        <v>0.19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 t="s">
        <v>1987</v>
      </c>
      <c r="W227" s="1" t="s">
        <v>1988</v>
      </c>
    </row>
    <row r="228" spans="1:23" ht="12.4">
      <c r="A228" s="1">
        <v>227</v>
      </c>
      <c r="B228" s="1" t="s">
        <v>1989</v>
      </c>
      <c r="C228" s="1" t="s">
        <v>1496</v>
      </c>
      <c r="D228" s="1">
        <v>12.24</v>
      </c>
      <c r="E228" s="1">
        <v>0.06</v>
      </c>
      <c r="F228" s="1">
        <v>1.0900000000000001</v>
      </c>
      <c r="G228" s="1">
        <v>0</v>
      </c>
      <c r="H228" s="1">
        <v>0</v>
      </c>
      <c r="I228" s="2">
        <v>19.489999999999998</v>
      </c>
      <c r="J228" s="1">
        <v>0.16</v>
      </c>
      <c r="K228" s="2">
        <v>10.95</v>
      </c>
      <c r="L228" s="2">
        <v>1.19</v>
      </c>
      <c r="M228" s="1">
        <v>0</v>
      </c>
      <c r="N228" s="1">
        <v>0.05</v>
      </c>
      <c r="O228" s="1">
        <v>0.09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 t="s">
        <v>1990</v>
      </c>
      <c r="W228" s="1" t="s">
        <v>1991</v>
      </c>
    </row>
    <row r="229" spans="1:23" ht="12.4">
      <c r="A229" s="1">
        <v>228</v>
      </c>
      <c r="B229" s="1" t="s">
        <v>1992</v>
      </c>
      <c r="C229" s="1" t="s">
        <v>1496</v>
      </c>
      <c r="D229" s="1">
        <v>18.079999999999998</v>
      </c>
      <c r="E229" s="1">
        <v>0.06</v>
      </c>
      <c r="F229" s="1">
        <v>1.1200000000000001</v>
      </c>
      <c r="G229" s="1">
        <v>0</v>
      </c>
      <c r="H229" s="1">
        <v>0</v>
      </c>
      <c r="I229" s="2">
        <v>24.38</v>
      </c>
      <c r="J229" s="1">
        <v>0.25</v>
      </c>
      <c r="K229" s="2">
        <v>14.4</v>
      </c>
      <c r="L229" s="2">
        <v>1.22</v>
      </c>
      <c r="M229" s="1">
        <v>0</v>
      </c>
      <c r="N229" s="1">
        <v>0.09</v>
      </c>
      <c r="O229" s="1">
        <v>0.09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 t="s">
        <v>1990</v>
      </c>
      <c r="W229" s="1" t="s">
        <v>1993</v>
      </c>
    </row>
    <row r="230" spans="1:23" ht="12.4">
      <c r="A230" s="1">
        <v>229</v>
      </c>
      <c r="B230" s="1" t="s">
        <v>1994</v>
      </c>
      <c r="C230" s="1" t="s">
        <v>1496</v>
      </c>
      <c r="D230" s="1">
        <v>18.88</v>
      </c>
      <c r="E230" s="1">
        <v>7.0000000000000007E-2</v>
      </c>
      <c r="F230" s="1">
        <v>1.19</v>
      </c>
      <c r="G230" s="1">
        <v>0</v>
      </c>
      <c r="H230" s="1">
        <v>0</v>
      </c>
      <c r="I230" s="2">
        <v>21.25</v>
      </c>
      <c r="J230" s="1">
        <v>0.26</v>
      </c>
      <c r="K230" s="2">
        <v>15.16</v>
      </c>
      <c r="L230" s="2">
        <v>1.31</v>
      </c>
      <c r="M230" s="1">
        <v>0</v>
      </c>
      <c r="N230" s="1">
        <v>0.09</v>
      </c>
      <c r="O230" s="1">
        <v>0.1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 t="s">
        <v>1987</v>
      </c>
      <c r="W230" s="1" t="s">
        <v>1995</v>
      </c>
    </row>
    <row r="231" spans="1:23" ht="12.4">
      <c r="A231" s="1">
        <v>230</v>
      </c>
      <c r="B231" s="1" t="s">
        <v>1996</v>
      </c>
      <c r="C231" s="1" t="s">
        <v>1496</v>
      </c>
      <c r="D231" s="1">
        <v>18.52</v>
      </c>
      <c r="E231" s="1">
        <v>0.06</v>
      </c>
      <c r="F231" s="1">
        <v>1.1499999999999999</v>
      </c>
      <c r="G231" s="1">
        <v>0</v>
      </c>
      <c r="H231" s="1">
        <v>0</v>
      </c>
      <c r="I231" s="2">
        <v>21.85</v>
      </c>
      <c r="J231" s="1">
        <v>0.26</v>
      </c>
      <c r="K231" s="2">
        <v>15.05</v>
      </c>
      <c r="L231" s="2">
        <v>1.29</v>
      </c>
      <c r="M231" s="1">
        <v>0</v>
      </c>
      <c r="N231" s="1">
        <v>0.09</v>
      </c>
      <c r="O231" s="1">
        <v>0.1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 t="s">
        <v>1990</v>
      </c>
      <c r="W231" s="1" t="s">
        <v>1997</v>
      </c>
    </row>
    <row r="232" spans="1:23" ht="12.4">
      <c r="A232" s="1">
        <v>231</v>
      </c>
      <c r="B232" s="1" t="s">
        <v>1998</v>
      </c>
      <c r="C232" s="1" t="s">
        <v>1496</v>
      </c>
      <c r="D232" s="1">
        <v>18.059999999999999</v>
      </c>
      <c r="E232" s="1">
        <v>0.06</v>
      </c>
      <c r="F232" s="1">
        <v>1.21</v>
      </c>
      <c r="G232" s="1">
        <v>0</v>
      </c>
      <c r="H232" s="1">
        <v>0</v>
      </c>
      <c r="I232" s="2">
        <v>21.71</v>
      </c>
      <c r="J232" s="1">
        <v>0.25</v>
      </c>
      <c r="K232" s="2">
        <v>14.84</v>
      </c>
      <c r="L232" s="2">
        <v>1.26</v>
      </c>
      <c r="M232" s="1">
        <v>0</v>
      </c>
      <c r="N232" s="1">
        <v>0.09</v>
      </c>
      <c r="O232" s="1">
        <v>0.1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 t="s">
        <v>1990</v>
      </c>
      <c r="W232" s="1" t="s">
        <v>1999</v>
      </c>
    </row>
    <row r="233" spans="1:23" ht="12.4">
      <c r="A233" s="1">
        <v>232</v>
      </c>
      <c r="B233" s="1" t="s">
        <v>2000</v>
      </c>
      <c r="C233" s="1" t="s">
        <v>1496</v>
      </c>
      <c r="D233" s="1">
        <v>18.96</v>
      </c>
      <c r="E233" s="1">
        <v>0.06</v>
      </c>
      <c r="F233" s="1">
        <v>1.18</v>
      </c>
      <c r="G233" s="1">
        <v>0</v>
      </c>
      <c r="H233" s="1">
        <v>0</v>
      </c>
      <c r="I233" s="2">
        <v>20.350000000000001</v>
      </c>
      <c r="J233" s="1">
        <v>0.26</v>
      </c>
      <c r="K233" s="2">
        <v>15.15</v>
      </c>
      <c r="L233" s="2">
        <v>1.32</v>
      </c>
      <c r="M233" s="1">
        <v>0</v>
      </c>
      <c r="N233" s="1">
        <v>0.08</v>
      </c>
      <c r="O233" s="1">
        <v>0.09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 t="s">
        <v>1990</v>
      </c>
      <c r="W233" s="1" t="s">
        <v>2001</v>
      </c>
    </row>
    <row r="234" spans="1:23" ht="12.4">
      <c r="A234" s="1">
        <v>233</v>
      </c>
      <c r="B234" s="1" t="s">
        <v>2002</v>
      </c>
      <c r="C234" s="1" t="s">
        <v>1496</v>
      </c>
      <c r="D234" s="1">
        <v>16.64</v>
      </c>
      <c r="E234" s="1">
        <v>0.06</v>
      </c>
      <c r="F234" s="1">
        <v>1.06</v>
      </c>
      <c r="G234" s="1">
        <v>0</v>
      </c>
      <c r="H234" s="1">
        <v>0</v>
      </c>
      <c r="I234" s="2">
        <v>27.17</v>
      </c>
      <c r="J234" s="1">
        <v>0.23</v>
      </c>
      <c r="K234" s="2">
        <v>13.7</v>
      </c>
      <c r="L234" s="2">
        <v>1.17</v>
      </c>
      <c r="M234" s="1">
        <v>0</v>
      </c>
      <c r="N234" s="1">
        <v>0.08</v>
      </c>
      <c r="O234" s="1">
        <v>0.11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 t="s">
        <v>1990</v>
      </c>
      <c r="W234" s="1" t="s">
        <v>2003</v>
      </c>
    </row>
    <row r="235" spans="1:23" ht="12.4">
      <c r="A235" s="1">
        <v>234</v>
      </c>
      <c r="B235" s="1" t="s">
        <v>2004</v>
      </c>
      <c r="C235" s="1" t="s">
        <v>1496</v>
      </c>
      <c r="D235" s="1">
        <v>41.61</v>
      </c>
      <c r="E235" s="1">
        <v>0.13</v>
      </c>
      <c r="F235" s="1">
        <v>2.36</v>
      </c>
      <c r="G235" s="1">
        <v>0.57999999999999996</v>
      </c>
      <c r="H235" s="1">
        <v>0</v>
      </c>
      <c r="I235" s="2">
        <v>14.89</v>
      </c>
      <c r="J235" s="1">
        <v>0.35</v>
      </c>
      <c r="K235" s="2">
        <v>25.74</v>
      </c>
      <c r="L235" s="2">
        <v>1.96</v>
      </c>
      <c r="M235" s="1">
        <v>1.02</v>
      </c>
      <c r="N235" s="1">
        <v>0.1</v>
      </c>
      <c r="O235" s="1">
        <v>0.25</v>
      </c>
      <c r="P235" s="1">
        <v>0</v>
      </c>
      <c r="Q235" s="1">
        <v>0</v>
      </c>
      <c r="R235" s="1">
        <v>1.01</v>
      </c>
      <c r="S235" s="1">
        <v>0.03</v>
      </c>
      <c r="T235" s="1">
        <v>0</v>
      </c>
      <c r="U235" s="1">
        <v>0</v>
      </c>
      <c r="V235" s="1" t="s">
        <v>2005</v>
      </c>
      <c r="W235" s="1" t="s">
        <v>2006</v>
      </c>
    </row>
    <row r="236" spans="1:23" ht="12.4">
      <c r="A236" s="1">
        <v>235</v>
      </c>
      <c r="B236" s="1" t="s">
        <v>2007</v>
      </c>
      <c r="C236" s="1" t="s">
        <v>1496</v>
      </c>
      <c r="D236" s="1">
        <v>41.05</v>
      </c>
      <c r="E236" s="1">
        <v>0.14000000000000001</v>
      </c>
      <c r="F236" s="1">
        <v>2.64</v>
      </c>
      <c r="G236" s="1">
        <v>0.56000000000000005</v>
      </c>
      <c r="H236" s="1">
        <v>0</v>
      </c>
      <c r="I236" s="2">
        <v>17.43</v>
      </c>
      <c r="J236" s="1">
        <v>0.28000000000000003</v>
      </c>
      <c r="K236" s="2">
        <v>25.25</v>
      </c>
      <c r="L236" s="2">
        <v>2.12</v>
      </c>
      <c r="M236" s="1">
        <v>1.02</v>
      </c>
      <c r="N236" s="1">
        <v>7.0000000000000007E-2</v>
      </c>
      <c r="O236" s="1">
        <v>0.28000000000000003</v>
      </c>
      <c r="P236" s="1">
        <v>0</v>
      </c>
      <c r="Q236" s="1">
        <v>0</v>
      </c>
      <c r="R236" s="1">
        <v>0.9</v>
      </c>
      <c r="S236" s="1">
        <v>0.06</v>
      </c>
      <c r="T236" s="1">
        <v>0</v>
      </c>
      <c r="U236" s="1">
        <v>0</v>
      </c>
      <c r="V236" s="1" t="s">
        <v>1915</v>
      </c>
      <c r="W236" s="1" t="s">
        <v>2008</v>
      </c>
    </row>
    <row r="237" spans="1:23" ht="12.4">
      <c r="A237" s="1">
        <v>236</v>
      </c>
      <c r="B237" s="1" t="s">
        <v>2009</v>
      </c>
      <c r="C237" s="1" t="s">
        <v>1496</v>
      </c>
      <c r="D237" s="1">
        <v>36.840000000000003</v>
      </c>
      <c r="E237" s="1">
        <v>0.08</v>
      </c>
      <c r="F237" s="1">
        <v>2.4</v>
      </c>
      <c r="G237" s="1">
        <v>0.73</v>
      </c>
      <c r="H237" s="1">
        <v>0</v>
      </c>
      <c r="I237" s="2">
        <v>17.54</v>
      </c>
      <c r="J237" s="1">
        <v>0.34</v>
      </c>
      <c r="K237" s="2">
        <v>23.79</v>
      </c>
      <c r="L237" s="2">
        <v>1.61</v>
      </c>
      <c r="M237" s="1">
        <v>0.95</v>
      </c>
      <c r="N237" s="1">
        <v>0.04</v>
      </c>
      <c r="O237" s="1">
        <v>0.21</v>
      </c>
      <c r="P237" s="1">
        <v>0</v>
      </c>
      <c r="Q237" s="1">
        <v>0</v>
      </c>
      <c r="R237" s="1">
        <v>1.71</v>
      </c>
      <c r="S237" s="1">
        <v>0.1</v>
      </c>
      <c r="T237" s="1">
        <v>0</v>
      </c>
      <c r="U237" s="1">
        <v>0</v>
      </c>
      <c r="V237" s="1" t="s">
        <v>1915</v>
      </c>
      <c r="W237" s="1" t="s">
        <v>2010</v>
      </c>
    </row>
    <row r="238" spans="1:23" ht="12.4">
      <c r="A238" s="1">
        <v>237</v>
      </c>
      <c r="B238" s="1" t="s">
        <v>2011</v>
      </c>
      <c r="C238" s="1" t="s">
        <v>1496</v>
      </c>
      <c r="D238" s="1">
        <v>27.18</v>
      </c>
      <c r="E238" s="1">
        <v>0</v>
      </c>
      <c r="F238" s="1">
        <v>2.35</v>
      </c>
      <c r="G238" s="1">
        <v>0.35</v>
      </c>
      <c r="H238" s="1">
        <v>0</v>
      </c>
      <c r="I238" s="2">
        <v>20.28</v>
      </c>
      <c r="J238" s="1">
        <v>7.0000000000000007E-2</v>
      </c>
      <c r="K238" s="2">
        <v>19.05</v>
      </c>
      <c r="L238" s="2">
        <v>2.52</v>
      </c>
      <c r="M238" s="1">
        <v>0.18</v>
      </c>
      <c r="N238" s="1">
        <v>0</v>
      </c>
      <c r="O238" s="1">
        <v>0.15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 t="s">
        <v>1902</v>
      </c>
      <c r="W238" s="1" t="s">
        <v>2012</v>
      </c>
    </row>
    <row r="239" spans="1:23" ht="12.4">
      <c r="A239" s="1">
        <v>238</v>
      </c>
      <c r="B239" s="1" t="s">
        <v>2013</v>
      </c>
      <c r="C239" s="1" t="s">
        <v>1496</v>
      </c>
      <c r="D239" s="1">
        <v>36.21</v>
      </c>
      <c r="E239" s="1">
        <v>0.18</v>
      </c>
      <c r="F239" s="1">
        <v>3.67</v>
      </c>
      <c r="G239" s="1">
        <v>0.6</v>
      </c>
      <c r="H239" s="1">
        <v>0</v>
      </c>
      <c r="I239" s="2">
        <v>5.94</v>
      </c>
      <c r="J239" s="1">
        <v>0.31</v>
      </c>
      <c r="K239" s="2">
        <v>23.42</v>
      </c>
      <c r="L239" s="2">
        <v>1.18</v>
      </c>
      <c r="M239" s="1">
        <v>1.31</v>
      </c>
      <c r="N239" s="1">
        <v>0.24</v>
      </c>
      <c r="O239" s="1">
        <v>0</v>
      </c>
      <c r="P239" s="1">
        <v>0</v>
      </c>
      <c r="Q239" s="1">
        <v>0</v>
      </c>
      <c r="R239" s="1">
        <v>1.56</v>
      </c>
      <c r="S239" s="1">
        <v>0.1</v>
      </c>
      <c r="T239" s="1">
        <v>0</v>
      </c>
      <c r="U239" s="1">
        <v>0</v>
      </c>
      <c r="V239" s="1" t="s">
        <v>1902</v>
      </c>
      <c r="W239" s="1" t="s">
        <v>2014</v>
      </c>
    </row>
    <row r="240" spans="1:23" ht="12.4">
      <c r="A240" s="1">
        <v>239</v>
      </c>
      <c r="B240" s="1" t="s">
        <v>2015</v>
      </c>
      <c r="C240" s="1" t="s">
        <v>1496</v>
      </c>
      <c r="D240" s="1">
        <v>39.270000000000003</v>
      </c>
      <c r="E240" s="1">
        <v>0</v>
      </c>
      <c r="F240" s="1">
        <v>2.1</v>
      </c>
      <c r="G240" s="1">
        <v>0.32</v>
      </c>
      <c r="H240" s="1">
        <v>0.4</v>
      </c>
      <c r="I240" s="2">
        <v>12.06</v>
      </c>
      <c r="J240" s="1">
        <v>0.08</v>
      </c>
      <c r="K240" s="2">
        <v>24.88</v>
      </c>
      <c r="L240" s="2">
        <v>1.78</v>
      </c>
      <c r="M240" s="1">
        <v>0.92</v>
      </c>
      <c r="N240" s="1">
        <v>0.13</v>
      </c>
      <c r="O240" s="1">
        <v>0.26</v>
      </c>
      <c r="P240" s="1">
        <v>0</v>
      </c>
      <c r="Q240" s="1">
        <v>0</v>
      </c>
      <c r="R240" s="1">
        <v>1.19</v>
      </c>
      <c r="S240" s="1">
        <v>0.09</v>
      </c>
      <c r="T240" s="1">
        <v>0</v>
      </c>
      <c r="U240" s="1">
        <v>0</v>
      </c>
      <c r="V240" s="1" t="s">
        <v>2016</v>
      </c>
      <c r="W240" s="1" t="s">
        <v>2017</v>
      </c>
    </row>
    <row r="241" spans="1:23" ht="24.95">
      <c r="A241" s="1">
        <v>240</v>
      </c>
      <c r="B241" s="1" t="s">
        <v>2018</v>
      </c>
      <c r="C241" s="1" t="s">
        <v>1496</v>
      </c>
      <c r="D241" s="1">
        <v>53.98</v>
      </c>
      <c r="E241" s="1">
        <v>0</v>
      </c>
      <c r="F241" s="1">
        <v>4.78</v>
      </c>
      <c r="G241" s="1">
        <v>0.36</v>
      </c>
      <c r="H241" s="1">
        <v>0</v>
      </c>
      <c r="I241" s="2">
        <v>9.2799999999999994</v>
      </c>
      <c r="J241" s="1">
        <v>0</v>
      </c>
      <c r="K241" s="2">
        <v>25.19</v>
      </c>
      <c r="L241" s="2">
        <v>2.0299999999999998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1.35</v>
      </c>
      <c r="S241" s="1">
        <v>0</v>
      </c>
      <c r="T241" s="1">
        <v>0</v>
      </c>
      <c r="U241" s="1">
        <v>0</v>
      </c>
      <c r="V241" s="1" t="s">
        <v>2019</v>
      </c>
      <c r="W241" s="1" t="s">
        <v>2020</v>
      </c>
    </row>
    <row r="242" spans="1:23" ht="12.4">
      <c r="A242" s="1">
        <v>241</v>
      </c>
      <c r="B242" s="1" t="s">
        <v>2021</v>
      </c>
      <c r="C242" s="1" t="s">
        <v>1496</v>
      </c>
      <c r="D242" s="1">
        <v>39.15</v>
      </c>
      <c r="E242" s="1">
        <v>0.12</v>
      </c>
      <c r="F242" s="1">
        <v>2.2200000000000002</v>
      </c>
      <c r="G242" s="1">
        <v>0.49</v>
      </c>
      <c r="H242" s="1">
        <v>0</v>
      </c>
      <c r="I242" s="2">
        <v>16.21</v>
      </c>
      <c r="J242" s="1">
        <v>0.35</v>
      </c>
      <c r="K242" s="2">
        <v>23.86</v>
      </c>
      <c r="L242" s="2">
        <v>1.82</v>
      </c>
      <c r="M242" s="1">
        <v>0.9</v>
      </c>
      <c r="N242" s="1">
        <v>0.1</v>
      </c>
      <c r="O242" s="1">
        <v>0.24</v>
      </c>
      <c r="P242" s="1">
        <v>0</v>
      </c>
      <c r="Q242" s="1">
        <v>0</v>
      </c>
      <c r="R242" s="1">
        <v>1.17</v>
      </c>
      <c r="S242" s="1">
        <v>7.0000000000000007E-2</v>
      </c>
      <c r="T242" s="1">
        <v>0</v>
      </c>
      <c r="U242" s="1">
        <v>0</v>
      </c>
      <c r="V242" s="1" t="s">
        <v>2022</v>
      </c>
      <c r="W242" s="1" t="s">
        <v>2023</v>
      </c>
    </row>
    <row r="243" spans="1:23" ht="12.4">
      <c r="A243" s="1">
        <v>242</v>
      </c>
      <c r="B243" s="1" t="s">
        <v>2024</v>
      </c>
      <c r="C243" s="1" t="s">
        <v>1496</v>
      </c>
      <c r="D243" s="1">
        <v>39.94</v>
      </c>
      <c r="E243" s="1">
        <v>0.12</v>
      </c>
      <c r="F243" s="1">
        <v>1.86</v>
      </c>
      <c r="G243" s="1">
        <v>0.6</v>
      </c>
      <c r="H243" s="1">
        <v>0</v>
      </c>
      <c r="I243" s="2">
        <v>12.94</v>
      </c>
      <c r="J243" s="1">
        <v>0.33</v>
      </c>
      <c r="K243" s="2">
        <v>24.95</v>
      </c>
      <c r="L243" s="2">
        <v>1.74</v>
      </c>
      <c r="M243" s="1">
        <v>1.01</v>
      </c>
      <c r="N243" s="1">
        <v>0.13</v>
      </c>
      <c r="O243" s="1">
        <v>0.28999999999999998</v>
      </c>
      <c r="P243" s="1">
        <v>0</v>
      </c>
      <c r="Q243" s="1">
        <v>0</v>
      </c>
      <c r="R243" s="1">
        <v>1.3</v>
      </c>
      <c r="S243" s="1">
        <v>0.05</v>
      </c>
      <c r="T243" s="1">
        <v>0</v>
      </c>
      <c r="U243" s="1">
        <v>0</v>
      </c>
      <c r="V243" s="1" t="s">
        <v>2025</v>
      </c>
      <c r="W243" s="1" t="s">
        <v>2026</v>
      </c>
    </row>
    <row r="244" spans="1:23" ht="12.4">
      <c r="A244" s="1">
        <v>243</v>
      </c>
      <c r="B244" s="1" t="s">
        <v>2027</v>
      </c>
      <c r="C244" s="1" t="s">
        <v>1496</v>
      </c>
      <c r="D244" s="1">
        <v>36.4</v>
      </c>
      <c r="E244" s="1">
        <v>0.13</v>
      </c>
      <c r="F244" s="1">
        <v>2.7</v>
      </c>
      <c r="G244" s="1">
        <v>0.52</v>
      </c>
      <c r="H244" s="1">
        <v>0</v>
      </c>
      <c r="I244" s="2">
        <v>8.93</v>
      </c>
      <c r="J244" s="1">
        <v>0.31</v>
      </c>
      <c r="K244" s="2">
        <v>23.39</v>
      </c>
      <c r="L244" s="2">
        <v>1.66</v>
      </c>
      <c r="M244" s="1">
        <v>0.96</v>
      </c>
      <c r="N244" s="1">
        <v>0.08</v>
      </c>
      <c r="O244" s="1">
        <v>0.08</v>
      </c>
      <c r="P244" s="1">
        <v>0</v>
      </c>
      <c r="Q244" s="1">
        <v>0</v>
      </c>
      <c r="R244" s="1">
        <v>1.25</v>
      </c>
      <c r="S244" s="1">
        <v>0.08</v>
      </c>
      <c r="T244" s="1">
        <v>0</v>
      </c>
      <c r="U244" s="1">
        <v>0</v>
      </c>
      <c r="V244" s="1" t="s">
        <v>2028</v>
      </c>
      <c r="W244" s="1" t="s">
        <v>2029</v>
      </c>
    </row>
    <row r="245" spans="1:23" ht="12.4">
      <c r="A245" s="1">
        <v>244</v>
      </c>
      <c r="B245" s="1" t="s">
        <v>2030</v>
      </c>
      <c r="C245" s="1" t="s">
        <v>1496</v>
      </c>
      <c r="D245" s="1">
        <v>15.55</v>
      </c>
      <c r="E245" s="1">
        <v>0.09</v>
      </c>
      <c r="F245" s="1">
        <v>1.83</v>
      </c>
      <c r="G245" s="1">
        <v>0</v>
      </c>
      <c r="H245" s="1">
        <v>0</v>
      </c>
      <c r="I245" s="2">
        <v>22.02</v>
      </c>
      <c r="J245" s="1">
        <v>0.15</v>
      </c>
      <c r="K245" s="2">
        <v>14.86</v>
      </c>
      <c r="L245" s="2">
        <v>1.8</v>
      </c>
      <c r="M245" s="1">
        <v>0.11</v>
      </c>
      <c r="N245" s="1">
        <v>0.01</v>
      </c>
      <c r="O245" s="1">
        <v>0.1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 t="s">
        <v>2031</v>
      </c>
      <c r="W245" s="1" t="s">
        <v>2032</v>
      </c>
    </row>
    <row r="246" spans="1:23" ht="12.4">
      <c r="A246" s="1">
        <v>245</v>
      </c>
      <c r="B246" s="1" t="s">
        <v>2033</v>
      </c>
      <c r="C246" s="1" t="s">
        <v>1496</v>
      </c>
      <c r="D246" s="1">
        <v>33.28</v>
      </c>
      <c r="E246" s="1">
        <v>0.22</v>
      </c>
      <c r="F246" s="1">
        <v>2.77</v>
      </c>
      <c r="G246" s="1">
        <v>0.62</v>
      </c>
      <c r="H246" s="1">
        <v>0</v>
      </c>
      <c r="I246" s="2">
        <v>29.33</v>
      </c>
      <c r="J246" s="1">
        <v>0.19</v>
      </c>
      <c r="K246" s="2">
        <v>25.27</v>
      </c>
      <c r="L246" s="2">
        <v>2.1</v>
      </c>
      <c r="M246" s="1">
        <v>0.72</v>
      </c>
      <c r="N246" s="1">
        <v>0.03</v>
      </c>
      <c r="O246" s="1">
        <v>0.1</v>
      </c>
      <c r="P246" s="1">
        <v>0</v>
      </c>
      <c r="Q246" s="1">
        <v>0</v>
      </c>
      <c r="R246" s="1">
        <v>1.4</v>
      </c>
      <c r="S246" s="1">
        <v>0.06</v>
      </c>
      <c r="T246" s="1">
        <v>0</v>
      </c>
      <c r="U246" s="1">
        <v>0</v>
      </c>
      <c r="V246" s="1" t="s">
        <v>2034</v>
      </c>
      <c r="W246" s="1" t="s">
        <v>2035</v>
      </c>
    </row>
    <row r="247" spans="1:23" ht="12.4">
      <c r="A247" s="1">
        <v>246</v>
      </c>
      <c r="B247" s="1" t="s">
        <v>2036</v>
      </c>
      <c r="C247" s="1" t="s">
        <v>1496</v>
      </c>
      <c r="D247" s="1">
        <v>30.08</v>
      </c>
      <c r="E247" s="1">
        <v>0.13</v>
      </c>
      <c r="F247" s="1">
        <v>2.78</v>
      </c>
      <c r="G247" s="1">
        <v>0.5</v>
      </c>
      <c r="H247" s="1">
        <v>0</v>
      </c>
      <c r="I247" s="2">
        <v>5.25</v>
      </c>
      <c r="J247" s="1">
        <v>0.22</v>
      </c>
      <c r="K247" s="2">
        <v>19.77</v>
      </c>
      <c r="L247" s="2">
        <v>1.2</v>
      </c>
      <c r="M247" s="1">
        <v>0.69</v>
      </c>
      <c r="N247" s="1">
        <v>0.13</v>
      </c>
      <c r="O247" s="1">
        <v>0.36</v>
      </c>
      <c r="P247" s="1">
        <v>0</v>
      </c>
      <c r="Q247" s="1">
        <v>0</v>
      </c>
      <c r="R247" s="1">
        <v>2.2400000000000002</v>
      </c>
      <c r="S247" s="1">
        <v>0.13</v>
      </c>
      <c r="T247" s="1">
        <v>0</v>
      </c>
      <c r="U247" s="1">
        <v>0</v>
      </c>
      <c r="V247" s="1" t="s">
        <v>2037</v>
      </c>
      <c r="W247" s="1" t="s">
        <v>2038</v>
      </c>
    </row>
    <row r="248" spans="1:23" ht="12.4">
      <c r="A248" s="1">
        <v>247</v>
      </c>
      <c r="B248" s="1" t="s">
        <v>2039</v>
      </c>
      <c r="C248" s="1" t="s">
        <v>1496</v>
      </c>
      <c r="D248" s="1">
        <v>34.86</v>
      </c>
      <c r="E248" s="1">
        <v>0.13</v>
      </c>
      <c r="F248" s="1">
        <v>2.7</v>
      </c>
      <c r="G248" s="1">
        <v>0.56000000000000005</v>
      </c>
      <c r="H248" s="1">
        <v>0</v>
      </c>
      <c r="I248" s="2">
        <v>32.880000000000003</v>
      </c>
      <c r="J248" s="1">
        <v>0.22</v>
      </c>
      <c r="K248" s="2">
        <v>24.17</v>
      </c>
      <c r="L248" s="2">
        <v>2.1800000000000002</v>
      </c>
      <c r="M248" s="1">
        <v>0.57999999999999996</v>
      </c>
      <c r="N248" s="1">
        <v>0.05</v>
      </c>
      <c r="O248" s="1">
        <v>0.27</v>
      </c>
      <c r="P248" s="1">
        <v>0</v>
      </c>
      <c r="Q248" s="1">
        <v>0</v>
      </c>
      <c r="R248" s="1">
        <v>1.88</v>
      </c>
      <c r="S248" s="1">
        <v>0</v>
      </c>
      <c r="T248" s="1">
        <v>0</v>
      </c>
      <c r="U248" s="1">
        <v>0</v>
      </c>
      <c r="V248" s="1" t="s">
        <v>2040</v>
      </c>
      <c r="W248" s="1" t="s">
        <v>2041</v>
      </c>
    </row>
    <row r="249" spans="1:23" ht="12.4">
      <c r="A249" s="1">
        <v>248</v>
      </c>
      <c r="B249" s="1" t="s">
        <v>2042</v>
      </c>
      <c r="C249" s="1" t="s">
        <v>1496</v>
      </c>
      <c r="D249" s="1">
        <v>45.3</v>
      </c>
      <c r="E249" s="1">
        <v>0.35</v>
      </c>
      <c r="F249" s="1">
        <v>26.3</v>
      </c>
      <c r="G249" s="1">
        <v>0.1</v>
      </c>
      <c r="H249" s="1">
        <v>0</v>
      </c>
      <c r="I249" s="2">
        <v>5.3</v>
      </c>
      <c r="J249" s="1">
        <v>0.06</v>
      </c>
      <c r="K249" s="2">
        <v>6.7</v>
      </c>
      <c r="L249" s="2">
        <v>14.9</v>
      </c>
      <c r="M249" s="1">
        <v>0.46</v>
      </c>
      <c r="N249" s="1">
        <v>0.14000000000000001</v>
      </c>
      <c r="O249" s="1">
        <v>0.19</v>
      </c>
      <c r="P249" s="1">
        <v>0</v>
      </c>
      <c r="Q249" s="1">
        <v>7.8</v>
      </c>
      <c r="R249" s="1">
        <v>795</v>
      </c>
      <c r="S249" s="1">
        <v>49</v>
      </c>
      <c r="T249" s="1">
        <v>13</v>
      </c>
      <c r="U249" s="1">
        <v>0</v>
      </c>
      <c r="V249" s="1" t="s">
        <v>2043</v>
      </c>
      <c r="W249" s="1" t="s">
        <v>2044</v>
      </c>
    </row>
    <row r="250" spans="1:23" ht="12.4">
      <c r="A250" s="1">
        <v>249</v>
      </c>
      <c r="B250" s="1" t="s">
        <v>2045</v>
      </c>
      <c r="C250" s="1" t="s">
        <v>1496</v>
      </c>
      <c r="D250" s="1">
        <v>42.88</v>
      </c>
      <c r="E250" s="1">
        <v>0.05</v>
      </c>
      <c r="F250" s="1">
        <v>20.73</v>
      </c>
      <c r="G250" s="1">
        <v>0.11</v>
      </c>
      <c r="H250" s="1">
        <v>0</v>
      </c>
      <c r="I250" s="2">
        <v>4.99</v>
      </c>
      <c r="J250" s="1">
        <v>7.0000000000000007E-2</v>
      </c>
      <c r="K250" s="2">
        <v>19.09</v>
      </c>
      <c r="L250" s="2">
        <v>11.41</v>
      </c>
      <c r="M250" s="1">
        <v>0.23</v>
      </c>
      <c r="N250" s="1">
        <v>0.03</v>
      </c>
      <c r="O250" s="1">
        <v>0.03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 t="s">
        <v>2046</v>
      </c>
      <c r="W250" s="1" t="s">
        <v>2047</v>
      </c>
    </row>
    <row r="251" spans="1:23" ht="12.4">
      <c r="A251" s="1">
        <v>250</v>
      </c>
      <c r="B251" s="1" t="s">
        <v>2048</v>
      </c>
      <c r="C251" s="1" t="s">
        <v>1496</v>
      </c>
      <c r="D251" s="1">
        <v>39.93</v>
      </c>
      <c r="E251" s="1">
        <v>0.03</v>
      </c>
      <c r="F251" s="1">
        <v>1.53</v>
      </c>
      <c r="G251" s="1">
        <v>0.34</v>
      </c>
      <c r="H251" s="1">
        <v>0</v>
      </c>
      <c r="I251" s="2">
        <v>11.34</v>
      </c>
      <c r="J251" s="1">
        <v>0.13</v>
      </c>
      <c r="K251" s="2">
        <v>43.61</v>
      </c>
      <c r="L251" s="2">
        <v>1.1399999999999999</v>
      </c>
      <c r="M251" s="1">
        <v>0.02</v>
      </c>
      <c r="N251" s="1">
        <v>0</v>
      </c>
      <c r="O251" s="1">
        <v>0.04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 t="s">
        <v>2049</v>
      </c>
      <c r="W251" s="1" t="s">
        <v>2050</v>
      </c>
    </row>
    <row r="252" spans="1:23" ht="12.4">
      <c r="A252" s="1">
        <v>251</v>
      </c>
      <c r="B252" s="1" t="s">
        <v>2051</v>
      </c>
      <c r="C252" s="1" t="s">
        <v>1510</v>
      </c>
      <c r="D252" s="1">
        <v>53.9</v>
      </c>
      <c r="E252" s="1">
        <v>0.32</v>
      </c>
      <c r="F252" s="1">
        <v>3.44</v>
      </c>
      <c r="G252" s="1">
        <v>0.52</v>
      </c>
      <c r="H252" s="1">
        <v>0</v>
      </c>
      <c r="I252" s="2">
        <v>11.16</v>
      </c>
      <c r="J252" s="1">
        <v>0.2</v>
      </c>
      <c r="K252" s="2">
        <v>27.52</v>
      </c>
      <c r="L252" s="2">
        <v>3.26</v>
      </c>
      <c r="M252" s="1">
        <v>0.05</v>
      </c>
      <c r="N252" s="1">
        <v>0.01</v>
      </c>
      <c r="O252" s="1">
        <v>0.04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 t="s">
        <v>2052</v>
      </c>
      <c r="W252" s="1" t="s">
        <v>2053</v>
      </c>
    </row>
    <row r="253" spans="1:23" ht="24.95">
      <c r="A253" s="1">
        <v>252</v>
      </c>
      <c r="B253" s="1" t="s">
        <v>2054</v>
      </c>
      <c r="C253" s="1" t="s">
        <v>2055</v>
      </c>
      <c r="D253" s="1">
        <v>44.08</v>
      </c>
      <c r="E253" s="1">
        <v>0.02</v>
      </c>
      <c r="F253" s="1">
        <v>35.49</v>
      </c>
      <c r="G253" s="1">
        <v>0</v>
      </c>
      <c r="H253" s="1">
        <v>0</v>
      </c>
      <c r="I253" s="2">
        <v>0.23</v>
      </c>
      <c r="J253" s="1">
        <v>0</v>
      </c>
      <c r="K253" s="2">
        <v>0.09</v>
      </c>
      <c r="L253" s="2">
        <v>19.68</v>
      </c>
      <c r="M253" s="1">
        <v>0.34</v>
      </c>
      <c r="N253" s="1">
        <v>0.01</v>
      </c>
      <c r="O253" s="1">
        <v>0.01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 t="s">
        <v>2056</v>
      </c>
      <c r="W253" s="1" t="s">
        <v>2057</v>
      </c>
    </row>
    <row r="254" spans="1:23" ht="12.4">
      <c r="A254" s="1">
        <v>253</v>
      </c>
      <c r="B254" s="1" t="s">
        <v>2058</v>
      </c>
      <c r="C254" s="1" t="s">
        <v>2059</v>
      </c>
      <c r="D254" s="1">
        <v>45.24</v>
      </c>
      <c r="E254" s="1">
        <v>0.34</v>
      </c>
      <c r="F254" s="1">
        <v>7.53</v>
      </c>
      <c r="G254" s="1">
        <v>0.45</v>
      </c>
      <c r="H254" s="1">
        <v>0</v>
      </c>
      <c r="I254" s="2">
        <v>19.510000000000002</v>
      </c>
      <c r="J254" s="1">
        <v>0</v>
      </c>
      <c r="K254" s="2">
        <v>17.55</v>
      </c>
      <c r="L254" s="2">
        <v>8.23</v>
      </c>
      <c r="M254" s="1">
        <v>0.13</v>
      </c>
      <c r="N254" s="1">
        <v>0.01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/>
      <c r="W254" s="1" t="s">
        <v>2060</v>
      </c>
    </row>
    <row r="255" spans="1:23" ht="12.4">
      <c r="A255" s="1">
        <v>254</v>
      </c>
      <c r="B255" s="1" t="s">
        <v>2061</v>
      </c>
      <c r="C255" s="1" t="s">
        <v>1496</v>
      </c>
      <c r="D255" s="1">
        <v>45.6</v>
      </c>
      <c r="E255" s="1">
        <v>0.28999999999999998</v>
      </c>
      <c r="F255" s="1">
        <v>7.67</v>
      </c>
      <c r="G255" s="1">
        <v>0</v>
      </c>
      <c r="H255" s="1">
        <v>0</v>
      </c>
      <c r="I255" s="2">
        <v>19.7</v>
      </c>
      <c r="J255" s="1">
        <v>0</v>
      </c>
      <c r="K255" s="2">
        <v>16.600000000000001</v>
      </c>
      <c r="L255" s="2">
        <v>8.7200000000000006</v>
      </c>
      <c r="M255" s="1">
        <v>0.12</v>
      </c>
      <c r="N255" s="1">
        <v>0.06</v>
      </c>
      <c r="O255" s="1">
        <v>0</v>
      </c>
      <c r="P255" s="1">
        <v>0</v>
      </c>
      <c r="Q255" s="1">
        <v>0</v>
      </c>
      <c r="R255" s="1">
        <v>170</v>
      </c>
      <c r="S255" s="1">
        <v>72</v>
      </c>
      <c r="T255" s="1">
        <v>0</v>
      </c>
      <c r="U255" s="1">
        <v>150</v>
      </c>
      <c r="V255" s="1" t="s">
        <v>2056</v>
      </c>
      <c r="W255" s="1" t="s">
        <v>2062</v>
      </c>
    </row>
    <row r="256" spans="1:23" ht="12.4">
      <c r="A256" s="1">
        <v>255</v>
      </c>
      <c r="B256" s="1" t="s">
        <v>2063</v>
      </c>
      <c r="C256" s="1" t="s">
        <v>1496</v>
      </c>
      <c r="D256" s="1">
        <v>45</v>
      </c>
      <c r="E256" s="1">
        <v>0.8</v>
      </c>
      <c r="F256" s="1">
        <v>20.9</v>
      </c>
      <c r="G256" s="1">
        <v>0.25</v>
      </c>
      <c r="H256" s="1">
        <v>0</v>
      </c>
      <c r="I256" s="2">
        <v>8.4499999999999993</v>
      </c>
      <c r="J256" s="1">
        <v>0.12</v>
      </c>
      <c r="K256" s="2">
        <v>11</v>
      </c>
      <c r="L256" s="2">
        <v>12.2</v>
      </c>
      <c r="M256" s="1">
        <v>0.51</v>
      </c>
      <c r="N256" s="1">
        <v>0.25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 t="s">
        <v>2064</v>
      </c>
      <c r="W256" s="1" t="s">
        <v>2065</v>
      </c>
    </row>
    <row r="257" spans="1:23" ht="12.4">
      <c r="A257" s="1">
        <v>256</v>
      </c>
      <c r="B257" s="1" t="s">
        <v>2066</v>
      </c>
      <c r="C257" s="1" t="s">
        <v>1496</v>
      </c>
      <c r="D257" s="1">
        <v>43.5</v>
      </c>
      <c r="E257" s="1">
        <v>0.4</v>
      </c>
      <c r="F257" s="1">
        <v>28.7</v>
      </c>
      <c r="G257" s="1">
        <v>0.09</v>
      </c>
      <c r="H257" s="1">
        <v>0</v>
      </c>
      <c r="I257" s="2">
        <v>3.2</v>
      </c>
      <c r="J257" s="1">
        <v>0.03</v>
      </c>
      <c r="K257" s="2">
        <v>4.0999999999999996</v>
      </c>
      <c r="L257" s="2">
        <v>15.4</v>
      </c>
      <c r="M257" s="1">
        <v>0.44</v>
      </c>
      <c r="N257" s="1">
        <v>0.12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 t="s">
        <v>2067</v>
      </c>
      <c r="W257" s="1" t="s">
        <v>2068</v>
      </c>
    </row>
    <row r="258" spans="1:23" ht="12.4">
      <c r="A258" s="1">
        <v>257</v>
      </c>
      <c r="B258" s="1" t="s">
        <v>2069</v>
      </c>
      <c r="C258" s="1" t="s">
        <v>1496</v>
      </c>
      <c r="D258" s="1">
        <v>45</v>
      </c>
      <c r="E258" s="1">
        <v>0.54</v>
      </c>
      <c r="F258" s="1">
        <v>25.2</v>
      </c>
      <c r="G258" s="1">
        <v>0.13</v>
      </c>
      <c r="H258" s="1">
        <v>0</v>
      </c>
      <c r="I258" s="2">
        <v>4.8</v>
      </c>
      <c r="J258" s="1">
        <v>0.04</v>
      </c>
      <c r="K258" s="2">
        <v>7</v>
      </c>
      <c r="L258" s="2">
        <v>13.2</v>
      </c>
      <c r="M258" s="1">
        <v>0.43</v>
      </c>
      <c r="N258" s="1">
        <v>0.2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 t="s">
        <v>2070</v>
      </c>
      <c r="W258" s="1" t="s">
        <v>2071</v>
      </c>
    </row>
    <row r="259" spans="1:23" ht="12.4">
      <c r="A259" s="1">
        <v>258</v>
      </c>
      <c r="B259" s="1" t="s">
        <v>2072</v>
      </c>
      <c r="C259" s="1" t="s">
        <v>1496</v>
      </c>
      <c r="D259" s="1">
        <v>45</v>
      </c>
      <c r="E259" s="1">
        <v>0.69</v>
      </c>
      <c r="F259" s="1">
        <v>27.7</v>
      </c>
      <c r="G259" s="1">
        <v>0.11</v>
      </c>
      <c r="H259" s="1">
        <v>0</v>
      </c>
      <c r="I259" s="2">
        <v>4.0999999999999996</v>
      </c>
      <c r="J259" s="1">
        <v>0.03</v>
      </c>
      <c r="K259" s="2">
        <v>4.8</v>
      </c>
      <c r="L259" s="2">
        <v>14.4</v>
      </c>
      <c r="M259" s="1">
        <v>0.33</v>
      </c>
      <c r="N259" s="1">
        <v>0.1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 t="s">
        <v>2073</v>
      </c>
      <c r="W259" s="1" t="s">
        <v>2074</v>
      </c>
    </row>
    <row r="260" spans="1:23" ht="12.4">
      <c r="A260" s="1">
        <v>259</v>
      </c>
      <c r="B260" s="1" t="s">
        <v>2075</v>
      </c>
      <c r="C260" s="1" t="s">
        <v>1496</v>
      </c>
      <c r="D260" s="1">
        <v>45.2</v>
      </c>
      <c r="E260" s="1">
        <v>0.72</v>
      </c>
      <c r="F260" s="1">
        <v>25</v>
      </c>
      <c r="G260" s="1">
        <v>0.13</v>
      </c>
      <c r="H260" s="1">
        <v>0</v>
      </c>
      <c r="I260" s="2">
        <v>5.3</v>
      </c>
      <c r="J260" s="1">
        <v>0.04</v>
      </c>
      <c r="K260" s="2">
        <v>7.7</v>
      </c>
      <c r="L260" s="2">
        <v>13.7</v>
      </c>
      <c r="M260" s="1">
        <v>0.51</v>
      </c>
      <c r="N260" s="1">
        <v>0.2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 t="s">
        <v>2070</v>
      </c>
      <c r="W260" s="1" t="s">
        <v>2076</v>
      </c>
    </row>
    <row r="261" spans="1:23" ht="12.4">
      <c r="A261" s="1">
        <v>260</v>
      </c>
      <c r="B261" s="1" t="s">
        <v>2077</v>
      </c>
      <c r="C261" s="1" t="s">
        <v>1496</v>
      </c>
      <c r="D261" s="1">
        <v>26.73</v>
      </c>
      <c r="E261" s="1">
        <v>0.15</v>
      </c>
      <c r="F261" s="1">
        <v>3.11</v>
      </c>
      <c r="G261" s="1">
        <v>0.3</v>
      </c>
      <c r="H261" s="1">
        <v>0</v>
      </c>
      <c r="I261" s="2">
        <v>24.54</v>
      </c>
      <c r="J261" s="1">
        <v>0.15</v>
      </c>
      <c r="K261" s="2">
        <v>19.350000000000001</v>
      </c>
      <c r="L261" s="2">
        <v>2.2200000000000002</v>
      </c>
      <c r="M261" s="1">
        <v>1.07</v>
      </c>
      <c r="N261" s="1">
        <v>0.2</v>
      </c>
      <c r="O261" s="1">
        <v>0</v>
      </c>
      <c r="P261" s="1">
        <v>0</v>
      </c>
      <c r="Q261" s="1">
        <v>0</v>
      </c>
      <c r="R261" s="1">
        <v>1.1499999999999999</v>
      </c>
      <c r="S261" s="1">
        <v>0.03</v>
      </c>
      <c r="T261" s="1">
        <v>0</v>
      </c>
      <c r="U261" s="1">
        <v>0</v>
      </c>
      <c r="V261" s="1" t="s">
        <v>2078</v>
      </c>
      <c r="W261" s="1" t="s">
        <v>2079</v>
      </c>
    </row>
    <row r="262" spans="1:23" ht="12.4">
      <c r="A262" s="1">
        <v>261</v>
      </c>
      <c r="B262" s="1" t="s">
        <v>2080</v>
      </c>
      <c r="C262" s="1" t="s">
        <v>1496</v>
      </c>
      <c r="D262" s="1">
        <v>39.770000000000003</v>
      </c>
      <c r="E262" s="1">
        <v>0.14000000000000001</v>
      </c>
      <c r="F262" s="1">
        <v>3.42</v>
      </c>
      <c r="G262" s="1">
        <v>0.51</v>
      </c>
      <c r="H262" s="1">
        <v>0</v>
      </c>
      <c r="I262" s="2">
        <v>12.82</v>
      </c>
      <c r="J262" s="1">
        <v>0.31</v>
      </c>
      <c r="K262" s="2">
        <v>23.82</v>
      </c>
      <c r="L262" s="2">
        <v>1.79</v>
      </c>
      <c r="M262" s="1">
        <v>0.75</v>
      </c>
      <c r="N262" s="1">
        <v>0.22</v>
      </c>
      <c r="O262" s="1">
        <v>0.27</v>
      </c>
      <c r="P262" s="1">
        <v>0</v>
      </c>
      <c r="Q262" s="1">
        <v>0</v>
      </c>
      <c r="R262" s="1">
        <v>0.79</v>
      </c>
      <c r="S262" s="1">
        <v>0.04</v>
      </c>
      <c r="T262" s="1">
        <v>0</v>
      </c>
      <c r="U262" s="1">
        <v>0</v>
      </c>
      <c r="V262" s="1" t="s">
        <v>1902</v>
      </c>
      <c r="W262" s="1" t="s">
        <v>2081</v>
      </c>
    </row>
    <row r="263" spans="1:23" ht="12.4">
      <c r="A263" s="1">
        <v>262</v>
      </c>
      <c r="B263" s="1" t="s">
        <v>2082</v>
      </c>
      <c r="C263" s="1" t="s">
        <v>1496</v>
      </c>
      <c r="D263" s="1">
        <v>48.16</v>
      </c>
      <c r="E263" s="1">
        <v>0.32</v>
      </c>
      <c r="F263" s="1">
        <v>15.57</v>
      </c>
      <c r="G263" s="1">
        <v>0.44</v>
      </c>
      <c r="H263" s="1">
        <v>0</v>
      </c>
      <c r="I263" s="2">
        <v>15.02</v>
      </c>
      <c r="J263" s="1">
        <v>0.31</v>
      </c>
      <c r="K263" s="2">
        <v>8.41</v>
      </c>
      <c r="L263" s="2">
        <v>11.08</v>
      </c>
      <c r="M263" s="1">
        <v>0.45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 t="s">
        <v>2083</v>
      </c>
      <c r="W263" s="1" t="s">
        <v>2084</v>
      </c>
    </row>
    <row r="264" spans="1:23" ht="12.4">
      <c r="A264" s="1">
        <v>263</v>
      </c>
      <c r="B264" s="1" t="s">
        <v>2085</v>
      </c>
      <c r="C264" s="1" t="s">
        <v>1496</v>
      </c>
      <c r="D264" s="1">
        <v>40.61</v>
      </c>
      <c r="E264" s="1">
        <v>0.12</v>
      </c>
      <c r="F264" s="1">
        <v>2.63</v>
      </c>
      <c r="G264" s="1">
        <v>0.46</v>
      </c>
      <c r="H264" s="1">
        <v>0</v>
      </c>
      <c r="I264" s="2">
        <v>15.63</v>
      </c>
      <c r="J264" s="1">
        <v>0.33</v>
      </c>
      <c r="K264" s="2">
        <v>25.32</v>
      </c>
      <c r="L264" s="2">
        <v>1.56</v>
      </c>
      <c r="M264" s="1">
        <v>0.95</v>
      </c>
      <c r="N264" s="1">
        <v>0.11</v>
      </c>
      <c r="O264" s="1">
        <v>0.26</v>
      </c>
      <c r="P264" s="1">
        <v>0</v>
      </c>
      <c r="Q264" s="1">
        <v>0</v>
      </c>
      <c r="R264" s="1">
        <v>1.2</v>
      </c>
      <c r="S264" s="1">
        <v>0.08</v>
      </c>
      <c r="T264" s="1">
        <v>0</v>
      </c>
      <c r="U264" s="1">
        <v>0</v>
      </c>
      <c r="V264" s="1" t="s">
        <v>2086</v>
      </c>
      <c r="W264" s="1" t="s">
        <v>2087</v>
      </c>
    </row>
    <row r="265" spans="1:23" ht="12.4">
      <c r="A265" s="1">
        <v>264</v>
      </c>
      <c r="B265" s="1" t="s">
        <v>2088</v>
      </c>
      <c r="C265" s="1" t="s">
        <v>1496</v>
      </c>
      <c r="D265" s="1">
        <v>39.67</v>
      </c>
      <c r="E265" s="1">
        <v>0.15</v>
      </c>
      <c r="F265" s="1">
        <v>2.27</v>
      </c>
      <c r="G265" s="1">
        <v>0.52</v>
      </c>
      <c r="H265" s="1">
        <v>0</v>
      </c>
      <c r="I265" s="2">
        <v>14.61</v>
      </c>
      <c r="J265" s="1">
        <v>0.52</v>
      </c>
      <c r="K265" s="2">
        <v>24.67</v>
      </c>
      <c r="L265" s="2">
        <v>1.86</v>
      </c>
      <c r="M265" s="1">
        <v>0.77</v>
      </c>
      <c r="N265" s="1">
        <v>0.08</v>
      </c>
      <c r="O265" s="1">
        <v>0.24</v>
      </c>
      <c r="P265" s="1">
        <v>0</v>
      </c>
      <c r="Q265" s="1">
        <v>0</v>
      </c>
      <c r="R265" s="1">
        <v>1.25</v>
      </c>
      <c r="S265" s="1">
        <v>0.05</v>
      </c>
      <c r="T265" s="1">
        <v>0</v>
      </c>
      <c r="U265" s="1">
        <v>0</v>
      </c>
      <c r="V265" s="1" t="s">
        <v>2086</v>
      </c>
      <c r="W265" s="1" t="s">
        <v>2089</v>
      </c>
    </row>
    <row r="266" spans="1:23" ht="12.4">
      <c r="A266" s="1">
        <v>265</v>
      </c>
      <c r="B266" s="1" t="s">
        <v>2090</v>
      </c>
      <c r="C266" s="1" t="s">
        <v>1496</v>
      </c>
      <c r="D266" s="1">
        <v>40.1</v>
      </c>
      <c r="E266" s="1">
        <v>0.14000000000000001</v>
      </c>
      <c r="F266" s="1">
        <v>2.93</v>
      </c>
      <c r="G266" s="1">
        <v>0.52</v>
      </c>
      <c r="H266" s="1">
        <v>0</v>
      </c>
      <c r="I266" s="2">
        <v>14.29</v>
      </c>
      <c r="J266" s="1">
        <v>0.34</v>
      </c>
      <c r="K266" s="2">
        <v>25.01</v>
      </c>
      <c r="L266" s="2">
        <v>1.88</v>
      </c>
      <c r="M266" s="1">
        <v>0.84</v>
      </c>
      <c r="N266" s="1">
        <v>7.0000000000000007E-2</v>
      </c>
      <c r="O266" s="1">
        <v>0.2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 t="s">
        <v>2091</v>
      </c>
      <c r="W266" s="1" t="s">
        <v>2092</v>
      </c>
    </row>
    <row r="267" spans="1:23" ht="12.4">
      <c r="A267" s="1">
        <v>266</v>
      </c>
      <c r="B267" s="1" t="s">
        <v>1542</v>
      </c>
      <c r="C267" s="1" t="s">
        <v>1496</v>
      </c>
      <c r="D267" s="1">
        <v>38.58</v>
      </c>
      <c r="E267" s="1">
        <v>0.1</v>
      </c>
      <c r="F267" s="1">
        <v>2.2400000000000002</v>
      </c>
      <c r="G267" s="1">
        <v>0.24</v>
      </c>
      <c r="H267" s="1">
        <v>26.64</v>
      </c>
      <c r="I267" s="2">
        <v>0.5</v>
      </c>
      <c r="J267" s="1">
        <v>7.0000000000000007E-2</v>
      </c>
      <c r="K267" s="2">
        <v>20.69</v>
      </c>
      <c r="L267" s="2">
        <v>1.01</v>
      </c>
      <c r="M267" s="1">
        <v>0.66</v>
      </c>
      <c r="N267" s="1">
        <v>0.05</v>
      </c>
      <c r="O267" s="1">
        <v>0.13</v>
      </c>
      <c r="P267" s="1">
        <v>0</v>
      </c>
      <c r="Q267" s="1">
        <v>0</v>
      </c>
      <c r="R267" s="1">
        <v>0.1</v>
      </c>
      <c r="S267" s="1">
        <v>100</v>
      </c>
      <c r="T267" s="1">
        <v>0</v>
      </c>
      <c r="U267" s="1">
        <v>0</v>
      </c>
      <c r="V267" s="1" t="s">
        <v>2093</v>
      </c>
      <c r="W267" s="1" t="s">
        <v>2094</v>
      </c>
    </row>
    <row r="268" spans="1:23" ht="12.4">
      <c r="A268" s="1">
        <v>267</v>
      </c>
      <c r="B268" s="1" t="s">
        <v>2095</v>
      </c>
      <c r="C268" s="1" t="s">
        <v>1496</v>
      </c>
      <c r="D268" s="1">
        <v>23.94</v>
      </c>
      <c r="E268" s="1">
        <v>0</v>
      </c>
      <c r="F268" s="1">
        <v>1.1200000000000001</v>
      </c>
      <c r="G268" s="1">
        <v>0</v>
      </c>
      <c r="H268" s="1">
        <v>25.68</v>
      </c>
      <c r="I268" s="2">
        <v>5.92</v>
      </c>
      <c r="J268" s="1">
        <v>1.64</v>
      </c>
      <c r="K268" s="2">
        <v>24.52</v>
      </c>
      <c r="L268" s="2">
        <v>1.26</v>
      </c>
      <c r="M268" s="1">
        <v>0</v>
      </c>
      <c r="N268" s="1">
        <v>0</v>
      </c>
      <c r="O268" s="1">
        <v>0.46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 t="s">
        <v>2096</v>
      </c>
      <c r="W268" s="1" t="s">
        <v>2097</v>
      </c>
    </row>
    <row r="269" spans="1:23" ht="12.4">
      <c r="A269" s="1">
        <v>268</v>
      </c>
      <c r="B269" s="1" t="s">
        <v>2098</v>
      </c>
      <c r="C269" s="1" t="s">
        <v>1496</v>
      </c>
      <c r="D269" s="1">
        <v>44.3</v>
      </c>
      <c r="E269" s="1">
        <v>0.28999999999999998</v>
      </c>
      <c r="F269" s="1">
        <v>29.4</v>
      </c>
      <c r="G269" s="1">
        <v>0.12</v>
      </c>
      <c r="H269" s="1">
        <v>0</v>
      </c>
      <c r="I269" s="2">
        <v>5.0999999999999996</v>
      </c>
      <c r="J269" s="1">
        <v>0.04</v>
      </c>
      <c r="K269" s="2">
        <v>5.7</v>
      </c>
      <c r="L269" s="2">
        <v>15.8</v>
      </c>
      <c r="M269" s="1">
        <v>0.25</v>
      </c>
      <c r="N269" s="1">
        <v>0.06</v>
      </c>
      <c r="O269" s="1">
        <v>0.01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 t="s">
        <v>2099</v>
      </c>
      <c r="W269" s="1" t="s">
        <v>2100</v>
      </c>
    </row>
    <row r="270" spans="1:23" ht="12.4">
      <c r="A270" s="1">
        <v>269</v>
      </c>
      <c r="B270" s="1" t="s">
        <v>2101</v>
      </c>
      <c r="C270" s="1" t="s">
        <v>1496</v>
      </c>
      <c r="D270" s="1">
        <v>0</v>
      </c>
      <c r="E270" s="1">
        <v>1.91</v>
      </c>
      <c r="F270" s="1">
        <v>13.3</v>
      </c>
      <c r="G270" s="1">
        <v>0</v>
      </c>
      <c r="H270" s="1">
        <v>0</v>
      </c>
      <c r="I270" s="2">
        <v>13.5</v>
      </c>
      <c r="J270" s="1">
        <v>0</v>
      </c>
      <c r="K270" s="2">
        <v>9.1999999999999993</v>
      </c>
      <c r="L270" s="2">
        <v>10.5</v>
      </c>
      <c r="M270" s="1">
        <v>0.57999999999999996</v>
      </c>
      <c r="N270" s="1">
        <v>0</v>
      </c>
      <c r="O270" s="1">
        <v>0</v>
      </c>
      <c r="P270" s="1">
        <v>0</v>
      </c>
      <c r="Q270" s="1">
        <v>0</v>
      </c>
      <c r="R270" s="1">
        <v>95</v>
      </c>
      <c r="S270" s="1">
        <v>32.700000000000003</v>
      </c>
      <c r="T270" s="1">
        <v>0</v>
      </c>
      <c r="U270" s="1">
        <v>0</v>
      </c>
      <c r="V270" s="1" t="s">
        <v>2102</v>
      </c>
      <c r="W270" s="1" t="s">
        <v>2103</v>
      </c>
    </row>
    <row r="271" spans="1:23" ht="12.4">
      <c r="A271" s="1">
        <v>270</v>
      </c>
      <c r="B271" s="1" t="s">
        <v>2104</v>
      </c>
      <c r="C271" s="1" t="s">
        <v>1496</v>
      </c>
      <c r="D271" s="1">
        <v>40.11</v>
      </c>
      <c r="E271" s="1">
        <v>0.14000000000000001</v>
      </c>
      <c r="F271" s="1">
        <v>1.9</v>
      </c>
      <c r="G271" s="1">
        <v>0.45</v>
      </c>
      <c r="H271" s="1">
        <v>0</v>
      </c>
      <c r="I271" s="2">
        <v>12.01</v>
      </c>
      <c r="J271" s="1">
        <v>0.37</v>
      </c>
      <c r="K271" s="2">
        <v>25.18</v>
      </c>
      <c r="L271" s="2">
        <v>1.74</v>
      </c>
      <c r="M271" s="1">
        <v>0.93</v>
      </c>
      <c r="N271" s="1">
        <v>0.1</v>
      </c>
      <c r="O271" s="1">
        <v>0.4</v>
      </c>
      <c r="P271" s="1">
        <v>0</v>
      </c>
      <c r="Q271" s="1">
        <v>96</v>
      </c>
      <c r="R271" s="1">
        <v>0</v>
      </c>
      <c r="S271" s="1">
        <v>0</v>
      </c>
      <c r="T271" s="1">
        <v>0</v>
      </c>
      <c r="U271" s="1">
        <v>98</v>
      </c>
      <c r="V271" s="1" t="s">
        <v>2105</v>
      </c>
      <c r="W271" s="1" t="s">
        <v>2106</v>
      </c>
    </row>
    <row r="272" spans="1:23" ht="12.4">
      <c r="A272" s="1">
        <v>271</v>
      </c>
      <c r="B272" s="1" t="s">
        <v>2107</v>
      </c>
      <c r="C272" s="1" t="s">
        <v>1496</v>
      </c>
      <c r="D272" s="1">
        <v>36.090000000000003</v>
      </c>
      <c r="E272" s="1">
        <v>0.1</v>
      </c>
      <c r="F272" s="1">
        <v>2.16</v>
      </c>
      <c r="G272" s="1">
        <v>0.39</v>
      </c>
      <c r="H272" s="1">
        <v>0</v>
      </c>
      <c r="I272" s="2">
        <v>1.89</v>
      </c>
      <c r="J272" s="1">
        <v>0.28999999999999998</v>
      </c>
      <c r="K272" s="2">
        <v>23.62</v>
      </c>
      <c r="L272" s="2">
        <v>1.66</v>
      </c>
      <c r="M272" s="1">
        <v>0.9</v>
      </c>
      <c r="N272" s="1">
        <v>0.11</v>
      </c>
      <c r="O272" s="1">
        <v>0.3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 t="s">
        <v>2108</v>
      </c>
      <c r="W272" s="1" t="s">
        <v>2109</v>
      </c>
    </row>
    <row r="273" spans="1:23" ht="12.4">
      <c r="A273" s="1">
        <v>272</v>
      </c>
      <c r="B273" s="1" t="s">
        <v>2110</v>
      </c>
      <c r="C273" s="1" t="s">
        <v>1496</v>
      </c>
      <c r="D273" s="1">
        <v>30.98</v>
      </c>
      <c r="E273" s="1">
        <v>0.1</v>
      </c>
      <c r="F273" s="1">
        <v>2.4700000000000002</v>
      </c>
      <c r="G273" s="1">
        <v>0.14000000000000001</v>
      </c>
      <c r="H273" s="1">
        <v>0</v>
      </c>
      <c r="I273" s="2">
        <v>0.87</v>
      </c>
      <c r="J273" s="1">
        <v>0.06</v>
      </c>
      <c r="K273" s="2">
        <v>19.77</v>
      </c>
      <c r="L273" s="2">
        <v>1.39</v>
      </c>
      <c r="M273" s="1">
        <v>0.89</v>
      </c>
      <c r="N273" s="1">
        <v>0.09</v>
      </c>
      <c r="O273" s="1">
        <v>0.09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 t="s">
        <v>2111</v>
      </c>
      <c r="W273" s="1" t="s">
        <v>2112</v>
      </c>
    </row>
    <row r="274" spans="1:23" ht="12.4">
      <c r="A274" s="1">
        <v>273</v>
      </c>
      <c r="B274" s="1" t="s">
        <v>2113</v>
      </c>
      <c r="C274" s="1" t="s">
        <v>1496</v>
      </c>
      <c r="D274" s="1">
        <v>34.97</v>
      </c>
      <c r="E274" s="1">
        <v>0.11</v>
      </c>
      <c r="F274" s="1">
        <v>2.8</v>
      </c>
      <c r="G274" s="1">
        <v>0.38</v>
      </c>
      <c r="H274" s="1">
        <v>0</v>
      </c>
      <c r="I274" s="2">
        <v>10.130000000000001</v>
      </c>
      <c r="J274" s="1">
        <v>0.27</v>
      </c>
      <c r="K274" s="2">
        <v>21.75</v>
      </c>
      <c r="L274" s="2">
        <v>1.41</v>
      </c>
      <c r="M274" s="1">
        <v>0.66</v>
      </c>
      <c r="N274" s="1">
        <v>0.13</v>
      </c>
      <c r="O274" s="1">
        <v>0.41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 t="s">
        <v>2114</v>
      </c>
      <c r="W274" s="1" t="s">
        <v>2115</v>
      </c>
    </row>
    <row r="275" spans="1:23" ht="12.4">
      <c r="A275" s="1">
        <v>274</v>
      </c>
      <c r="B275" s="1" t="s">
        <v>2116</v>
      </c>
      <c r="C275" s="1" t="s">
        <v>1496</v>
      </c>
      <c r="D275" s="1">
        <v>36.630000000000003</v>
      </c>
      <c r="E275" s="1">
        <v>0.1</v>
      </c>
      <c r="F275" s="1">
        <v>2.46</v>
      </c>
      <c r="G275" s="1">
        <v>0.6</v>
      </c>
      <c r="H275" s="1">
        <v>0</v>
      </c>
      <c r="I275" s="2">
        <v>8.66</v>
      </c>
      <c r="J275" s="1">
        <v>0.28999999999999998</v>
      </c>
      <c r="K275" s="2">
        <v>23.39</v>
      </c>
      <c r="L275" s="2">
        <v>1.83</v>
      </c>
      <c r="M275" s="1">
        <v>0.91</v>
      </c>
      <c r="N275" s="1">
        <v>0.12</v>
      </c>
      <c r="O275" s="1">
        <v>0.38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 t="s">
        <v>2117</v>
      </c>
      <c r="W275" s="1" t="s">
        <v>2118</v>
      </c>
    </row>
    <row r="276" spans="1:23" ht="12.4">
      <c r="A276" s="1">
        <v>275</v>
      </c>
      <c r="B276" s="1" t="s">
        <v>2119</v>
      </c>
      <c r="C276" s="1" t="s">
        <v>1496</v>
      </c>
      <c r="D276" s="1">
        <v>40.17</v>
      </c>
      <c r="E276" s="1">
        <v>0.11</v>
      </c>
      <c r="F276" s="1">
        <v>2.4700000000000002</v>
      </c>
      <c r="G276" s="1">
        <v>0.72</v>
      </c>
      <c r="H276" s="1">
        <v>0</v>
      </c>
      <c r="I276" s="2">
        <v>15.41</v>
      </c>
      <c r="J276" s="1">
        <v>0.36</v>
      </c>
      <c r="K276" s="2">
        <v>26.29</v>
      </c>
      <c r="L276" s="2">
        <v>1.41</v>
      </c>
      <c r="M276" s="1">
        <v>0.95</v>
      </c>
      <c r="N276" s="1">
        <v>0.11</v>
      </c>
      <c r="O276" s="1">
        <v>0.36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 t="s">
        <v>2120</v>
      </c>
      <c r="W276" s="1" t="s">
        <v>2121</v>
      </c>
    </row>
    <row r="277" spans="1:23" ht="12.4">
      <c r="A277" s="1">
        <v>276</v>
      </c>
      <c r="B277" s="1" t="s">
        <v>2122</v>
      </c>
      <c r="C277" s="1" t="s">
        <v>2123</v>
      </c>
      <c r="D277" s="1">
        <v>56</v>
      </c>
      <c r="E277" s="1">
        <v>0.08</v>
      </c>
      <c r="F277" s="1">
        <v>2.2999999999999998</v>
      </c>
      <c r="G277" s="1">
        <v>0</v>
      </c>
      <c r="H277" s="1">
        <v>1.4</v>
      </c>
      <c r="I277" s="2">
        <v>4.22</v>
      </c>
      <c r="J277" s="1">
        <v>0.11</v>
      </c>
      <c r="K277" s="2">
        <v>20</v>
      </c>
      <c r="L277" s="2">
        <v>11.1</v>
      </c>
      <c r="M277" s="1">
        <v>1.1000000000000001</v>
      </c>
      <c r="N277" s="1">
        <v>0.1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 t="s">
        <v>2124</v>
      </c>
      <c r="W277" s="1" t="s">
        <v>2125</v>
      </c>
    </row>
    <row r="278" spans="1:23" ht="12.4">
      <c r="A278" s="1">
        <v>277</v>
      </c>
      <c r="B278" s="1" t="s">
        <v>2126</v>
      </c>
      <c r="C278" s="1" t="s">
        <v>2123</v>
      </c>
      <c r="D278" s="1">
        <v>55</v>
      </c>
      <c r="E278" s="1">
        <v>0.05</v>
      </c>
      <c r="F278" s="1">
        <v>0.6</v>
      </c>
      <c r="G278" s="1">
        <v>0</v>
      </c>
      <c r="H278" s="1">
        <v>1.83</v>
      </c>
      <c r="I278" s="2">
        <v>19.600000000000001</v>
      </c>
      <c r="J278" s="1">
        <v>0.28999999999999998</v>
      </c>
      <c r="K278" s="2">
        <v>11</v>
      </c>
      <c r="L278" s="2">
        <v>10</v>
      </c>
      <c r="M278" s="1">
        <v>0.24</v>
      </c>
      <c r="N278" s="1">
        <v>0.04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 t="s">
        <v>2124</v>
      </c>
      <c r="W278" s="1" t="s">
        <v>2127</v>
      </c>
    </row>
    <row r="279" spans="1:23" ht="12.4">
      <c r="A279" s="1">
        <v>278</v>
      </c>
      <c r="B279" s="1" t="s">
        <v>2128</v>
      </c>
      <c r="C279" s="1" t="s">
        <v>2123</v>
      </c>
      <c r="D279" s="1">
        <v>50.61</v>
      </c>
      <c r="E279" s="1">
        <v>0.09</v>
      </c>
      <c r="F279" s="1">
        <v>2.42</v>
      </c>
      <c r="G279" s="1">
        <v>0</v>
      </c>
      <c r="H279" s="1">
        <v>2.8</v>
      </c>
      <c r="I279" s="2">
        <v>19.899999999999999</v>
      </c>
      <c r="J279" s="1">
        <v>2.69</v>
      </c>
      <c r="K279" s="2">
        <v>8.26</v>
      </c>
      <c r="L279" s="2">
        <v>10.82</v>
      </c>
      <c r="M279" s="1">
        <v>0.48</v>
      </c>
      <c r="N279" s="1">
        <v>0.14000000000000001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 t="s">
        <v>2129</v>
      </c>
      <c r="W279" s="1" t="s">
        <v>2130</v>
      </c>
    </row>
    <row r="280" spans="1:23" ht="12.4">
      <c r="A280" s="1">
        <v>279</v>
      </c>
      <c r="B280" s="1" t="s">
        <v>2131</v>
      </c>
      <c r="C280" s="1" t="s">
        <v>1496</v>
      </c>
      <c r="D280" s="1">
        <v>44.3</v>
      </c>
      <c r="E280" s="1">
        <v>3.38</v>
      </c>
      <c r="F280" s="1">
        <v>15.3</v>
      </c>
      <c r="G280" s="1">
        <v>0</v>
      </c>
      <c r="H280" s="1">
        <v>12.3</v>
      </c>
      <c r="I280" s="2">
        <v>0</v>
      </c>
      <c r="J280" s="1">
        <v>0.2</v>
      </c>
      <c r="K280" s="2">
        <v>6.5</v>
      </c>
      <c r="L280" s="2">
        <v>9.9</v>
      </c>
      <c r="M280" s="1">
        <v>3.3</v>
      </c>
      <c r="N280" s="1">
        <v>2.4</v>
      </c>
      <c r="O280" s="1">
        <v>0.65</v>
      </c>
      <c r="P280" s="1">
        <v>3.3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/>
      <c r="W280" s="1" t="s">
        <v>2132</v>
      </c>
    </row>
    <row r="281" spans="1:23" ht="12.4">
      <c r="A281" s="1">
        <v>280</v>
      </c>
      <c r="B281" s="1" t="s">
        <v>2133</v>
      </c>
      <c r="C281" s="1" t="s">
        <v>1496</v>
      </c>
      <c r="D281" s="1">
        <v>42.7</v>
      </c>
      <c r="E281" s="1">
        <v>2.65</v>
      </c>
      <c r="F281" s="1">
        <v>12</v>
      </c>
      <c r="G281" s="1">
        <v>0</v>
      </c>
      <c r="H281" s="1">
        <v>12.7</v>
      </c>
      <c r="I281" s="2">
        <v>0</v>
      </c>
      <c r="J281" s="1">
        <v>0.19</v>
      </c>
      <c r="K281" s="2">
        <v>13.1</v>
      </c>
      <c r="L281" s="2">
        <v>10.4</v>
      </c>
      <c r="M281" s="1">
        <v>3.44</v>
      </c>
      <c r="N281" s="1">
        <v>0.8</v>
      </c>
      <c r="O281" s="1">
        <v>0.79</v>
      </c>
      <c r="P281" s="1">
        <v>1.9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/>
      <c r="W281" s="1" t="s">
        <v>2134</v>
      </c>
    </row>
    <row r="282" spans="1:23" ht="12.4">
      <c r="A282" s="1">
        <v>281</v>
      </c>
      <c r="B282" s="1" t="s">
        <v>2135</v>
      </c>
      <c r="C282" s="1" t="s">
        <v>1496</v>
      </c>
      <c r="D282" s="1">
        <v>43.7</v>
      </c>
      <c r="E282" s="1">
        <v>2.5</v>
      </c>
      <c r="F282" s="1">
        <v>13.7</v>
      </c>
      <c r="G282" s="1">
        <v>0</v>
      </c>
      <c r="H282" s="1">
        <v>12.3</v>
      </c>
      <c r="I282" s="2">
        <v>0</v>
      </c>
      <c r="J282" s="1">
        <v>0.19</v>
      </c>
      <c r="K282" s="2">
        <v>10.3</v>
      </c>
      <c r="L282" s="2">
        <v>10.1</v>
      </c>
      <c r="M282" s="1">
        <v>3.48</v>
      </c>
      <c r="N282" s="1">
        <v>2.27</v>
      </c>
      <c r="O282" s="1">
        <v>0.76</v>
      </c>
      <c r="P282" s="1">
        <v>1.6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/>
      <c r="W282" s="1" t="s">
        <v>2136</v>
      </c>
    </row>
    <row r="283" spans="1:23" ht="12.4">
      <c r="A283" s="1">
        <v>282</v>
      </c>
      <c r="B283" s="1" t="s">
        <v>2137</v>
      </c>
      <c r="C283" s="1" t="s">
        <v>1496</v>
      </c>
      <c r="D283" s="1">
        <v>44.7</v>
      </c>
      <c r="E283" s="1">
        <v>2.7</v>
      </c>
      <c r="F283" s="1">
        <v>12.6</v>
      </c>
      <c r="G283" s="1">
        <v>0</v>
      </c>
      <c r="H283" s="1">
        <v>12.3</v>
      </c>
      <c r="I283" s="2">
        <v>0</v>
      </c>
      <c r="J283" s="1">
        <v>0.15</v>
      </c>
      <c r="K283" s="2">
        <v>11.4</v>
      </c>
      <c r="L283" s="2">
        <v>12.4</v>
      </c>
      <c r="M283" s="1">
        <v>2.34</v>
      </c>
      <c r="N283" s="1">
        <v>0.9</v>
      </c>
      <c r="O283" s="1">
        <v>0.31</v>
      </c>
      <c r="P283" s="1">
        <v>1.3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/>
      <c r="W283" s="1" t="s">
        <v>2138</v>
      </c>
    </row>
    <row r="284" spans="1:23" ht="12.4">
      <c r="A284" s="1">
        <v>283</v>
      </c>
      <c r="B284" s="1" t="s">
        <v>2139</v>
      </c>
      <c r="C284" s="1" t="s">
        <v>1496</v>
      </c>
      <c r="D284" s="1">
        <v>43.3</v>
      </c>
      <c r="E284" s="1">
        <v>2.65</v>
      </c>
      <c r="F284" s="1">
        <v>12.1</v>
      </c>
      <c r="G284" s="1">
        <v>0</v>
      </c>
      <c r="H284" s="1">
        <v>13</v>
      </c>
      <c r="I284" s="2">
        <v>0</v>
      </c>
      <c r="J284" s="1">
        <v>0.22</v>
      </c>
      <c r="K284" s="2">
        <v>12.9</v>
      </c>
      <c r="L284" s="2">
        <v>9.5</v>
      </c>
      <c r="M284" s="1">
        <v>3.94</v>
      </c>
      <c r="N284" s="1">
        <v>0.83</v>
      </c>
      <c r="O284" s="1">
        <v>0.87</v>
      </c>
      <c r="P284" s="1">
        <v>1.4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/>
      <c r="W284" s="1" t="s">
        <v>2140</v>
      </c>
    </row>
    <row r="285" spans="1:23" ht="12.4">
      <c r="A285" s="1">
        <v>284</v>
      </c>
      <c r="B285" s="1" t="s">
        <v>2141</v>
      </c>
      <c r="C285" s="1" t="s">
        <v>2142</v>
      </c>
      <c r="D285" s="1">
        <v>47.73</v>
      </c>
      <c r="E285" s="1">
        <v>0.03</v>
      </c>
      <c r="F285" s="1">
        <v>0.25</v>
      </c>
      <c r="G285" s="1">
        <v>0</v>
      </c>
      <c r="H285" s="1">
        <v>0</v>
      </c>
      <c r="I285" s="2">
        <v>23.78</v>
      </c>
      <c r="J285" s="1">
        <v>5.42</v>
      </c>
      <c r="K285" s="2">
        <v>0.27</v>
      </c>
      <c r="L285" s="2">
        <v>21.67</v>
      </c>
      <c r="M285" s="1">
        <v>0.03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 t="s">
        <v>2143</v>
      </c>
      <c r="W285" s="1" t="s">
        <v>2144</v>
      </c>
    </row>
    <row r="286" spans="1:23" ht="12.4">
      <c r="A286" s="1">
        <v>285</v>
      </c>
      <c r="B286" s="1" t="s">
        <v>2145</v>
      </c>
      <c r="C286" s="1" t="s">
        <v>2146</v>
      </c>
      <c r="D286" s="1">
        <v>48.24</v>
      </c>
      <c r="E286" s="1">
        <v>0</v>
      </c>
      <c r="F286" s="1">
        <v>0.09</v>
      </c>
      <c r="G286" s="1">
        <v>0.03</v>
      </c>
      <c r="H286" s="1">
        <v>0</v>
      </c>
      <c r="I286" s="2">
        <v>23.17</v>
      </c>
      <c r="J286" s="1">
        <v>5.43</v>
      </c>
      <c r="K286" s="2">
        <v>0.1</v>
      </c>
      <c r="L286" s="2">
        <v>22.24</v>
      </c>
      <c r="M286" s="1">
        <v>0.01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 t="s">
        <v>2147</v>
      </c>
      <c r="W286" s="1" t="s">
        <v>2148</v>
      </c>
    </row>
    <row r="287" spans="1:23" ht="12.4">
      <c r="A287" s="1">
        <v>286</v>
      </c>
      <c r="B287" s="1" t="s">
        <v>2149</v>
      </c>
      <c r="C287" s="1" t="s">
        <v>2146</v>
      </c>
      <c r="D287" s="1">
        <v>47.79</v>
      </c>
      <c r="E287" s="1">
        <v>0.02</v>
      </c>
      <c r="F287" s="1">
        <v>0.5</v>
      </c>
      <c r="G287" s="1">
        <v>0</v>
      </c>
      <c r="H287" s="1">
        <v>0</v>
      </c>
      <c r="I287" s="2">
        <v>23.72</v>
      </c>
      <c r="J287" s="1">
        <v>3.9</v>
      </c>
      <c r="K287" s="2">
        <v>0.72</v>
      </c>
      <c r="L287" s="2">
        <v>22.28</v>
      </c>
      <c r="M287" s="1">
        <v>0.1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 t="s">
        <v>2147</v>
      </c>
      <c r="W287" s="1" t="s">
        <v>2150</v>
      </c>
    </row>
    <row r="288" spans="1:23" ht="12.4">
      <c r="A288" s="1">
        <v>287</v>
      </c>
      <c r="B288" s="1" t="s">
        <v>2141</v>
      </c>
      <c r="C288" s="1" t="s">
        <v>2151</v>
      </c>
      <c r="D288" s="1">
        <v>50.46</v>
      </c>
      <c r="E288" s="1">
        <v>0.57999999999999996</v>
      </c>
      <c r="F288" s="1">
        <v>1.41</v>
      </c>
      <c r="G288" s="1">
        <v>0</v>
      </c>
      <c r="H288" s="1">
        <v>0.12</v>
      </c>
      <c r="I288" s="2">
        <v>23.17</v>
      </c>
      <c r="J288" s="1">
        <v>0.54</v>
      </c>
      <c r="K288" s="2">
        <v>16.100000000000001</v>
      </c>
      <c r="L288" s="2">
        <v>7.05</v>
      </c>
      <c r="M288" s="1">
        <v>0.26</v>
      </c>
      <c r="N288" s="1">
        <v>0.03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 t="s">
        <v>2152</v>
      </c>
      <c r="W288" s="1" t="s">
        <v>2153</v>
      </c>
    </row>
    <row r="289" spans="1:23" ht="12.4">
      <c r="A289" s="1">
        <v>288</v>
      </c>
      <c r="B289" s="1" t="s">
        <v>2154</v>
      </c>
      <c r="C289" s="1" t="s">
        <v>2155</v>
      </c>
      <c r="D289" s="1">
        <v>52.35</v>
      </c>
      <c r="E289" s="1">
        <v>0.18</v>
      </c>
      <c r="F289" s="1">
        <v>3.63</v>
      </c>
      <c r="G289" s="1">
        <v>0.05</v>
      </c>
      <c r="H289" s="1">
        <v>0</v>
      </c>
      <c r="I289" s="2">
        <v>18.72</v>
      </c>
      <c r="J289" s="1">
        <v>0.37</v>
      </c>
      <c r="K289" s="2">
        <v>25.33</v>
      </c>
      <c r="L289" s="2">
        <v>0.49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 t="s">
        <v>2156</v>
      </c>
      <c r="W289" s="1" t="s">
        <v>2157</v>
      </c>
    </row>
    <row r="290" spans="1:23" ht="12.4">
      <c r="A290" s="1">
        <v>289</v>
      </c>
      <c r="B290" s="1" t="s">
        <v>2158</v>
      </c>
      <c r="C290" s="1" t="s">
        <v>2159</v>
      </c>
      <c r="D290" s="1">
        <v>53.85</v>
      </c>
      <c r="E290" s="1">
        <v>0.04</v>
      </c>
      <c r="F290" s="1">
        <v>0.66</v>
      </c>
      <c r="G290" s="1">
        <v>0.04</v>
      </c>
      <c r="H290" s="1">
        <v>0</v>
      </c>
      <c r="I290" s="2">
        <v>6.55</v>
      </c>
      <c r="J290" s="1">
        <v>0.05</v>
      </c>
      <c r="K290" s="2">
        <v>14.92</v>
      </c>
      <c r="L290" s="2">
        <v>23.5</v>
      </c>
      <c r="M290" s="1">
        <v>1.1000000000000001</v>
      </c>
      <c r="N290" s="1">
        <v>0.03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 t="s">
        <v>2160</v>
      </c>
      <c r="W290" s="1" t="s">
        <v>2161</v>
      </c>
    </row>
    <row r="291" spans="1:23" ht="12.4">
      <c r="A291" s="1">
        <v>290</v>
      </c>
      <c r="B291" s="1" t="s">
        <v>2162</v>
      </c>
      <c r="C291" s="1" t="s">
        <v>2155</v>
      </c>
      <c r="D291" s="1">
        <v>49.68</v>
      </c>
      <c r="E291" s="1">
        <v>0.09</v>
      </c>
      <c r="F291" s="1">
        <v>1.59</v>
      </c>
      <c r="G291" s="1">
        <v>0.03</v>
      </c>
      <c r="H291" s="1">
        <v>0</v>
      </c>
      <c r="I291" s="2">
        <v>30.34</v>
      </c>
      <c r="J291" s="1">
        <v>1.01</v>
      </c>
      <c r="K291" s="2">
        <v>16.07</v>
      </c>
      <c r="L291" s="2">
        <v>0.7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 t="s">
        <v>2163</v>
      </c>
      <c r="W291" s="1" t="s">
        <v>2164</v>
      </c>
    </row>
    <row r="292" spans="1:23" ht="12.4">
      <c r="A292" s="1">
        <v>291</v>
      </c>
      <c r="B292" s="1" t="s">
        <v>2165</v>
      </c>
      <c r="C292" s="1" t="s">
        <v>2155</v>
      </c>
      <c r="D292" s="1">
        <v>50.21</v>
      </c>
      <c r="E292" s="1">
        <v>0.2</v>
      </c>
      <c r="F292" s="1">
        <v>1.82</v>
      </c>
      <c r="G292" s="1">
        <v>0</v>
      </c>
      <c r="H292" s="1">
        <v>1.04</v>
      </c>
      <c r="I292" s="2">
        <v>22.9</v>
      </c>
      <c r="J292" s="1">
        <v>7.32</v>
      </c>
      <c r="K292" s="2">
        <v>16.03</v>
      </c>
      <c r="L292" s="2">
        <v>1.04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 t="s">
        <v>2166</v>
      </c>
      <c r="W292" s="1" t="s">
        <v>2167</v>
      </c>
    </row>
    <row r="293" spans="1:23" ht="12.4">
      <c r="A293" s="1">
        <v>292</v>
      </c>
      <c r="B293" s="1" t="s">
        <v>2168</v>
      </c>
      <c r="C293" s="1" t="s">
        <v>2155</v>
      </c>
      <c r="D293" s="1">
        <v>52.03</v>
      </c>
      <c r="E293" s="1">
        <v>0.26</v>
      </c>
      <c r="F293" s="1">
        <v>1.3</v>
      </c>
      <c r="G293" s="1">
        <v>0</v>
      </c>
      <c r="H293" s="1">
        <v>1.55</v>
      </c>
      <c r="I293" s="2">
        <v>22</v>
      </c>
      <c r="J293" s="1">
        <v>0.83</v>
      </c>
      <c r="K293" s="2">
        <v>21.59</v>
      </c>
      <c r="L293" s="2">
        <v>0.84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 t="s">
        <v>2166</v>
      </c>
      <c r="W293" s="1" t="s">
        <v>2169</v>
      </c>
    </row>
    <row r="294" spans="1:23" ht="24.95">
      <c r="A294" s="1">
        <v>293</v>
      </c>
      <c r="B294" s="1" t="s">
        <v>2170</v>
      </c>
      <c r="C294" s="1" t="s">
        <v>2171</v>
      </c>
      <c r="D294" s="1">
        <v>41.89</v>
      </c>
      <c r="E294" s="1">
        <v>3.42</v>
      </c>
      <c r="F294" s="1">
        <v>8.81</v>
      </c>
      <c r="G294" s="1">
        <v>0</v>
      </c>
      <c r="H294" s="1">
        <v>10.31</v>
      </c>
      <c r="I294" s="2">
        <v>0.69</v>
      </c>
      <c r="J294" s="1">
        <v>0.12</v>
      </c>
      <c r="K294" s="2">
        <v>11.63</v>
      </c>
      <c r="L294" s="2">
        <v>21.35</v>
      </c>
      <c r="M294" s="1">
        <v>1.1100000000000001</v>
      </c>
      <c r="N294" s="1">
        <v>0.01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 t="s">
        <v>2166</v>
      </c>
      <c r="W294" s="1" t="s">
        <v>2172</v>
      </c>
    </row>
    <row r="295" spans="1:23" ht="12.4">
      <c r="A295" s="1">
        <v>294</v>
      </c>
      <c r="B295" s="1" t="s">
        <v>2173</v>
      </c>
      <c r="C295" s="1" t="s">
        <v>2174</v>
      </c>
      <c r="D295" s="1">
        <v>38.14</v>
      </c>
      <c r="E295" s="1">
        <v>13.41</v>
      </c>
      <c r="F295" s="1">
        <v>8.6199999999999992</v>
      </c>
      <c r="G295" s="1">
        <v>0.41</v>
      </c>
      <c r="H295" s="1">
        <v>0</v>
      </c>
      <c r="I295" s="2">
        <v>19.2</v>
      </c>
      <c r="J295" s="1">
        <v>0.26</v>
      </c>
      <c r="K295" s="2">
        <v>9.0399999999999991</v>
      </c>
      <c r="L295" s="2">
        <v>10.77</v>
      </c>
      <c r="M295" s="1">
        <v>0.31</v>
      </c>
      <c r="N295" s="1">
        <v>0.06</v>
      </c>
      <c r="O295" s="1">
        <v>0.08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 t="s">
        <v>2175</v>
      </c>
      <c r="W295" s="1" t="s">
        <v>2176</v>
      </c>
    </row>
    <row r="296" spans="1:23" ht="12.4">
      <c r="A296" s="1">
        <v>295</v>
      </c>
      <c r="B296" s="1" t="s">
        <v>2177</v>
      </c>
      <c r="C296" s="1" t="s">
        <v>1496</v>
      </c>
      <c r="D296" s="1">
        <v>44.71</v>
      </c>
      <c r="E296" s="1">
        <v>1.9</v>
      </c>
      <c r="F296" s="1">
        <v>19.690000000000001</v>
      </c>
      <c r="G296" s="1">
        <v>0.24</v>
      </c>
      <c r="H296" s="1">
        <v>0</v>
      </c>
      <c r="I296" s="2">
        <v>8.86</v>
      </c>
      <c r="J296" s="1">
        <v>0.11</v>
      </c>
      <c r="K296" s="2">
        <v>10.95</v>
      </c>
      <c r="L296" s="2">
        <v>12.9</v>
      </c>
      <c r="M296" s="1">
        <v>0.4</v>
      </c>
      <c r="N296" s="1">
        <v>0.16</v>
      </c>
      <c r="O296" s="1">
        <v>0.14000000000000001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 t="s">
        <v>2178</v>
      </c>
      <c r="W296" s="1" t="s">
        <v>2179</v>
      </c>
    </row>
    <row r="297" spans="1:23" ht="12.4">
      <c r="A297" s="1">
        <v>296</v>
      </c>
      <c r="B297" s="1" t="s">
        <v>2180</v>
      </c>
      <c r="C297" s="1" t="s">
        <v>1496</v>
      </c>
      <c r="D297" s="1">
        <v>42.9</v>
      </c>
      <c r="E297" s="1">
        <v>0.05</v>
      </c>
      <c r="F297" s="1">
        <v>20.7</v>
      </c>
      <c r="G297" s="1">
        <v>0.1</v>
      </c>
      <c r="H297" s="1">
        <v>0</v>
      </c>
      <c r="I297" s="2">
        <v>5</v>
      </c>
      <c r="J297" s="1">
        <v>7.0000000000000007E-2</v>
      </c>
      <c r="K297" s="2">
        <v>19.100000000000001</v>
      </c>
      <c r="L297" s="2">
        <v>11.4</v>
      </c>
      <c r="M297" s="1">
        <v>0.2</v>
      </c>
      <c r="N297" s="1">
        <v>0.03</v>
      </c>
      <c r="O297" s="1">
        <v>0.03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 t="s">
        <v>2181</v>
      </c>
      <c r="W297" s="1" t="s">
        <v>2182</v>
      </c>
    </row>
    <row r="298" spans="1:23" ht="12.4">
      <c r="A298" s="1">
        <v>297</v>
      </c>
      <c r="B298" s="1" t="s">
        <v>2183</v>
      </c>
      <c r="C298" s="1" t="s">
        <v>1496</v>
      </c>
      <c r="D298" s="1">
        <v>44.8</v>
      </c>
      <c r="E298" s="1">
        <v>0.3</v>
      </c>
      <c r="F298" s="1">
        <v>27.6</v>
      </c>
      <c r="G298" s="1">
        <v>0.1</v>
      </c>
      <c r="H298" s="1">
        <v>0</v>
      </c>
      <c r="I298" s="2">
        <v>4.1500000000000004</v>
      </c>
      <c r="J298" s="1">
        <v>0.05</v>
      </c>
      <c r="K298" s="2">
        <v>5.84</v>
      </c>
      <c r="L298" s="2">
        <v>16.3</v>
      </c>
      <c r="M298" s="1">
        <v>0.55000000000000004</v>
      </c>
      <c r="N298" s="1">
        <v>0.11</v>
      </c>
      <c r="O298" s="1">
        <v>0</v>
      </c>
      <c r="P298" s="1">
        <v>0</v>
      </c>
      <c r="Q298" s="1">
        <v>0</v>
      </c>
      <c r="R298" s="1">
        <v>0</v>
      </c>
      <c r="S298" s="1">
        <v>18.8</v>
      </c>
      <c r="T298" s="1">
        <v>2.2999999999999998</v>
      </c>
      <c r="U298" s="1">
        <v>0</v>
      </c>
      <c r="V298" s="1" t="s">
        <v>2184</v>
      </c>
      <c r="W298" s="1" t="s">
        <v>2185</v>
      </c>
    </row>
    <row r="299" spans="1:23" ht="12.4">
      <c r="A299" s="1">
        <v>298</v>
      </c>
      <c r="B299" s="1" t="s">
        <v>2186</v>
      </c>
      <c r="C299" s="1" t="s">
        <v>1496</v>
      </c>
      <c r="D299" s="1">
        <v>44.51</v>
      </c>
      <c r="E299" s="1">
        <v>2.56</v>
      </c>
      <c r="F299" s="1">
        <v>19.36</v>
      </c>
      <c r="G299" s="1">
        <v>0.27</v>
      </c>
      <c r="H299" s="1">
        <v>0</v>
      </c>
      <c r="I299" s="2">
        <v>10.24</v>
      </c>
      <c r="J299" s="1">
        <v>0.13</v>
      </c>
      <c r="K299" s="2">
        <v>9.93</v>
      </c>
      <c r="L299" s="2">
        <v>12.44</v>
      </c>
      <c r="M299" s="1">
        <v>0.4</v>
      </c>
      <c r="N299" s="1">
        <v>0.13</v>
      </c>
      <c r="O299" s="1">
        <v>0.14000000000000001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 t="s">
        <v>2187</v>
      </c>
      <c r="W299" s="1" t="s">
        <v>2188</v>
      </c>
    </row>
    <row r="300" spans="1:23" ht="12.4">
      <c r="A300" s="1">
        <v>299</v>
      </c>
      <c r="B300" s="1" t="s">
        <v>2189</v>
      </c>
      <c r="C300" s="1" t="s">
        <v>1496</v>
      </c>
      <c r="D300" s="1">
        <v>38.799999999999997</v>
      </c>
      <c r="E300" s="1">
        <v>8.8000000000000007</v>
      </c>
      <c r="F300" s="1">
        <v>6.4</v>
      </c>
      <c r="G300" s="1">
        <v>0.7</v>
      </c>
      <c r="H300" s="1">
        <v>0</v>
      </c>
      <c r="I300" s="2">
        <v>22.2</v>
      </c>
      <c r="J300" s="1">
        <v>0.3</v>
      </c>
      <c r="K300" s="2">
        <v>17.399999999999999</v>
      </c>
      <c r="L300" s="2">
        <v>7.7</v>
      </c>
      <c r="M300" s="1">
        <v>0.4</v>
      </c>
      <c r="N300" s="1">
        <v>0.08</v>
      </c>
      <c r="O300" s="1">
        <v>0.04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 t="s">
        <v>2190</v>
      </c>
      <c r="W300" s="1" t="s">
        <v>2191</v>
      </c>
    </row>
    <row r="301" spans="1:23" ht="12.4">
      <c r="A301" s="1">
        <v>300</v>
      </c>
      <c r="B301" s="1" t="s">
        <v>2192</v>
      </c>
      <c r="C301" s="1" t="s">
        <v>1496</v>
      </c>
      <c r="D301" s="1">
        <v>39.020000000000003</v>
      </c>
      <c r="E301" s="1">
        <v>12.28</v>
      </c>
      <c r="F301" s="1">
        <v>8.91</v>
      </c>
      <c r="G301" s="1">
        <v>1.47</v>
      </c>
      <c r="H301" s="1">
        <v>0</v>
      </c>
      <c r="I301" s="2">
        <v>18.93</v>
      </c>
      <c r="J301" s="1">
        <v>0.27</v>
      </c>
      <c r="K301" s="2">
        <v>8.9</v>
      </c>
      <c r="L301" s="2">
        <v>10.78</v>
      </c>
      <c r="M301" s="1">
        <v>0.38</v>
      </c>
      <c r="N301" s="1">
        <v>0.08</v>
      </c>
      <c r="O301" s="1">
        <v>0.05</v>
      </c>
      <c r="P301" s="1">
        <v>0</v>
      </c>
      <c r="Q301" s="1">
        <v>0</v>
      </c>
      <c r="R301" s="1">
        <v>1</v>
      </c>
      <c r="S301" s="1">
        <v>19.100000000000001</v>
      </c>
      <c r="T301" s="1">
        <v>3.7</v>
      </c>
      <c r="U301" s="1">
        <v>0</v>
      </c>
      <c r="V301" s="1" t="s">
        <v>2193</v>
      </c>
      <c r="W301" s="1" t="s">
        <v>2194</v>
      </c>
    </row>
    <row r="302" spans="1:23" ht="12.4">
      <c r="A302" s="1">
        <v>301</v>
      </c>
      <c r="B302" s="1" t="s">
        <v>2195</v>
      </c>
      <c r="C302" s="1" t="s">
        <v>1496</v>
      </c>
      <c r="D302" s="1">
        <v>40.78</v>
      </c>
      <c r="E302" s="1">
        <v>8.61</v>
      </c>
      <c r="F302" s="1">
        <v>12.54</v>
      </c>
      <c r="G302" s="1">
        <v>0.41</v>
      </c>
      <c r="H302" s="1">
        <v>0</v>
      </c>
      <c r="I302" s="2">
        <v>15.84</v>
      </c>
      <c r="J302" s="1">
        <v>0.24</v>
      </c>
      <c r="K302" s="2">
        <v>9.15</v>
      </c>
      <c r="L302" s="2">
        <v>11.36</v>
      </c>
      <c r="M302" s="1">
        <v>0.38</v>
      </c>
      <c r="N302" s="1">
        <v>0.12</v>
      </c>
      <c r="O302" s="1">
        <v>0.09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 t="s">
        <v>2196</v>
      </c>
      <c r="W302" s="1" t="s">
        <v>2197</v>
      </c>
    </row>
    <row r="303" spans="1:23" ht="12.4">
      <c r="A303" s="1">
        <v>302</v>
      </c>
      <c r="B303" s="1" t="s">
        <v>2198</v>
      </c>
      <c r="C303" s="1" t="s">
        <v>1496</v>
      </c>
      <c r="D303" s="1">
        <v>38.43</v>
      </c>
      <c r="E303" s="1">
        <v>12.7</v>
      </c>
      <c r="F303" s="1">
        <v>8.7200000000000006</v>
      </c>
      <c r="G303" s="1">
        <v>0.65</v>
      </c>
      <c r="H303" s="1">
        <v>0</v>
      </c>
      <c r="I303" s="2">
        <v>18.14</v>
      </c>
      <c r="J303" s="1">
        <v>0.26</v>
      </c>
      <c r="K303" s="2">
        <v>10.36</v>
      </c>
      <c r="L303" s="2">
        <v>10.32</v>
      </c>
      <c r="M303" s="1">
        <v>0.35</v>
      </c>
      <c r="N303" s="1">
        <v>7.0000000000000007E-2</v>
      </c>
      <c r="O303" s="1">
        <v>0.06</v>
      </c>
      <c r="P303" s="1">
        <v>0</v>
      </c>
      <c r="Q303" s="1">
        <v>0</v>
      </c>
      <c r="R303" s="1">
        <v>0</v>
      </c>
      <c r="S303" s="1">
        <v>23.5</v>
      </c>
      <c r="T303" s="1">
        <v>0</v>
      </c>
      <c r="U303" s="1">
        <v>0</v>
      </c>
      <c r="V303" s="1" t="s">
        <v>2199</v>
      </c>
      <c r="W303" s="1" t="s">
        <v>1815</v>
      </c>
    </row>
    <row r="304" spans="1:23" ht="12.4">
      <c r="A304" s="1">
        <v>303</v>
      </c>
      <c r="B304" s="1" t="s">
        <v>2200</v>
      </c>
      <c r="C304" s="1" t="s">
        <v>1496</v>
      </c>
      <c r="D304" s="1">
        <v>40.6</v>
      </c>
      <c r="E304" s="1">
        <v>10.79</v>
      </c>
      <c r="F304" s="1">
        <v>9.67</v>
      </c>
      <c r="G304" s="1">
        <v>0.27</v>
      </c>
      <c r="H304" s="1">
        <v>0</v>
      </c>
      <c r="I304" s="2">
        <v>18.010000000000002</v>
      </c>
      <c r="J304" s="1">
        <v>0.28999999999999998</v>
      </c>
      <c r="K304" s="2">
        <v>7.05</v>
      </c>
      <c r="L304" s="2">
        <v>12.35</v>
      </c>
      <c r="M304" s="1">
        <v>0.43</v>
      </c>
      <c r="N304" s="1">
        <v>0.08</v>
      </c>
      <c r="O304" s="1">
        <v>0.06</v>
      </c>
      <c r="P304" s="1">
        <v>0</v>
      </c>
      <c r="Q304" s="1">
        <v>0</v>
      </c>
      <c r="R304" s="1">
        <v>0</v>
      </c>
      <c r="S304" s="1">
        <v>14.5</v>
      </c>
      <c r="T304" s="1">
        <v>0</v>
      </c>
      <c r="U304" s="1">
        <v>0</v>
      </c>
      <c r="V304" s="1" t="s">
        <v>2201</v>
      </c>
      <c r="W304" s="1" t="s">
        <v>2202</v>
      </c>
    </row>
    <row r="305" spans="1:23" ht="12.4">
      <c r="A305" s="1">
        <v>304</v>
      </c>
      <c r="B305" s="1" t="s">
        <v>2203</v>
      </c>
      <c r="C305" s="1" t="s">
        <v>1496</v>
      </c>
      <c r="D305" s="1">
        <v>46.21</v>
      </c>
      <c r="E305" s="1">
        <v>1.5</v>
      </c>
      <c r="F305" s="1">
        <v>18.14</v>
      </c>
      <c r="G305" s="1">
        <v>0.2</v>
      </c>
      <c r="H305" s="1">
        <v>0</v>
      </c>
      <c r="I305" s="2">
        <v>8.9499999999999993</v>
      </c>
      <c r="J305" s="1">
        <v>0.12</v>
      </c>
      <c r="K305" s="2">
        <v>12.02</v>
      </c>
      <c r="L305" s="2">
        <v>11.32</v>
      </c>
      <c r="M305" s="1">
        <v>0.6</v>
      </c>
      <c r="N305" s="1">
        <v>0.26</v>
      </c>
      <c r="O305" s="1">
        <v>0.28999999999999998</v>
      </c>
      <c r="P305" s="1">
        <v>0</v>
      </c>
      <c r="Q305" s="1">
        <v>0</v>
      </c>
      <c r="R305" s="1">
        <v>0</v>
      </c>
      <c r="S305" s="1">
        <v>0</v>
      </c>
      <c r="T305" s="1">
        <v>3.1</v>
      </c>
      <c r="U305" s="1">
        <v>0</v>
      </c>
      <c r="V305" s="1" t="s">
        <v>2204</v>
      </c>
      <c r="W305" s="1" t="s">
        <v>2205</v>
      </c>
    </row>
    <row r="306" spans="1:23" ht="12.4">
      <c r="A306" s="1">
        <v>305</v>
      </c>
      <c r="B306" s="1" t="s">
        <v>2206</v>
      </c>
      <c r="C306" s="1" t="s">
        <v>1496</v>
      </c>
      <c r="D306" s="1">
        <v>44.09</v>
      </c>
      <c r="E306" s="1">
        <v>0.41</v>
      </c>
      <c r="F306" s="1">
        <v>26.59</v>
      </c>
      <c r="G306" s="1">
        <v>0.13</v>
      </c>
      <c r="H306" s="1">
        <v>0</v>
      </c>
      <c r="I306" s="2">
        <v>6.19</v>
      </c>
      <c r="J306" s="1">
        <v>0.08</v>
      </c>
      <c r="K306" s="2">
        <v>0</v>
      </c>
      <c r="L306" s="2">
        <v>15.43</v>
      </c>
      <c r="M306" s="1">
        <v>0.3</v>
      </c>
      <c r="N306" s="1">
        <v>0.06</v>
      </c>
      <c r="O306" s="1">
        <v>0.03</v>
      </c>
      <c r="P306" s="1">
        <v>0</v>
      </c>
      <c r="Q306" s="1">
        <v>0</v>
      </c>
      <c r="R306" s="1">
        <v>0</v>
      </c>
      <c r="S306" s="1">
        <v>0</v>
      </c>
      <c r="T306" s="1">
        <v>2.5</v>
      </c>
      <c r="U306" s="1">
        <v>0</v>
      </c>
      <c r="V306" s="1" t="s">
        <v>2207</v>
      </c>
      <c r="W306" s="1" t="s">
        <v>2208</v>
      </c>
    </row>
    <row r="307" spans="1:23" ht="12.4">
      <c r="A307" s="1">
        <v>306</v>
      </c>
      <c r="B307" s="1" t="s">
        <v>2209</v>
      </c>
      <c r="C307" s="1" t="s">
        <v>1496</v>
      </c>
      <c r="D307" s="1">
        <v>41.72</v>
      </c>
      <c r="E307" s="1">
        <v>7.99</v>
      </c>
      <c r="F307" s="1">
        <v>12.26</v>
      </c>
      <c r="G307" s="1">
        <v>0.41</v>
      </c>
      <c r="H307" s="1">
        <v>0</v>
      </c>
      <c r="I307" s="2">
        <v>16.510000000000002</v>
      </c>
      <c r="J307" s="1">
        <v>0.22</v>
      </c>
      <c r="K307" s="2">
        <v>9.92</v>
      </c>
      <c r="L307" s="2">
        <v>11.19</v>
      </c>
      <c r="M307" s="1">
        <v>0.41</v>
      </c>
      <c r="N307" s="1">
        <v>0.08</v>
      </c>
      <c r="O307" s="1">
        <v>0.06</v>
      </c>
      <c r="P307" s="1">
        <v>0</v>
      </c>
      <c r="Q307" s="1">
        <v>11</v>
      </c>
      <c r="R307" s="1">
        <v>160</v>
      </c>
      <c r="S307" s="1">
        <v>29.6</v>
      </c>
      <c r="T307" s="1">
        <v>32</v>
      </c>
      <c r="U307" s="1">
        <v>0</v>
      </c>
      <c r="V307" s="1" t="s">
        <v>2210</v>
      </c>
      <c r="W307" s="1" t="s">
        <v>2211</v>
      </c>
    </row>
    <row r="308" spans="1:23" ht="12.4">
      <c r="A308" s="1">
        <v>307</v>
      </c>
      <c r="B308" s="1" t="s">
        <v>2212</v>
      </c>
      <c r="C308" s="1" t="s">
        <v>1496</v>
      </c>
      <c r="D308" s="1">
        <v>38.54</v>
      </c>
      <c r="E308" s="1">
        <v>12.99</v>
      </c>
      <c r="F308" s="1">
        <v>8.65</v>
      </c>
      <c r="G308" s="1">
        <v>0.5</v>
      </c>
      <c r="H308" s="1">
        <v>0</v>
      </c>
      <c r="I308" s="2">
        <v>18.25</v>
      </c>
      <c r="J308" s="1">
        <v>0.25</v>
      </c>
      <c r="K308" s="2">
        <v>9.98</v>
      </c>
      <c r="L308" s="2">
        <v>10.28</v>
      </c>
      <c r="M308" s="1">
        <v>0.39</v>
      </c>
      <c r="N308" s="1">
        <v>0.05</v>
      </c>
      <c r="O308" s="1">
        <v>0.05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 t="s">
        <v>2213</v>
      </c>
      <c r="W308" s="1" t="s">
        <v>2214</v>
      </c>
    </row>
    <row r="309" spans="1:23" ht="12.4">
      <c r="A309" s="1">
        <v>308</v>
      </c>
      <c r="B309" s="1" t="s">
        <v>2215</v>
      </c>
      <c r="C309" s="1" t="s">
        <v>1496</v>
      </c>
      <c r="D309" s="1">
        <v>37.79</v>
      </c>
      <c r="E309" s="1">
        <v>12.97</v>
      </c>
      <c r="F309" s="1">
        <v>8.85</v>
      </c>
      <c r="G309" s="1">
        <v>0.41</v>
      </c>
      <c r="H309" s="1">
        <v>0</v>
      </c>
      <c r="I309" s="2">
        <v>19.66</v>
      </c>
      <c r="J309" s="1">
        <v>0.27</v>
      </c>
      <c r="K309" s="2">
        <v>8.44</v>
      </c>
      <c r="L309" s="2">
        <v>10.74</v>
      </c>
      <c r="M309" s="1">
        <v>0.36</v>
      </c>
      <c r="N309" s="1">
        <v>0.05</v>
      </c>
      <c r="O309" s="1">
        <v>0.09</v>
      </c>
      <c r="P309" s="1">
        <v>0</v>
      </c>
      <c r="Q309" s="1">
        <v>6.39</v>
      </c>
      <c r="R309" s="1">
        <v>0</v>
      </c>
      <c r="S309" s="1">
        <v>21.3</v>
      </c>
      <c r="T309" s="1">
        <v>0</v>
      </c>
      <c r="U309" s="1">
        <v>0</v>
      </c>
      <c r="V309" s="1" t="s">
        <v>2216</v>
      </c>
      <c r="W309" s="1" t="s">
        <v>2217</v>
      </c>
    </row>
    <row r="310" spans="1:23" ht="12.4">
      <c r="A310" s="1">
        <v>309</v>
      </c>
      <c r="B310" s="1" t="s">
        <v>2218</v>
      </c>
      <c r="C310" s="1" t="s">
        <v>1496</v>
      </c>
      <c r="D310" s="1">
        <v>44.7</v>
      </c>
      <c r="E310" s="1">
        <v>0.28999999999999998</v>
      </c>
      <c r="F310" s="1">
        <v>30</v>
      </c>
      <c r="G310" s="1">
        <v>0.06</v>
      </c>
      <c r="H310" s="1">
        <v>0</v>
      </c>
      <c r="I310" s="2">
        <v>3.2</v>
      </c>
      <c r="J310" s="1">
        <v>0.04</v>
      </c>
      <c r="K310" s="2">
        <v>3.3</v>
      </c>
      <c r="L310" s="2">
        <v>17.600000000000001</v>
      </c>
      <c r="M310" s="1">
        <v>0.42</v>
      </c>
      <c r="N310" s="1">
        <v>0.08</v>
      </c>
      <c r="O310" s="1">
        <v>0.15</v>
      </c>
      <c r="P310" s="1">
        <v>0</v>
      </c>
      <c r="Q310" s="1">
        <v>3.6</v>
      </c>
      <c r="R310" s="1">
        <v>0</v>
      </c>
      <c r="S310" s="1">
        <v>0</v>
      </c>
      <c r="T310" s="1">
        <v>0.88</v>
      </c>
      <c r="U310" s="1">
        <v>0</v>
      </c>
      <c r="V310" s="1" t="s">
        <v>2219</v>
      </c>
      <c r="W310" s="1" t="s">
        <v>2220</v>
      </c>
    </row>
    <row r="311" spans="1:23" ht="12.4">
      <c r="A311" s="1">
        <v>310</v>
      </c>
      <c r="B311" s="1" t="s">
        <v>2221</v>
      </c>
      <c r="C311" s="1" t="s">
        <v>1496</v>
      </c>
      <c r="D311" s="1">
        <v>45.18</v>
      </c>
      <c r="E311" s="1">
        <v>0.57999999999999996</v>
      </c>
      <c r="F311" s="1">
        <v>26.65</v>
      </c>
      <c r="G311" s="1">
        <v>0</v>
      </c>
      <c r="H311" s="1">
        <v>0</v>
      </c>
      <c r="I311" s="2">
        <v>5.48</v>
      </c>
      <c r="J311" s="1">
        <v>7.0000000000000007E-2</v>
      </c>
      <c r="K311" s="2">
        <v>6.28</v>
      </c>
      <c r="L311" s="2">
        <v>15.35</v>
      </c>
      <c r="M311" s="1">
        <v>0.47</v>
      </c>
      <c r="N311" s="1">
        <v>0.11</v>
      </c>
      <c r="O311" s="1">
        <v>0.12</v>
      </c>
      <c r="P311" s="1">
        <v>0</v>
      </c>
      <c r="Q311" s="1">
        <v>0</v>
      </c>
      <c r="R311" s="1">
        <v>0</v>
      </c>
      <c r="S311" s="1">
        <v>34.700000000000003</v>
      </c>
      <c r="T311" s="1">
        <v>0</v>
      </c>
      <c r="U311" s="1">
        <v>0</v>
      </c>
      <c r="V311" s="1" t="s">
        <v>2222</v>
      </c>
      <c r="W311" s="1" t="s">
        <v>2223</v>
      </c>
    </row>
    <row r="312" spans="1:23" ht="12.4">
      <c r="A312" s="1">
        <v>311</v>
      </c>
      <c r="B312" s="1" t="s">
        <v>2221</v>
      </c>
      <c r="C312" s="1" t="s">
        <v>1496</v>
      </c>
      <c r="D312" s="1">
        <v>44.95</v>
      </c>
      <c r="E312" s="1">
        <v>0.41</v>
      </c>
      <c r="F312" s="1">
        <v>29.01</v>
      </c>
      <c r="G312" s="1">
        <v>0</v>
      </c>
      <c r="H312" s="1">
        <v>0</v>
      </c>
      <c r="I312" s="2">
        <v>4.66</v>
      </c>
      <c r="J312" s="1">
        <v>0.06</v>
      </c>
      <c r="K312" s="2">
        <v>4.2</v>
      </c>
      <c r="L312" s="2">
        <v>16.54</v>
      </c>
      <c r="M312" s="1">
        <v>0.42</v>
      </c>
      <c r="N312" s="1">
        <v>0.06</v>
      </c>
      <c r="O312" s="1">
        <v>0.13</v>
      </c>
      <c r="P312" s="1">
        <v>0</v>
      </c>
      <c r="Q312" s="1">
        <v>0</v>
      </c>
      <c r="R312" s="1">
        <v>0</v>
      </c>
      <c r="S312" s="1">
        <v>14.9</v>
      </c>
      <c r="T312" s="1">
        <v>0</v>
      </c>
      <c r="U312" s="1">
        <v>0</v>
      </c>
      <c r="V312" s="1" t="s">
        <v>2224</v>
      </c>
      <c r="W312" s="1" t="s">
        <v>2225</v>
      </c>
    </row>
    <row r="313" spans="1:23" ht="12.4">
      <c r="A313" s="1">
        <v>312</v>
      </c>
      <c r="B313" s="1" t="s">
        <v>2226</v>
      </c>
      <c r="C313" s="1" t="s">
        <v>1496</v>
      </c>
      <c r="D313" s="1">
        <v>43.48</v>
      </c>
      <c r="E313" s="1">
        <v>5</v>
      </c>
      <c r="F313" s="1">
        <v>9.27</v>
      </c>
      <c r="G313" s="1">
        <v>0.44</v>
      </c>
      <c r="H313" s="1">
        <v>0</v>
      </c>
      <c r="I313" s="2">
        <v>21.26</v>
      </c>
      <c r="J313" s="1">
        <v>0.28000000000000003</v>
      </c>
      <c r="K313" s="2">
        <v>9.56</v>
      </c>
      <c r="L313" s="2">
        <v>10.49</v>
      </c>
      <c r="M313" s="1">
        <v>0.31</v>
      </c>
      <c r="N313" s="1">
        <v>0.06</v>
      </c>
      <c r="O313" s="1">
        <v>0.14000000000000001</v>
      </c>
      <c r="P313" s="1">
        <v>0</v>
      </c>
      <c r="Q313" s="1">
        <v>0</v>
      </c>
      <c r="R313" s="1">
        <v>0</v>
      </c>
      <c r="S313" s="1">
        <v>43.4</v>
      </c>
      <c r="T313" s="1">
        <v>4.5</v>
      </c>
      <c r="U313" s="1">
        <v>0</v>
      </c>
      <c r="V313" s="1" t="s">
        <v>2227</v>
      </c>
      <c r="W313" s="1" t="s">
        <v>2228</v>
      </c>
    </row>
    <row r="314" spans="1:23" ht="12.4">
      <c r="A314" s="1">
        <v>313</v>
      </c>
      <c r="B314" s="1" t="s">
        <v>2229</v>
      </c>
      <c r="C314" s="1" t="s">
        <v>1496</v>
      </c>
      <c r="D314" s="1">
        <v>40.270000000000003</v>
      </c>
      <c r="E314" s="1">
        <v>9.41</v>
      </c>
      <c r="F314" s="1">
        <v>11.31</v>
      </c>
      <c r="G314" s="1">
        <v>0.46</v>
      </c>
      <c r="H314" s="1">
        <v>0</v>
      </c>
      <c r="I314" s="2">
        <v>17.2</v>
      </c>
      <c r="J314" s="1">
        <v>0.25</v>
      </c>
      <c r="K314" s="2">
        <v>9.59</v>
      </c>
      <c r="L314" s="2">
        <v>10.97</v>
      </c>
      <c r="M314" s="1">
        <v>0.33</v>
      </c>
      <c r="N314" s="1">
        <v>0.08</v>
      </c>
      <c r="O314" s="1">
        <v>7.0000000000000007E-2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 t="s">
        <v>2230</v>
      </c>
      <c r="W314" s="1" t="s">
        <v>2231</v>
      </c>
    </row>
    <row r="315" spans="1:23" ht="12.4">
      <c r="A315" s="1">
        <v>314</v>
      </c>
      <c r="B315" s="1" t="s">
        <v>2232</v>
      </c>
      <c r="C315" s="1" t="s">
        <v>1496</v>
      </c>
      <c r="D315" s="1">
        <v>39.799999999999997</v>
      </c>
      <c r="E315" s="1">
        <v>11.3</v>
      </c>
      <c r="F315" s="1">
        <v>10.7</v>
      </c>
      <c r="G315" s="1">
        <v>0.3</v>
      </c>
      <c r="H315" s="1">
        <v>0</v>
      </c>
      <c r="I315" s="2">
        <v>19.8</v>
      </c>
      <c r="J315" s="1">
        <v>0.3</v>
      </c>
      <c r="K315" s="2">
        <v>6.9</v>
      </c>
      <c r="L315" s="2">
        <v>11.1</v>
      </c>
      <c r="M315" s="1">
        <v>0.6</v>
      </c>
      <c r="N315" s="1">
        <v>0.06</v>
      </c>
      <c r="O315" s="1">
        <v>0.1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 t="s">
        <v>2233</v>
      </c>
      <c r="W315" s="1" t="s">
        <v>2234</v>
      </c>
    </row>
    <row r="316" spans="1:23" ht="12.4">
      <c r="A316" s="1">
        <v>315</v>
      </c>
      <c r="B316" s="1" t="s">
        <v>2235</v>
      </c>
      <c r="C316" s="1" t="s">
        <v>1496</v>
      </c>
      <c r="D316" s="1">
        <v>40.1</v>
      </c>
      <c r="E316" s="1">
        <v>12.2</v>
      </c>
      <c r="F316" s="1">
        <v>8.6</v>
      </c>
      <c r="G316" s="1">
        <v>0.37</v>
      </c>
      <c r="H316" s="1">
        <v>0</v>
      </c>
      <c r="I316" s="2">
        <v>18.899999999999999</v>
      </c>
      <c r="J316" s="1">
        <v>0.25</v>
      </c>
      <c r="K316" s="2">
        <v>7.74</v>
      </c>
      <c r="L316" s="2">
        <v>10.7</v>
      </c>
      <c r="M316" s="1">
        <v>0.46</v>
      </c>
      <c r="N316" s="1">
        <v>0.3</v>
      </c>
      <c r="O316" s="1">
        <v>0.2</v>
      </c>
      <c r="P316" s="1">
        <v>0</v>
      </c>
      <c r="Q316" s="1">
        <v>5.0999999999999996</v>
      </c>
      <c r="R316" s="1">
        <v>9.98</v>
      </c>
      <c r="S316" s="1">
        <v>0</v>
      </c>
      <c r="T316" s="1">
        <v>2.9</v>
      </c>
      <c r="U316" s="1">
        <v>0</v>
      </c>
      <c r="V316" s="1" t="s">
        <v>2236</v>
      </c>
      <c r="W316" s="1" t="s">
        <v>2237</v>
      </c>
    </row>
    <row r="317" spans="1:23" ht="12.4">
      <c r="A317" s="1">
        <v>316</v>
      </c>
      <c r="B317" s="1" t="s">
        <v>2238</v>
      </c>
      <c r="C317" s="1" t="s">
        <v>1496</v>
      </c>
      <c r="D317" s="1">
        <v>46.21</v>
      </c>
      <c r="E317" s="1">
        <v>3.32</v>
      </c>
      <c r="F317" s="1">
        <v>10.14</v>
      </c>
      <c r="G317" s="1">
        <v>0.49</v>
      </c>
      <c r="H317" s="1">
        <v>0</v>
      </c>
      <c r="I317" s="2">
        <v>19.77</v>
      </c>
      <c r="J317" s="1">
        <v>0.28000000000000003</v>
      </c>
      <c r="K317" s="2">
        <v>8.17</v>
      </c>
      <c r="L317" s="2">
        <v>11.01</v>
      </c>
      <c r="M317" s="1">
        <v>0.26</v>
      </c>
      <c r="N317" s="1">
        <v>0.06</v>
      </c>
      <c r="O317" s="1">
        <v>0.14000000000000001</v>
      </c>
      <c r="P317" s="1">
        <v>0</v>
      </c>
      <c r="Q317" s="1">
        <v>0</v>
      </c>
      <c r="R317" s="1">
        <v>9.9</v>
      </c>
      <c r="S317" s="1">
        <v>0</v>
      </c>
      <c r="T317" s="1">
        <v>1.2</v>
      </c>
      <c r="U317" s="1">
        <v>0</v>
      </c>
      <c r="V317" s="1" t="s">
        <v>2239</v>
      </c>
      <c r="W317" s="1" t="s">
        <v>2240</v>
      </c>
    </row>
    <row r="318" spans="1:23" ht="12.4">
      <c r="A318" s="1">
        <v>317</v>
      </c>
      <c r="B318" s="1" t="s">
        <v>2241</v>
      </c>
      <c r="C318" s="1" t="s">
        <v>1496</v>
      </c>
      <c r="D318" s="1">
        <v>0</v>
      </c>
      <c r="E318" s="1">
        <v>0</v>
      </c>
      <c r="F318" s="1">
        <v>26.5</v>
      </c>
      <c r="G318" s="1">
        <v>0</v>
      </c>
      <c r="H318" s="1">
        <v>0</v>
      </c>
      <c r="I318" s="2">
        <v>5.6</v>
      </c>
      <c r="J318" s="1">
        <v>0</v>
      </c>
      <c r="K318" s="2">
        <v>6.4</v>
      </c>
      <c r="L318" s="2">
        <v>14.5</v>
      </c>
      <c r="M318" s="1">
        <v>0.44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35.299999999999997</v>
      </c>
      <c r="T318" s="1">
        <v>0</v>
      </c>
      <c r="U318" s="1">
        <v>0</v>
      </c>
      <c r="V318" s="1" t="s">
        <v>2242</v>
      </c>
      <c r="W318" s="1" t="s">
        <v>2243</v>
      </c>
    </row>
    <row r="319" spans="1:23" ht="12.4">
      <c r="A319" s="1">
        <v>318</v>
      </c>
      <c r="B319" s="1" t="s">
        <v>2244</v>
      </c>
      <c r="C319" s="1" t="s">
        <v>1496</v>
      </c>
      <c r="D319" s="1">
        <v>0</v>
      </c>
      <c r="E319" s="1">
        <v>1.4</v>
      </c>
      <c r="F319" s="1">
        <v>16.100000000000001</v>
      </c>
      <c r="G319" s="1">
        <v>0.36</v>
      </c>
      <c r="H319" s="1">
        <v>0</v>
      </c>
      <c r="I319" s="2">
        <v>12.09</v>
      </c>
      <c r="J319" s="1">
        <v>0.16</v>
      </c>
      <c r="K319" s="2">
        <v>0</v>
      </c>
      <c r="L319" s="2">
        <v>11.89</v>
      </c>
      <c r="M319" s="1">
        <v>0.45</v>
      </c>
      <c r="N319" s="1">
        <v>0</v>
      </c>
      <c r="O319" s="1">
        <v>0</v>
      </c>
      <c r="P319" s="1">
        <v>0</v>
      </c>
      <c r="Q319" s="1">
        <v>0</v>
      </c>
      <c r="R319" s="1">
        <v>250</v>
      </c>
      <c r="S319" s="1">
        <v>42</v>
      </c>
      <c r="T319" s="1">
        <v>0</v>
      </c>
      <c r="U319" s="1">
        <v>0</v>
      </c>
      <c r="V319" s="1" t="s">
        <v>2245</v>
      </c>
      <c r="W319" s="1" t="s">
        <v>2246</v>
      </c>
    </row>
    <row r="320" spans="1:23" ht="12.4">
      <c r="A320" s="1">
        <v>319</v>
      </c>
      <c r="B320" s="1" t="s">
        <v>2247</v>
      </c>
      <c r="C320" s="1" t="s">
        <v>1496</v>
      </c>
      <c r="D320" s="1">
        <v>47.3</v>
      </c>
      <c r="E320" s="1">
        <v>1.8</v>
      </c>
      <c r="F320" s="1">
        <v>18</v>
      </c>
      <c r="G320" s="1">
        <v>0.28000000000000003</v>
      </c>
      <c r="H320" s="1">
        <v>0</v>
      </c>
      <c r="I320" s="2">
        <v>8.9</v>
      </c>
      <c r="J320" s="1">
        <v>0.1</v>
      </c>
      <c r="K320" s="2">
        <v>12.9</v>
      </c>
      <c r="L320" s="2">
        <v>10.1</v>
      </c>
      <c r="M320" s="1">
        <v>0.43</v>
      </c>
      <c r="N320" s="1">
        <v>0.05</v>
      </c>
      <c r="O320" s="1">
        <v>0</v>
      </c>
      <c r="P320" s="1">
        <v>0</v>
      </c>
      <c r="Q320" s="1">
        <v>0</v>
      </c>
      <c r="R320" s="1">
        <v>0</v>
      </c>
      <c r="S320" s="1">
        <v>28.7</v>
      </c>
      <c r="T320" s="1">
        <v>0.45</v>
      </c>
      <c r="U320" s="1">
        <v>0</v>
      </c>
      <c r="V320" s="1" t="s">
        <v>2248</v>
      </c>
      <c r="W320" s="1" t="s">
        <v>2249</v>
      </c>
    </row>
    <row r="321" spans="1:23" ht="12.4">
      <c r="A321" s="1">
        <v>320</v>
      </c>
      <c r="B321" s="1" t="s">
        <v>2250</v>
      </c>
      <c r="C321" s="1" t="s">
        <v>1496</v>
      </c>
      <c r="D321" s="1">
        <v>48.46</v>
      </c>
      <c r="E321" s="1">
        <v>1.75</v>
      </c>
      <c r="F321" s="1">
        <v>9.5399999999999991</v>
      </c>
      <c r="G321" s="1">
        <v>0.32</v>
      </c>
      <c r="H321" s="1">
        <v>0</v>
      </c>
      <c r="I321" s="2">
        <v>20.76</v>
      </c>
      <c r="J321" s="1">
        <v>0.21</v>
      </c>
      <c r="K321" s="2">
        <v>8.69</v>
      </c>
      <c r="L321" s="2">
        <v>10.5</v>
      </c>
      <c r="M321" s="1">
        <v>0.28000000000000003</v>
      </c>
      <c r="N321" s="1">
        <v>7.0000000000000007E-2</v>
      </c>
      <c r="O321" s="1">
        <v>0.05</v>
      </c>
      <c r="P321" s="1">
        <v>0</v>
      </c>
      <c r="Q321" s="1">
        <v>7</v>
      </c>
      <c r="R321" s="1">
        <v>27</v>
      </c>
      <c r="S321" s="1">
        <v>37</v>
      </c>
      <c r="T321" s="1">
        <v>1</v>
      </c>
      <c r="U321" s="1">
        <v>90</v>
      </c>
      <c r="V321" s="1" t="s">
        <v>2251</v>
      </c>
      <c r="W321" s="1" t="s">
        <v>2252</v>
      </c>
    </row>
    <row r="322" spans="1:23" ht="12.4">
      <c r="A322" s="1">
        <v>321</v>
      </c>
      <c r="B322" s="1" t="s">
        <v>2253</v>
      </c>
      <c r="C322" s="1" t="s">
        <v>1496</v>
      </c>
      <c r="D322" s="1">
        <v>0</v>
      </c>
      <c r="E322" s="1">
        <v>0.31</v>
      </c>
      <c r="F322" s="1">
        <v>29.8</v>
      </c>
      <c r="G322" s="1">
        <v>0.06</v>
      </c>
      <c r="H322" s="1">
        <v>0</v>
      </c>
      <c r="I322" s="2">
        <v>3.4</v>
      </c>
      <c r="J322" s="1">
        <v>0.05</v>
      </c>
      <c r="K322" s="2">
        <v>3.7</v>
      </c>
      <c r="L322" s="2">
        <v>16.5</v>
      </c>
      <c r="M322" s="1">
        <v>0.51</v>
      </c>
      <c r="N322" s="1">
        <v>0.05</v>
      </c>
      <c r="O322" s="1">
        <v>0</v>
      </c>
      <c r="P322" s="1">
        <v>0</v>
      </c>
      <c r="Q322" s="1">
        <v>0</v>
      </c>
      <c r="R322" s="1">
        <v>48</v>
      </c>
      <c r="S322" s="1">
        <v>8</v>
      </c>
      <c r="T322" s="1">
        <v>2.78</v>
      </c>
      <c r="U322" s="1">
        <v>0</v>
      </c>
      <c r="V322" s="1" t="s">
        <v>2254</v>
      </c>
      <c r="W322" s="1" t="s">
        <v>2255</v>
      </c>
    </row>
    <row r="323" spans="1:23" ht="12.4">
      <c r="A323" s="1">
        <v>322</v>
      </c>
      <c r="B323" s="1" t="s">
        <v>2256</v>
      </c>
      <c r="C323" s="1" t="s">
        <v>1496</v>
      </c>
      <c r="D323" s="1">
        <v>47.45</v>
      </c>
      <c r="E323" s="1">
        <v>1.48</v>
      </c>
      <c r="F323" s="1">
        <v>17.75</v>
      </c>
      <c r="G323" s="1">
        <v>0.22</v>
      </c>
      <c r="H323" s="1">
        <v>0</v>
      </c>
      <c r="I323" s="2">
        <v>10.36</v>
      </c>
      <c r="J323" s="1">
        <v>0.13</v>
      </c>
      <c r="K323" s="2">
        <v>9.35</v>
      </c>
      <c r="L323" s="2">
        <v>11.19</v>
      </c>
      <c r="M323" s="1">
        <v>0.75</v>
      </c>
      <c r="N323" s="1">
        <v>0.49</v>
      </c>
      <c r="O323" s="1">
        <v>0.39</v>
      </c>
      <c r="P323" s="1">
        <v>0</v>
      </c>
      <c r="Q323" s="1">
        <v>150</v>
      </c>
      <c r="R323" s="1">
        <v>370</v>
      </c>
      <c r="S323" s="1">
        <v>34</v>
      </c>
      <c r="T323" s="1">
        <v>20</v>
      </c>
      <c r="U323" s="1">
        <v>0</v>
      </c>
      <c r="V323" s="1" t="s">
        <v>2257</v>
      </c>
      <c r="W323" s="1" t="s">
        <v>2258</v>
      </c>
    </row>
    <row r="324" spans="1:23" ht="12.4">
      <c r="A324" s="1">
        <v>323</v>
      </c>
      <c r="B324" s="1" t="s">
        <v>2259</v>
      </c>
      <c r="C324" s="1" t="s">
        <v>1496</v>
      </c>
      <c r="D324" s="1">
        <v>43.56</v>
      </c>
      <c r="E324" s="1">
        <v>2.6</v>
      </c>
      <c r="F324" s="1">
        <v>7.87</v>
      </c>
      <c r="G324" s="1">
        <v>0.96</v>
      </c>
      <c r="H324" s="1">
        <v>0</v>
      </c>
      <c r="I324" s="2">
        <v>21.66</v>
      </c>
      <c r="J324" s="1">
        <v>0.28000000000000003</v>
      </c>
      <c r="K324" s="2">
        <v>14.88</v>
      </c>
      <c r="L324" s="2">
        <v>8.26</v>
      </c>
      <c r="M324" s="1">
        <v>0.23</v>
      </c>
      <c r="N324" s="1">
        <v>0.05</v>
      </c>
      <c r="O324" s="1">
        <v>0.11</v>
      </c>
      <c r="P324" s="1">
        <v>0</v>
      </c>
      <c r="Q324" s="1">
        <v>4.5999999999999996</v>
      </c>
      <c r="R324" s="1">
        <v>63.9</v>
      </c>
      <c r="S324" s="1">
        <v>65.8</v>
      </c>
      <c r="T324" s="1">
        <v>1.5</v>
      </c>
      <c r="U324" s="1">
        <v>175</v>
      </c>
      <c r="V324" s="1" t="s">
        <v>2260</v>
      </c>
      <c r="W324" s="1" t="s">
        <v>2261</v>
      </c>
    </row>
    <row r="325" spans="1:23" ht="12.4">
      <c r="A325" s="1">
        <v>324</v>
      </c>
      <c r="B325" s="1" t="s">
        <v>2262</v>
      </c>
      <c r="C325" s="1" t="s">
        <v>1496</v>
      </c>
      <c r="D325" s="1">
        <v>46.54</v>
      </c>
      <c r="E325" s="1">
        <v>3.28</v>
      </c>
      <c r="F325" s="1">
        <v>10.45</v>
      </c>
      <c r="G325" s="1">
        <v>0.48</v>
      </c>
      <c r="H325" s="1">
        <v>0</v>
      </c>
      <c r="I325" s="2">
        <v>19.66</v>
      </c>
      <c r="J325" s="1">
        <v>0.26</v>
      </c>
      <c r="K325" s="2">
        <v>7.97</v>
      </c>
      <c r="L325" s="2">
        <v>10.94</v>
      </c>
      <c r="M325" s="1">
        <v>0.28999999999999998</v>
      </c>
      <c r="N325" s="1">
        <v>7.0000000000000007E-2</v>
      </c>
      <c r="O325" s="1">
        <v>0.13</v>
      </c>
      <c r="P325" s="1">
        <v>0</v>
      </c>
      <c r="Q325" s="1">
        <v>7.8</v>
      </c>
      <c r="R325" s="1">
        <v>20</v>
      </c>
      <c r="S325" s="1">
        <v>38.799999999999997</v>
      </c>
      <c r="T325" s="1">
        <v>0.93</v>
      </c>
      <c r="U325" s="1">
        <v>150</v>
      </c>
      <c r="V325" s="1" t="s">
        <v>2263</v>
      </c>
      <c r="W325" s="1" t="s">
        <v>2264</v>
      </c>
    </row>
    <row r="326" spans="1:23" ht="12.4">
      <c r="A326" s="1">
        <v>325</v>
      </c>
      <c r="B326" s="1" t="s">
        <v>2265</v>
      </c>
      <c r="C326" s="1" t="s">
        <v>2266</v>
      </c>
      <c r="D326" s="1">
        <v>56.61</v>
      </c>
      <c r="E326" s="1">
        <v>0</v>
      </c>
      <c r="F326" s="1">
        <v>1.01</v>
      </c>
      <c r="G326" s="1">
        <v>0.16</v>
      </c>
      <c r="H326" s="1">
        <v>1.95</v>
      </c>
      <c r="I326" s="2">
        <v>3.72</v>
      </c>
      <c r="J326" s="1">
        <v>0.37</v>
      </c>
      <c r="K326" s="2">
        <v>20.239999999999998</v>
      </c>
      <c r="L326" s="2">
        <v>12.91</v>
      </c>
      <c r="M326" s="1">
        <v>0.32</v>
      </c>
      <c r="N326" s="1">
        <v>0.03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 t="s">
        <v>2267</v>
      </c>
      <c r="W326" s="1" t="s">
        <v>2268</v>
      </c>
    </row>
    <row r="327" spans="1:23" ht="12.4">
      <c r="A327" s="1">
        <v>326</v>
      </c>
      <c r="B327" s="1" t="s">
        <v>2269</v>
      </c>
      <c r="C327" s="1" t="s">
        <v>2266</v>
      </c>
      <c r="D327" s="1">
        <v>56.34</v>
      </c>
      <c r="E327" s="1">
        <v>0</v>
      </c>
      <c r="F327" s="1">
        <v>0.88</v>
      </c>
      <c r="G327" s="1">
        <v>0.31</v>
      </c>
      <c r="H327" s="1">
        <v>1.7</v>
      </c>
      <c r="I327" s="2">
        <v>3.98</v>
      </c>
      <c r="J327" s="1">
        <v>0.28000000000000003</v>
      </c>
      <c r="K327" s="2">
        <v>20.75</v>
      </c>
      <c r="L327" s="2">
        <v>13.01</v>
      </c>
      <c r="M327" s="1">
        <v>0.27</v>
      </c>
      <c r="N327" s="1">
        <v>0.02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 t="s">
        <v>2267</v>
      </c>
      <c r="W327" s="1" t="s">
        <v>2270</v>
      </c>
    </row>
    <row r="328" spans="1:23" ht="12.4">
      <c r="A328" s="1">
        <v>327</v>
      </c>
      <c r="B328" s="1" t="s">
        <v>2271</v>
      </c>
      <c r="C328" s="1" t="s">
        <v>2266</v>
      </c>
      <c r="D328" s="1">
        <v>56.22</v>
      </c>
      <c r="E328" s="1">
        <v>0</v>
      </c>
      <c r="F328" s="1">
        <v>0.83</v>
      </c>
      <c r="G328" s="1">
        <v>0.03</v>
      </c>
      <c r="H328" s="1">
        <v>2.62</v>
      </c>
      <c r="I328" s="2">
        <v>3.49</v>
      </c>
      <c r="J328" s="1">
        <v>0.31</v>
      </c>
      <c r="K328" s="2">
        <v>20.8</v>
      </c>
      <c r="L328" s="2">
        <v>13.16</v>
      </c>
      <c r="M328" s="1">
        <v>0.27</v>
      </c>
      <c r="N328" s="1">
        <v>0.03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 t="s">
        <v>2267</v>
      </c>
      <c r="W328" s="1" t="s">
        <v>2272</v>
      </c>
    </row>
    <row r="329" spans="1:23" ht="12.4">
      <c r="A329" s="1">
        <v>328</v>
      </c>
      <c r="B329" s="1" t="s">
        <v>2273</v>
      </c>
      <c r="C329" s="1" t="s">
        <v>2266</v>
      </c>
      <c r="D329" s="1">
        <v>55.31</v>
      </c>
      <c r="E329" s="1">
        <v>0</v>
      </c>
      <c r="F329" s="1">
        <v>2.27</v>
      </c>
      <c r="G329" s="1">
        <v>0.03</v>
      </c>
      <c r="H329" s="1">
        <v>0.41</v>
      </c>
      <c r="I329" s="2">
        <v>4.67</v>
      </c>
      <c r="J329" s="1">
        <v>0.28999999999999998</v>
      </c>
      <c r="K329" s="2">
        <v>20.8</v>
      </c>
      <c r="L329" s="2">
        <v>12.75</v>
      </c>
      <c r="M329" s="1">
        <v>0.28000000000000003</v>
      </c>
      <c r="N329" s="1">
        <v>0.02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 t="s">
        <v>2267</v>
      </c>
      <c r="W329" s="1" t="s">
        <v>2274</v>
      </c>
    </row>
    <row r="330" spans="1:23" ht="12.4">
      <c r="A330" s="1">
        <v>329</v>
      </c>
      <c r="B330" s="1" t="s">
        <v>2275</v>
      </c>
      <c r="C330" s="1" t="s">
        <v>2266</v>
      </c>
      <c r="D330" s="1">
        <v>56.84</v>
      </c>
      <c r="E330" s="1">
        <v>0</v>
      </c>
      <c r="F330" s="1">
        <v>1.1399999999999999</v>
      </c>
      <c r="G330" s="1">
        <v>0.13</v>
      </c>
      <c r="H330" s="1">
        <v>0.43</v>
      </c>
      <c r="I330" s="2">
        <v>2.4700000000000002</v>
      </c>
      <c r="J330" s="1">
        <v>0.11</v>
      </c>
      <c r="K330" s="2">
        <v>22.87</v>
      </c>
      <c r="L330" s="2">
        <v>12.05</v>
      </c>
      <c r="M330" s="1">
        <v>0.76</v>
      </c>
      <c r="N330" s="1">
        <v>0.01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 t="s">
        <v>2267</v>
      </c>
      <c r="W330" s="1" t="s">
        <v>2276</v>
      </c>
    </row>
    <row r="331" spans="1:23" ht="12.4">
      <c r="A331" s="1">
        <v>330</v>
      </c>
      <c r="B331" s="1" t="s">
        <v>2277</v>
      </c>
      <c r="C331" s="1" t="s">
        <v>2266</v>
      </c>
      <c r="D331" s="1">
        <v>56.21</v>
      </c>
      <c r="E331" s="1">
        <v>0</v>
      </c>
      <c r="F331" s="1">
        <v>0.8</v>
      </c>
      <c r="G331" s="1">
        <v>0.13</v>
      </c>
      <c r="H331" s="1">
        <v>0.6</v>
      </c>
      <c r="I331" s="2">
        <v>5.7</v>
      </c>
      <c r="J331" s="1">
        <v>0.11</v>
      </c>
      <c r="K331" s="2">
        <v>20.66</v>
      </c>
      <c r="L331" s="2">
        <v>12.61</v>
      </c>
      <c r="M331" s="1">
        <v>0.19</v>
      </c>
      <c r="N331" s="1">
        <v>0.04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 t="s">
        <v>2267</v>
      </c>
      <c r="W331" s="1" t="s">
        <v>2278</v>
      </c>
    </row>
    <row r="332" spans="1:23" ht="12.4">
      <c r="A332" s="1">
        <v>331</v>
      </c>
      <c r="B332" s="1" t="s">
        <v>2279</v>
      </c>
      <c r="C332" s="1" t="s">
        <v>2266</v>
      </c>
      <c r="D332" s="1">
        <v>52.45</v>
      </c>
      <c r="E332" s="1">
        <v>0</v>
      </c>
      <c r="F332" s="1">
        <v>5.27</v>
      </c>
      <c r="G332" s="1">
        <v>0.38</v>
      </c>
      <c r="H332" s="1">
        <v>3.36</v>
      </c>
      <c r="I332" s="2">
        <v>7.45</v>
      </c>
      <c r="J332" s="1">
        <v>0.53</v>
      </c>
      <c r="K332" s="2">
        <v>17.43</v>
      </c>
      <c r="L332" s="2">
        <v>11.79</v>
      </c>
      <c r="M332" s="1">
        <v>1.07</v>
      </c>
      <c r="N332" s="1">
        <v>7.0000000000000007E-2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 t="s">
        <v>2267</v>
      </c>
      <c r="W332" s="1" t="s">
        <v>2280</v>
      </c>
    </row>
    <row r="333" spans="1:23" ht="12.4">
      <c r="A333" s="1">
        <v>332</v>
      </c>
      <c r="B333" s="1" t="s">
        <v>2281</v>
      </c>
      <c r="C333" s="1" t="s">
        <v>2282</v>
      </c>
      <c r="D333" s="1">
        <v>57.81</v>
      </c>
      <c r="E333" s="1">
        <v>0</v>
      </c>
      <c r="F333" s="1">
        <v>0.46</v>
      </c>
      <c r="G333" s="1">
        <v>0.04</v>
      </c>
      <c r="H333" s="1">
        <v>0.27</v>
      </c>
      <c r="I333" s="2">
        <v>2.65</v>
      </c>
      <c r="J333" s="1">
        <v>0.28999999999999998</v>
      </c>
      <c r="K333" s="2">
        <v>23.35</v>
      </c>
      <c r="L333" s="2">
        <v>13.63</v>
      </c>
      <c r="M333" s="1">
        <v>0.22</v>
      </c>
      <c r="N333" s="1">
        <v>0.13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 t="s">
        <v>2267</v>
      </c>
      <c r="W333" s="1" t="s">
        <v>2283</v>
      </c>
    </row>
    <row r="334" spans="1:23" ht="12.4">
      <c r="A334" s="1">
        <v>333</v>
      </c>
      <c r="B334" s="1" t="s">
        <v>2284</v>
      </c>
      <c r="C334" s="1" t="s">
        <v>2266</v>
      </c>
      <c r="D334" s="1">
        <v>56.45</v>
      </c>
      <c r="E334" s="1">
        <v>0</v>
      </c>
      <c r="F334" s="1">
        <v>1.62</v>
      </c>
      <c r="G334" s="1">
        <v>0.28999999999999998</v>
      </c>
      <c r="H334" s="1">
        <v>0.38</v>
      </c>
      <c r="I334" s="2">
        <v>5.55</v>
      </c>
      <c r="J334" s="1">
        <v>0.34</v>
      </c>
      <c r="K334" s="2">
        <v>21.77</v>
      </c>
      <c r="L334" s="2">
        <v>12.21</v>
      </c>
      <c r="M334" s="1">
        <v>0.37</v>
      </c>
      <c r="N334" s="1">
        <v>0.04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 t="s">
        <v>2267</v>
      </c>
      <c r="W334" s="1" t="s">
        <v>2285</v>
      </c>
    </row>
    <row r="335" spans="1:23" ht="12.4">
      <c r="A335" s="1">
        <v>334</v>
      </c>
      <c r="B335" s="1" t="s">
        <v>2286</v>
      </c>
      <c r="C335" s="1" t="s">
        <v>2266</v>
      </c>
      <c r="D335" s="1">
        <v>55.43</v>
      </c>
      <c r="E335" s="1">
        <v>0</v>
      </c>
      <c r="F335" s="1">
        <v>2.2400000000000002</v>
      </c>
      <c r="G335" s="1">
        <v>0.12</v>
      </c>
      <c r="H335" s="1">
        <v>0.62</v>
      </c>
      <c r="I335" s="2">
        <v>5.39</v>
      </c>
      <c r="J335" s="1">
        <v>0.34</v>
      </c>
      <c r="K335" s="2">
        <v>20.78</v>
      </c>
      <c r="L335" s="2">
        <v>12.74</v>
      </c>
      <c r="M335" s="1">
        <v>0.43</v>
      </c>
      <c r="N335" s="1">
        <v>0.03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 t="s">
        <v>2267</v>
      </c>
      <c r="W335" s="1" t="s">
        <v>2287</v>
      </c>
    </row>
    <row r="336" spans="1:23" ht="12.4">
      <c r="A336" s="1">
        <v>335</v>
      </c>
      <c r="B336" s="1" t="s">
        <v>2288</v>
      </c>
      <c r="C336" s="1" t="s">
        <v>2282</v>
      </c>
      <c r="D336" s="1">
        <v>58.15</v>
      </c>
      <c r="E336" s="1">
        <v>0</v>
      </c>
      <c r="F336" s="1">
        <v>0.27</v>
      </c>
      <c r="G336" s="1">
        <v>0.02</v>
      </c>
      <c r="H336" s="1">
        <v>0.23</v>
      </c>
      <c r="I336" s="2">
        <v>2.41</v>
      </c>
      <c r="J336" s="1">
        <v>0.31</v>
      </c>
      <c r="K336" s="2">
        <v>23.52</v>
      </c>
      <c r="L336" s="2">
        <v>13.53</v>
      </c>
      <c r="M336" s="1">
        <v>0.18</v>
      </c>
      <c r="N336" s="1">
        <v>0.1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 t="s">
        <v>2267</v>
      </c>
      <c r="W336" s="1" t="s">
        <v>2289</v>
      </c>
    </row>
    <row r="337" spans="1:23" ht="12.4">
      <c r="A337" s="1">
        <v>336</v>
      </c>
      <c r="B337" s="1" t="s">
        <v>2290</v>
      </c>
      <c r="C337" s="1" t="s">
        <v>2266</v>
      </c>
      <c r="D337" s="1">
        <v>54.86</v>
      </c>
      <c r="E337" s="1">
        <v>0</v>
      </c>
      <c r="F337" s="1">
        <v>3.52</v>
      </c>
      <c r="G337" s="1">
        <v>1.53</v>
      </c>
      <c r="H337" s="1">
        <v>0.57999999999999996</v>
      </c>
      <c r="I337" s="2">
        <v>4.13</v>
      </c>
      <c r="J337" s="1">
        <v>0.16</v>
      </c>
      <c r="K337" s="2">
        <v>20.98</v>
      </c>
      <c r="L337" s="2">
        <v>11.83</v>
      </c>
      <c r="M337" s="1">
        <v>0.74</v>
      </c>
      <c r="N337" s="1">
        <v>7.0000000000000007E-2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 t="s">
        <v>2267</v>
      </c>
      <c r="W337" s="1" t="s">
        <v>2291</v>
      </c>
    </row>
    <row r="338" spans="1:23" ht="12.4">
      <c r="A338" s="1">
        <v>337</v>
      </c>
      <c r="B338" s="1" t="s">
        <v>2292</v>
      </c>
      <c r="C338" s="1" t="s">
        <v>2266</v>
      </c>
      <c r="D338" s="1">
        <v>57.09</v>
      </c>
      <c r="E338" s="1">
        <v>0</v>
      </c>
      <c r="F338" s="1">
        <v>0.65</v>
      </c>
      <c r="G338" s="1">
        <v>0.3</v>
      </c>
      <c r="H338" s="1">
        <v>0.27</v>
      </c>
      <c r="I338" s="2">
        <v>5.8</v>
      </c>
      <c r="J338" s="1">
        <v>0.33</v>
      </c>
      <c r="K338" s="2">
        <v>20.65</v>
      </c>
      <c r="L338" s="2">
        <v>12.24</v>
      </c>
      <c r="M338" s="1">
        <v>0.62</v>
      </c>
      <c r="N338" s="1">
        <v>0.05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 t="s">
        <v>2267</v>
      </c>
      <c r="W338" s="1" t="s">
        <v>2293</v>
      </c>
    </row>
    <row r="339" spans="1:23" ht="12.4">
      <c r="A339" s="1">
        <v>338</v>
      </c>
      <c r="B339" s="1" t="s">
        <v>2294</v>
      </c>
      <c r="C339" s="1" t="s">
        <v>2266</v>
      </c>
      <c r="D339" s="1">
        <v>57.45</v>
      </c>
      <c r="E339" s="1">
        <v>0</v>
      </c>
      <c r="F339" s="1">
        <v>0.26</v>
      </c>
      <c r="G339" s="1">
        <v>0.15</v>
      </c>
      <c r="H339" s="1">
        <v>0.01</v>
      </c>
      <c r="I339" s="2">
        <v>4.96</v>
      </c>
      <c r="J339" s="1">
        <v>0.28999999999999998</v>
      </c>
      <c r="K339" s="2">
        <v>21.76</v>
      </c>
      <c r="L339" s="2">
        <v>13.22</v>
      </c>
      <c r="M339" s="1">
        <v>0.03</v>
      </c>
      <c r="N339" s="1">
        <v>0.02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 t="s">
        <v>2267</v>
      </c>
      <c r="W339" s="1" t="s">
        <v>2295</v>
      </c>
    </row>
    <row r="340" spans="1:23" ht="12.4">
      <c r="A340" s="1">
        <v>339</v>
      </c>
      <c r="B340" s="1" t="s">
        <v>2122</v>
      </c>
      <c r="C340" s="1" t="s">
        <v>2266</v>
      </c>
      <c r="D340" s="1">
        <v>56</v>
      </c>
      <c r="E340" s="1">
        <v>0</v>
      </c>
      <c r="F340" s="1">
        <v>2.2999999999999998</v>
      </c>
      <c r="G340" s="1">
        <v>0</v>
      </c>
      <c r="H340" s="1">
        <v>1.4</v>
      </c>
      <c r="I340" s="2">
        <v>4.22</v>
      </c>
      <c r="J340" s="1">
        <v>0.11</v>
      </c>
      <c r="K340" s="2">
        <v>20</v>
      </c>
      <c r="L340" s="2">
        <v>11.1</v>
      </c>
      <c r="M340" s="1">
        <v>1.1000000000000001</v>
      </c>
      <c r="N340" s="1">
        <v>0.1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 t="s">
        <v>2296</v>
      </c>
      <c r="W340" s="1" t="s">
        <v>2297</v>
      </c>
    </row>
    <row r="341" spans="1:23" ht="12.4">
      <c r="A341" s="1">
        <v>340</v>
      </c>
      <c r="B341" s="1" t="s">
        <v>2128</v>
      </c>
      <c r="C341" s="1" t="s">
        <v>2266</v>
      </c>
      <c r="D341" s="1">
        <v>50.61</v>
      </c>
      <c r="E341" s="1">
        <v>0</v>
      </c>
      <c r="F341" s="1">
        <v>2.42</v>
      </c>
      <c r="G341" s="1">
        <v>0</v>
      </c>
      <c r="H341" s="1">
        <v>2.8</v>
      </c>
      <c r="I341" s="2">
        <v>19.899999999999999</v>
      </c>
      <c r="J341" s="1">
        <v>2.69</v>
      </c>
      <c r="K341" s="2">
        <v>8.26</v>
      </c>
      <c r="L341" s="2">
        <v>10.82</v>
      </c>
      <c r="M341" s="1">
        <v>0.48</v>
      </c>
      <c r="N341" s="1">
        <v>0.14000000000000001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 t="s">
        <v>2298</v>
      </c>
      <c r="W341" s="1" t="s">
        <v>2299</v>
      </c>
    </row>
    <row r="342" spans="1:23" ht="12.4">
      <c r="A342" s="1">
        <v>341</v>
      </c>
      <c r="B342" s="1" t="s">
        <v>2126</v>
      </c>
      <c r="C342" s="1" t="s">
        <v>2266</v>
      </c>
      <c r="D342" s="1">
        <v>55</v>
      </c>
      <c r="E342" s="1">
        <v>0</v>
      </c>
      <c r="F342" s="1">
        <v>0.6</v>
      </c>
      <c r="G342" s="1">
        <v>0</v>
      </c>
      <c r="H342" s="1">
        <v>1.83</v>
      </c>
      <c r="I342" s="2">
        <v>19.600000000000001</v>
      </c>
      <c r="J342" s="1">
        <v>0.28999999999999998</v>
      </c>
      <c r="K342" s="2">
        <v>11</v>
      </c>
      <c r="L342" s="2">
        <v>10</v>
      </c>
      <c r="M342" s="1">
        <v>0.24</v>
      </c>
      <c r="N342" s="1">
        <v>0.01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 t="s">
        <v>2300</v>
      </c>
      <c r="W342" s="1" t="s">
        <v>2301</v>
      </c>
    </row>
    <row r="343" spans="1:23" ht="12.4">
      <c r="A343" s="1">
        <v>342</v>
      </c>
      <c r="B343" s="1" t="s">
        <v>2302</v>
      </c>
      <c r="C343" s="1" t="s">
        <v>2303</v>
      </c>
      <c r="D343" s="1">
        <v>57.05</v>
      </c>
      <c r="E343" s="1">
        <v>0</v>
      </c>
      <c r="F343" s="1">
        <v>0.45</v>
      </c>
      <c r="G343" s="1">
        <v>0.03</v>
      </c>
      <c r="H343" s="1">
        <v>0.1</v>
      </c>
      <c r="I343" s="2">
        <v>5.46</v>
      </c>
      <c r="J343" s="1">
        <v>0.22</v>
      </c>
      <c r="K343" s="2">
        <v>2.61</v>
      </c>
      <c r="L343" s="2">
        <v>1.58</v>
      </c>
      <c r="M343" s="1">
        <v>7.0000000000000007E-2</v>
      </c>
      <c r="N343" s="1">
        <v>0.01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 t="s">
        <v>2267</v>
      </c>
      <c r="W343" s="1" t="s">
        <v>2304</v>
      </c>
    </row>
    <row r="344" spans="1:23" ht="12.4">
      <c r="A344" s="1">
        <v>343</v>
      </c>
      <c r="B344" s="1" t="s">
        <v>2305</v>
      </c>
      <c r="C344" s="1" t="s">
        <v>2306</v>
      </c>
      <c r="D344" s="1">
        <v>56.45</v>
      </c>
      <c r="E344" s="1">
        <v>0</v>
      </c>
      <c r="F344" s="1">
        <v>1.5</v>
      </c>
      <c r="G344" s="1">
        <v>0.24</v>
      </c>
      <c r="H344" s="1">
        <v>0.41</v>
      </c>
      <c r="I344" s="2">
        <v>5.01</v>
      </c>
      <c r="J344" s="1">
        <v>0.28999999999999998</v>
      </c>
      <c r="K344" s="2">
        <v>22</v>
      </c>
      <c r="L344" s="2">
        <v>11.9</v>
      </c>
      <c r="M344" s="1">
        <v>0.08</v>
      </c>
      <c r="N344" s="1">
        <v>0.04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 t="s">
        <v>2267</v>
      </c>
      <c r="W344" s="1" t="s">
        <v>2307</v>
      </c>
    </row>
    <row r="345" spans="1:23" ht="12.4">
      <c r="A345" s="1">
        <v>344</v>
      </c>
      <c r="B345" s="1" t="s">
        <v>2308</v>
      </c>
      <c r="C345" s="1" t="s">
        <v>1496</v>
      </c>
      <c r="D345" s="1">
        <v>49.9</v>
      </c>
      <c r="E345" s="1">
        <v>1.24</v>
      </c>
      <c r="F345" s="1">
        <v>17.05</v>
      </c>
      <c r="G345" s="1">
        <v>0</v>
      </c>
      <c r="H345" s="1">
        <v>2.9</v>
      </c>
      <c r="I345" s="2">
        <v>6.56</v>
      </c>
      <c r="J345" s="1">
        <v>0.16</v>
      </c>
      <c r="K345" s="2">
        <v>6.92</v>
      </c>
      <c r="L345" s="2">
        <v>9.69</v>
      </c>
      <c r="M345" s="1">
        <v>3.44</v>
      </c>
      <c r="N345" s="1">
        <v>0.74</v>
      </c>
      <c r="O345" s="1">
        <v>0.38</v>
      </c>
      <c r="P345" s="1">
        <v>1.29</v>
      </c>
      <c r="Q345" s="1">
        <v>0</v>
      </c>
      <c r="R345" s="1">
        <v>75</v>
      </c>
      <c r="S345" s="1">
        <v>38</v>
      </c>
      <c r="T345" s="1">
        <v>0</v>
      </c>
      <c r="U345" s="1">
        <v>252</v>
      </c>
      <c r="V345" s="1"/>
      <c r="W345" s="1" t="s">
        <v>2309</v>
      </c>
    </row>
    <row r="346" spans="1:23" ht="12.4">
      <c r="A346" s="1">
        <v>345</v>
      </c>
      <c r="B346" s="1" t="s">
        <v>2310</v>
      </c>
      <c r="C346" s="1" t="s">
        <v>1496</v>
      </c>
      <c r="D346" s="1">
        <v>49.9</v>
      </c>
      <c r="E346" s="1">
        <v>1.24</v>
      </c>
      <c r="F346" s="1">
        <v>17.07</v>
      </c>
      <c r="G346" s="1">
        <v>0</v>
      </c>
      <c r="H346" s="1">
        <v>1.29</v>
      </c>
      <c r="I346" s="2">
        <v>7.2</v>
      </c>
      <c r="J346" s="1">
        <v>0.15</v>
      </c>
      <c r="K346" s="2">
        <v>9.6199999999999992</v>
      </c>
      <c r="L346" s="2">
        <v>11.15</v>
      </c>
      <c r="M346" s="1">
        <v>2.31</v>
      </c>
      <c r="N346" s="1">
        <v>0.16</v>
      </c>
      <c r="O346" s="1">
        <v>0.1</v>
      </c>
      <c r="P346" s="1">
        <v>0.87</v>
      </c>
      <c r="Q346" s="1">
        <v>0</v>
      </c>
      <c r="R346" s="1">
        <v>126</v>
      </c>
      <c r="S346" s="1">
        <v>42</v>
      </c>
      <c r="T346" s="1">
        <v>0</v>
      </c>
      <c r="U346" s="1">
        <v>222</v>
      </c>
      <c r="V346" s="1"/>
      <c r="W346" s="1" t="s">
        <v>2311</v>
      </c>
    </row>
    <row r="347" spans="1:23" ht="12.4">
      <c r="A347" s="1">
        <v>346</v>
      </c>
      <c r="B347" s="1" t="s">
        <v>2312</v>
      </c>
      <c r="C347" s="1" t="s">
        <v>1496</v>
      </c>
      <c r="D347" s="1">
        <v>49.06</v>
      </c>
      <c r="E347" s="1">
        <v>0.8</v>
      </c>
      <c r="F347" s="1">
        <v>16.55</v>
      </c>
      <c r="G347" s="1">
        <v>0</v>
      </c>
      <c r="H347" s="1">
        <v>2</v>
      </c>
      <c r="I347" s="2">
        <v>6.61</v>
      </c>
      <c r="J347" s="1">
        <v>0.16</v>
      </c>
      <c r="K347" s="2">
        <v>10.19</v>
      </c>
      <c r="L347" s="2">
        <v>10.87</v>
      </c>
      <c r="M347" s="1">
        <v>2.2999999999999998</v>
      </c>
      <c r="N347" s="1">
        <v>0.16</v>
      </c>
      <c r="O347" s="1">
        <v>0.08</v>
      </c>
      <c r="P347" s="1">
        <v>0.75</v>
      </c>
      <c r="Q347" s="1">
        <v>0</v>
      </c>
      <c r="R347" s="1">
        <v>173</v>
      </c>
      <c r="S347" s="1">
        <v>44</v>
      </c>
      <c r="T347" s="1">
        <v>0</v>
      </c>
      <c r="U347" s="1">
        <v>206</v>
      </c>
      <c r="V347" s="1"/>
      <c r="W347" s="1" t="s">
        <v>2311</v>
      </c>
    </row>
    <row r="348" spans="1:23" ht="12.4">
      <c r="A348" s="1">
        <v>347</v>
      </c>
      <c r="B348" s="1" t="s">
        <v>2313</v>
      </c>
      <c r="C348" s="1" t="s">
        <v>1496</v>
      </c>
      <c r="D348" s="1">
        <v>49.12</v>
      </c>
      <c r="E348" s="1">
        <v>0.79</v>
      </c>
      <c r="F348" s="1">
        <v>16.7</v>
      </c>
      <c r="G348" s="1">
        <v>0</v>
      </c>
      <c r="H348" s="1">
        <v>5.0599999999999996</v>
      </c>
      <c r="I348" s="2">
        <v>4.21</v>
      </c>
      <c r="J348" s="1">
        <v>0.15</v>
      </c>
      <c r="K348" s="2">
        <v>9.34</v>
      </c>
      <c r="L348" s="2">
        <v>11.43</v>
      </c>
      <c r="M348" s="1">
        <v>2.35</v>
      </c>
      <c r="N348" s="1">
        <v>0.14000000000000001</v>
      </c>
      <c r="O348" s="1">
        <v>0.06</v>
      </c>
      <c r="P348" s="1">
        <v>0.76</v>
      </c>
      <c r="Q348" s="1">
        <v>0</v>
      </c>
      <c r="R348" s="1">
        <v>140</v>
      </c>
      <c r="S348" s="1">
        <v>42</v>
      </c>
      <c r="T348" s="1">
        <v>0</v>
      </c>
      <c r="U348" s="1">
        <v>184</v>
      </c>
      <c r="V348" s="1"/>
      <c r="W348" s="1" t="s">
        <v>2314</v>
      </c>
    </row>
    <row r="349" spans="1:23" ht="12.4">
      <c r="A349" s="1">
        <v>348</v>
      </c>
      <c r="B349" s="1" t="s">
        <v>2315</v>
      </c>
      <c r="C349" s="1" t="s">
        <v>1496</v>
      </c>
      <c r="D349" s="1">
        <v>50.73</v>
      </c>
      <c r="E349" s="1">
        <v>0.74</v>
      </c>
      <c r="F349" s="1">
        <v>15.28</v>
      </c>
      <c r="G349" s="1">
        <v>0</v>
      </c>
      <c r="H349" s="1">
        <v>2.35</v>
      </c>
      <c r="I349" s="2">
        <v>6.4</v>
      </c>
      <c r="J349" s="1">
        <v>0.14000000000000001</v>
      </c>
      <c r="K349" s="2">
        <v>10.86</v>
      </c>
      <c r="L349" s="2">
        <v>9.51</v>
      </c>
      <c r="M349" s="1">
        <v>2.59</v>
      </c>
      <c r="N349" s="1">
        <v>0.36</v>
      </c>
      <c r="O349" s="1">
        <v>0.14000000000000001</v>
      </c>
      <c r="P349" s="1">
        <v>0.82</v>
      </c>
      <c r="Q349" s="1">
        <v>0</v>
      </c>
      <c r="R349" s="1">
        <v>188</v>
      </c>
      <c r="S349" s="1">
        <v>43</v>
      </c>
      <c r="T349" s="1">
        <v>0</v>
      </c>
      <c r="U349" s="1">
        <v>208</v>
      </c>
      <c r="V349" s="1"/>
      <c r="W349" s="1" t="s">
        <v>2316</v>
      </c>
    </row>
    <row r="350" spans="1:23" ht="12.4">
      <c r="A350" s="1">
        <v>349</v>
      </c>
      <c r="B350" s="1" t="s">
        <v>2317</v>
      </c>
      <c r="C350" s="1" t="s">
        <v>2318</v>
      </c>
      <c r="D350" s="1">
        <v>33.96</v>
      </c>
      <c r="E350" s="1">
        <v>3.55</v>
      </c>
      <c r="F350" s="1">
        <v>13.1</v>
      </c>
      <c r="G350" s="1">
        <v>0</v>
      </c>
      <c r="H350" s="1">
        <v>3.06</v>
      </c>
      <c r="I350" s="2">
        <v>32.04</v>
      </c>
      <c r="J350" s="1">
        <v>0.65</v>
      </c>
      <c r="K350" s="2">
        <v>0.97</v>
      </c>
      <c r="L350" s="2">
        <v>0.42</v>
      </c>
      <c r="M350" s="1">
        <v>0.49</v>
      </c>
      <c r="N350" s="1">
        <v>8.4700000000000006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 t="s">
        <v>2319</v>
      </c>
      <c r="W350" s="1" t="s">
        <v>2320</v>
      </c>
    </row>
    <row r="351" spans="1:23" ht="12.4">
      <c r="A351" s="1">
        <v>350</v>
      </c>
      <c r="B351" s="1" t="s">
        <v>2321</v>
      </c>
      <c r="C351" s="1" t="s">
        <v>2318</v>
      </c>
      <c r="D351" s="1">
        <v>39.909999999999997</v>
      </c>
      <c r="E351" s="1">
        <v>0</v>
      </c>
      <c r="F351" s="1">
        <v>16.73</v>
      </c>
      <c r="G351" s="1">
        <v>0</v>
      </c>
      <c r="H351" s="1">
        <v>12.07</v>
      </c>
      <c r="I351" s="2">
        <v>17.48</v>
      </c>
      <c r="J351" s="1">
        <v>0</v>
      </c>
      <c r="K351" s="2">
        <v>0.62</v>
      </c>
      <c r="L351" s="2">
        <v>0</v>
      </c>
      <c r="M351" s="1">
        <v>0</v>
      </c>
      <c r="N351" s="1">
        <v>10.66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 t="s">
        <v>2319</v>
      </c>
      <c r="W351" s="1" t="s">
        <v>2322</v>
      </c>
    </row>
    <row r="352" spans="1:23" ht="12.4">
      <c r="A352" s="1">
        <v>351</v>
      </c>
      <c r="B352" s="1" t="s">
        <v>2323</v>
      </c>
      <c r="C352" s="1" t="s">
        <v>2318</v>
      </c>
      <c r="D352" s="1">
        <v>36.71</v>
      </c>
      <c r="E352" s="1">
        <v>0.55000000000000004</v>
      </c>
      <c r="F352" s="1">
        <v>19.82</v>
      </c>
      <c r="G352" s="1">
        <v>0</v>
      </c>
      <c r="H352" s="1">
        <v>0</v>
      </c>
      <c r="I352" s="2">
        <v>22.46</v>
      </c>
      <c r="J352" s="1">
        <v>1.6</v>
      </c>
      <c r="K352" s="2">
        <v>0.04</v>
      </c>
      <c r="L352" s="2">
        <v>0.01</v>
      </c>
      <c r="M352" s="1">
        <v>0.16</v>
      </c>
      <c r="N352" s="1">
        <v>9.66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 t="s">
        <v>2319</v>
      </c>
      <c r="W352" s="1" t="s">
        <v>2324</v>
      </c>
    </row>
    <row r="353" spans="1:23" ht="12.4">
      <c r="A353" s="1">
        <v>352</v>
      </c>
      <c r="B353" s="1" t="s">
        <v>2325</v>
      </c>
      <c r="C353" s="1" t="s">
        <v>2123</v>
      </c>
      <c r="D353" s="1">
        <v>52.28</v>
      </c>
      <c r="E353" s="1">
        <v>0.05</v>
      </c>
      <c r="F353" s="1">
        <v>0.18</v>
      </c>
      <c r="G353" s="1">
        <v>0</v>
      </c>
      <c r="H353" s="1">
        <v>0</v>
      </c>
      <c r="I353" s="2">
        <v>22.57</v>
      </c>
      <c r="J353" s="1">
        <v>0.24</v>
      </c>
      <c r="K353" s="2">
        <v>10.53</v>
      </c>
      <c r="L353" s="2">
        <v>11.26</v>
      </c>
      <c r="M353" s="1">
        <v>0.16</v>
      </c>
      <c r="N353" s="1">
        <v>7.0000000000000007E-2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 t="s">
        <v>2326</v>
      </c>
      <c r="W353" s="1" t="s">
        <v>2327</v>
      </c>
    </row>
    <row r="354" spans="1:23" ht="12.4">
      <c r="A354" s="1">
        <v>353</v>
      </c>
      <c r="B354" s="1" t="s">
        <v>2328</v>
      </c>
      <c r="C354" s="1" t="s">
        <v>2329</v>
      </c>
      <c r="D354" s="1">
        <v>56.38</v>
      </c>
      <c r="E354" s="1">
        <v>0.11</v>
      </c>
      <c r="F354" s="1">
        <v>8.4499999999999993</v>
      </c>
      <c r="G354" s="1">
        <v>0</v>
      </c>
      <c r="H354" s="1">
        <v>4.9800000000000004</v>
      </c>
      <c r="I354" s="2">
        <v>9.4</v>
      </c>
      <c r="J354" s="1">
        <v>0.19</v>
      </c>
      <c r="K354" s="2">
        <v>9.89</v>
      </c>
      <c r="L354" s="2">
        <v>1.29</v>
      </c>
      <c r="M354" s="1">
        <v>6.77</v>
      </c>
      <c r="N354" s="1">
        <v>0.08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 t="s">
        <v>2330</v>
      </c>
      <c r="W354" s="1" t="s">
        <v>2331</v>
      </c>
    </row>
    <row r="355" spans="1:23" ht="12.4">
      <c r="A355" s="1">
        <v>354</v>
      </c>
      <c r="B355" s="1" t="s">
        <v>2332</v>
      </c>
      <c r="C355" s="1" t="s">
        <v>2333</v>
      </c>
      <c r="D355" s="1">
        <v>43.82</v>
      </c>
      <c r="E355" s="1">
        <v>0.68</v>
      </c>
      <c r="F355" s="1">
        <v>14.85</v>
      </c>
      <c r="G355" s="1">
        <v>0</v>
      </c>
      <c r="H355" s="1">
        <v>3.32</v>
      </c>
      <c r="I355" s="2">
        <v>11.15</v>
      </c>
      <c r="J355" s="1">
        <v>0.27</v>
      </c>
      <c r="K355" s="2">
        <v>12.07</v>
      </c>
      <c r="L355" s="2">
        <v>10.199999999999999</v>
      </c>
      <c r="M355" s="1">
        <v>1.79</v>
      </c>
      <c r="N355" s="1">
        <v>0.12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 t="s">
        <v>2334</v>
      </c>
      <c r="W355" s="1" t="s">
        <v>2335</v>
      </c>
    </row>
    <row r="356" spans="1:23" ht="12.4">
      <c r="A356" s="1">
        <v>355</v>
      </c>
      <c r="B356" s="1" t="s">
        <v>2336</v>
      </c>
      <c r="C356" s="1" t="s">
        <v>2337</v>
      </c>
      <c r="D356" s="1">
        <v>52.16</v>
      </c>
      <c r="E356" s="1">
        <v>0.04</v>
      </c>
      <c r="F356" s="1">
        <v>4.51</v>
      </c>
      <c r="G356" s="1">
        <v>0</v>
      </c>
      <c r="H356" s="1">
        <v>10.53</v>
      </c>
      <c r="I356" s="2">
        <v>18.190000000000001</v>
      </c>
      <c r="J356" s="1">
        <v>0.51</v>
      </c>
      <c r="K356" s="2">
        <v>3.93</v>
      </c>
      <c r="L356" s="2">
        <v>1.19</v>
      </c>
      <c r="M356" s="1">
        <v>6.27</v>
      </c>
      <c r="N356" s="1">
        <v>0.09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 t="s">
        <v>2330</v>
      </c>
      <c r="W356" s="1" t="s">
        <v>2338</v>
      </c>
    </row>
    <row r="357" spans="1:23" ht="12.4">
      <c r="A357" s="1">
        <v>356</v>
      </c>
      <c r="B357" s="1" t="s">
        <v>2339</v>
      </c>
      <c r="C357" s="1" t="s">
        <v>1496</v>
      </c>
      <c r="D357" s="1">
        <v>0</v>
      </c>
      <c r="E357" s="1">
        <v>0.98</v>
      </c>
      <c r="F357" s="1">
        <v>8.75</v>
      </c>
      <c r="G357" s="1">
        <v>0</v>
      </c>
      <c r="H357" s="1">
        <v>0</v>
      </c>
      <c r="I357" s="2">
        <v>7.9</v>
      </c>
      <c r="J357" s="1">
        <v>0</v>
      </c>
      <c r="K357" s="2">
        <v>0</v>
      </c>
      <c r="L357" s="2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31</v>
      </c>
      <c r="T357" s="1">
        <v>0</v>
      </c>
      <c r="U357" s="1">
        <v>0</v>
      </c>
      <c r="V357" s="1" t="s">
        <v>2340</v>
      </c>
      <c r="W357" s="1" t="s">
        <v>2341</v>
      </c>
    </row>
    <row r="358" spans="1:23" ht="12.4">
      <c r="A358" s="1">
        <v>357</v>
      </c>
      <c r="B358" s="1" t="s">
        <v>2342</v>
      </c>
      <c r="C358" s="1" t="s">
        <v>1496</v>
      </c>
      <c r="D358" s="1">
        <v>41.67</v>
      </c>
      <c r="E358" s="1">
        <v>6.52</v>
      </c>
      <c r="F358" s="1">
        <v>13.57</v>
      </c>
      <c r="G358" s="1">
        <v>0.42</v>
      </c>
      <c r="H358" s="1">
        <v>0</v>
      </c>
      <c r="I358" s="2">
        <v>15.37</v>
      </c>
      <c r="J358" s="1">
        <v>0.21</v>
      </c>
      <c r="K358" s="2">
        <v>10.220000000000001</v>
      </c>
      <c r="L358" s="2">
        <v>11.18</v>
      </c>
      <c r="M358" s="1">
        <v>0.34</v>
      </c>
      <c r="N358" s="1">
        <v>0.09</v>
      </c>
      <c r="O358" s="1">
        <v>0.06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 t="s">
        <v>2343</v>
      </c>
      <c r="W358" s="1" t="s">
        <v>2344</v>
      </c>
    </row>
    <row r="359" spans="1:23" ht="12.4">
      <c r="A359" s="1">
        <v>358</v>
      </c>
      <c r="B359" s="1" t="s">
        <v>2345</v>
      </c>
      <c r="C359" s="1" t="s">
        <v>1496</v>
      </c>
      <c r="D359" s="1">
        <v>39.82</v>
      </c>
      <c r="E359" s="1">
        <v>9.52</v>
      </c>
      <c r="F359" s="1">
        <v>11.13</v>
      </c>
      <c r="G359" s="1">
        <v>0.46</v>
      </c>
      <c r="H359" s="1">
        <v>0</v>
      </c>
      <c r="I359" s="2">
        <v>17.41</v>
      </c>
      <c r="J359" s="1">
        <v>0.25</v>
      </c>
      <c r="K359" s="2">
        <v>9.51</v>
      </c>
      <c r="L359" s="2">
        <v>10.85</v>
      </c>
      <c r="M359" s="1">
        <v>0.32</v>
      </c>
      <c r="N359" s="1">
        <v>7.0000000000000007E-2</v>
      </c>
      <c r="O359" s="1">
        <v>0.06</v>
      </c>
      <c r="P359" s="1">
        <v>0</v>
      </c>
      <c r="Q359" s="1">
        <v>0</v>
      </c>
      <c r="R359" s="1">
        <v>90</v>
      </c>
      <c r="S359" s="1">
        <v>33.1</v>
      </c>
      <c r="T359" s="1">
        <v>0</v>
      </c>
      <c r="U359" s="1">
        <v>0</v>
      </c>
      <c r="V359" s="1" t="s">
        <v>2346</v>
      </c>
      <c r="W359" s="1" t="s">
        <v>2347</v>
      </c>
    </row>
    <row r="360" spans="1:23" ht="12.4">
      <c r="A360" s="1">
        <v>359</v>
      </c>
      <c r="B360" s="1" t="s">
        <v>2348</v>
      </c>
      <c r="C360" s="1" t="s">
        <v>1496</v>
      </c>
      <c r="D360" s="1">
        <v>48.5</v>
      </c>
      <c r="E360" s="1">
        <v>1.71</v>
      </c>
      <c r="F360" s="1">
        <v>17.38</v>
      </c>
      <c r="G360" s="1">
        <v>0</v>
      </c>
      <c r="H360" s="1">
        <v>0</v>
      </c>
      <c r="I360" s="2">
        <v>10.55</v>
      </c>
      <c r="J360" s="1">
        <v>0.13</v>
      </c>
      <c r="K360" s="2">
        <v>9.66</v>
      </c>
      <c r="L360" s="2">
        <v>10.4</v>
      </c>
      <c r="M360" s="1">
        <v>0.71</v>
      </c>
      <c r="N360" s="1">
        <v>0.53</v>
      </c>
      <c r="O360" s="1">
        <v>0.5</v>
      </c>
      <c r="P360" s="1">
        <v>0</v>
      </c>
      <c r="Q360" s="1">
        <v>0</v>
      </c>
      <c r="R360" s="1">
        <v>0</v>
      </c>
      <c r="S360" s="1">
        <v>34.4</v>
      </c>
      <c r="T360" s="1">
        <v>0</v>
      </c>
      <c r="U360" s="1">
        <v>44</v>
      </c>
      <c r="V360" s="1" t="s">
        <v>2349</v>
      </c>
      <c r="W360" s="1" t="s">
        <v>2350</v>
      </c>
    </row>
    <row r="361" spans="1:23" ht="12.4">
      <c r="A361" s="1">
        <v>360</v>
      </c>
      <c r="B361" s="1" t="s">
        <v>2351</v>
      </c>
      <c r="C361" s="1" t="s">
        <v>1496</v>
      </c>
      <c r="D361" s="1">
        <v>44.76</v>
      </c>
      <c r="E361" s="1">
        <v>0.6</v>
      </c>
      <c r="F361" s="1">
        <v>26.35</v>
      </c>
      <c r="G361" s="1">
        <v>0.13</v>
      </c>
      <c r="H361" s="1">
        <v>0</v>
      </c>
      <c r="I361" s="2">
        <v>5.76</v>
      </c>
      <c r="J361" s="1">
        <v>7.0000000000000007E-2</v>
      </c>
      <c r="K361" s="2">
        <v>6.33</v>
      </c>
      <c r="L361" s="2">
        <v>15.55</v>
      </c>
      <c r="M361" s="1">
        <v>0.41</v>
      </c>
      <c r="N361" s="1">
        <v>0.14000000000000001</v>
      </c>
      <c r="O361" s="1">
        <v>0.12</v>
      </c>
      <c r="P361" s="1">
        <v>0</v>
      </c>
      <c r="Q361" s="1">
        <v>0</v>
      </c>
      <c r="R361" s="1">
        <v>600</v>
      </c>
      <c r="S361" s="1">
        <v>47</v>
      </c>
      <c r="T361" s="1">
        <v>0</v>
      </c>
      <c r="U361" s="1">
        <v>29</v>
      </c>
      <c r="V361" s="1" t="s">
        <v>2352</v>
      </c>
      <c r="W361" s="1" t="s">
        <v>2353</v>
      </c>
    </row>
    <row r="362" spans="1:23" ht="12.4">
      <c r="A362" s="1">
        <v>361</v>
      </c>
      <c r="B362" s="1" t="s">
        <v>2354</v>
      </c>
      <c r="C362" s="1" t="s">
        <v>1496</v>
      </c>
      <c r="D362" s="1">
        <v>40.270000000000003</v>
      </c>
      <c r="E362" s="1">
        <v>9.41</v>
      </c>
      <c r="F362" s="1">
        <v>11.31</v>
      </c>
      <c r="G362" s="1">
        <v>0.46</v>
      </c>
      <c r="H362" s="1">
        <v>0</v>
      </c>
      <c r="I362" s="2">
        <v>17.2</v>
      </c>
      <c r="J362" s="1">
        <v>0.25</v>
      </c>
      <c r="K362" s="2">
        <v>9.59</v>
      </c>
      <c r="L362" s="2">
        <v>10.97</v>
      </c>
      <c r="M362" s="1">
        <v>0.33</v>
      </c>
      <c r="N362" s="1">
        <v>0.08</v>
      </c>
      <c r="O362" s="1">
        <v>7.0000000000000007E-2</v>
      </c>
      <c r="P362" s="1">
        <v>0</v>
      </c>
      <c r="Q362" s="1">
        <v>0</v>
      </c>
      <c r="R362" s="1">
        <v>100</v>
      </c>
      <c r="S362" s="1">
        <v>27</v>
      </c>
      <c r="T362" s="1">
        <v>0</v>
      </c>
      <c r="U362" s="1">
        <v>100</v>
      </c>
      <c r="V362" s="1" t="s">
        <v>2355</v>
      </c>
      <c r="W362" s="1" t="s">
        <v>2356</v>
      </c>
    </row>
    <row r="363" spans="1:23" ht="12.4">
      <c r="A363" s="1">
        <v>362</v>
      </c>
      <c r="B363" s="1" t="s">
        <v>2357</v>
      </c>
      <c r="C363" s="1" t="s">
        <v>1496</v>
      </c>
      <c r="D363" s="1">
        <v>45.18</v>
      </c>
      <c r="E363" s="1">
        <v>0.57999999999999996</v>
      </c>
      <c r="F363" s="1">
        <v>26.65</v>
      </c>
      <c r="G363" s="1">
        <v>0</v>
      </c>
      <c r="H363" s="1">
        <v>0</v>
      </c>
      <c r="I363" s="2">
        <v>5.48</v>
      </c>
      <c r="J363" s="1">
        <v>7.0000000000000007E-2</v>
      </c>
      <c r="K363" s="2">
        <v>6.28</v>
      </c>
      <c r="L363" s="2">
        <v>15.35</v>
      </c>
      <c r="M363" s="1">
        <v>0.47</v>
      </c>
      <c r="N363" s="1">
        <v>0.11</v>
      </c>
      <c r="O363" s="1">
        <v>0.12</v>
      </c>
      <c r="P363" s="1">
        <v>0</v>
      </c>
      <c r="Q363" s="1">
        <v>0</v>
      </c>
      <c r="R363" s="1">
        <v>560</v>
      </c>
      <c r="S363" s="1">
        <v>34.700000000000003</v>
      </c>
      <c r="T363" s="1">
        <v>0</v>
      </c>
      <c r="U363" s="1">
        <v>0</v>
      </c>
      <c r="V363" s="1" t="s">
        <v>2358</v>
      </c>
      <c r="W363" s="1" t="s">
        <v>2359</v>
      </c>
    </row>
    <row r="364" spans="1:23" ht="12.4">
      <c r="A364" s="1">
        <v>363</v>
      </c>
      <c r="B364" s="1" t="s">
        <v>2360</v>
      </c>
      <c r="C364" s="1" t="s">
        <v>1496</v>
      </c>
      <c r="D364" s="1">
        <v>49.91</v>
      </c>
      <c r="E364" s="1">
        <v>1.17</v>
      </c>
      <c r="F364" s="1">
        <v>14.53</v>
      </c>
      <c r="G364" s="1">
        <v>0</v>
      </c>
      <c r="H364" s="1">
        <v>0</v>
      </c>
      <c r="I364" s="2">
        <v>14.05</v>
      </c>
      <c r="J364" s="1">
        <v>0.19</v>
      </c>
      <c r="K364" s="2">
        <v>12.12</v>
      </c>
      <c r="L364" s="2">
        <v>10.7</v>
      </c>
      <c r="M364" s="1">
        <v>0.35</v>
      </c>
      <c r="N364" s="1">
        <v>0.16</v>
      </c>
      <c r="O364" s="1">
        <v>0.15</v>
      </c>
      <c r="P364" s="1">
        <v>0</v>
      </c>
      <c r="Q364" s="1">
        <v>0</v>
      </c>
      <c r="R364" s="1">
        <v>234</v>
      </c>
      <c r="S364" s="1">
        <v>51</v>
      </c>
      <c r="T364" s="1">
        <v>0</v>
      </c>
      <c r="U364" s="1">
        <v>97</v>
      </c>
      <c r="V364" s="1" t="s">
        <v>2361</v>
      </c>
      <c r="W364" s="1" t="s">
        <v>2362</v>
      </c>
    </row>
    <row r="365" spans="1:23" ht="12.4">
      <c r="A365" s="1">
        <v>364</v>
      </c>
      <c r="B365" s="1" t="s">
        <v>2363</v>
      </c>
      <c r="C365" s="1" t="s">
        <v>1496</v>
      </c>
      <c r="D365" s="1">
        <v>0</v>
      </c>
      <c r="E365" s="1">
        <v>1.4</v>
      </c>
      <c r="F365" s="1">
        <v>16.100000000000001</v>
      </c>
      <c r="G365" s="1">
        <v>0.36</v>
      </c>
      <c r="H365" s="1">
        <v>0</v>
      </c>
      <c r="I365" s="2">
        <v>12.09</v>
      </c>
      <c r="J365" s="1">
        <v>0.16</v>
      </c>
      <c r="K365" s="2">
        <v>0</v>
      </c>
      <c r="L365" s="2">
        <v>11.89</v>
      </c>
      <c r="M365" s="1">
        <v>0.45</v>
      </c>
      <c r="N365" s="1">
        <v>0</v>
      </c>
      <c r="O365" s="1">
        <v>0</v>
      </c>
      <c r="P365" s="1">
        <v>0</v>
      </c>
      <c r="Q365" s="1">
        <v>0</v>
      </c>
      <c r="R365" s="1">
        <v>250</v>
      </c>
      <c r="S365" s="1">
        <v>42</v>
      </c>
      <c r="T365" s="1">
        <v>0</v>
      </c>
      <c r="U365" s="1">
        <v>81</v>
      </c>
      <c r="V365" s="1" t="s">
        <v>2364</v>
      </c>
      <c r="W365" s="1" t="s">
        <v>2365</v>
      </c>
    </row>
    <row r="366" spans="1:23" ht="12.4">
      <c r="A366" s="1">
        <v>365</v>
      </c>
      <c r="B366" s="1" t="s">
        <v>2366</v>
      </c>
      <c r="C366" s="1" t="s">
        <v>1496</v>
      </c>
      <c r="D366" s="1">
        <v>45.05</v>
      </c>
      <c r="E366" s="1">
        <v>1.98</v>
      </c>
      <c r="F366" s="1">
        <v>10.199999999999999</v>
      </c>
      <c r="G366" s="1">
        <v>0.56000000000000005</v>
      </c>
      <c r="H366" s="1">
        <v>0</v>
      </c>
      <c r="I366" s="2">
        <v>19.79</v>
      </c>
      <c r="J366" s="1">
        <v>0.26</v>
      </c>
      <c r="K366" s="2">
        <v>10.89</v>
      </c>
      <c r="L366" s="2">
        <v>9.8699999999999992</v>
      </c>
      <c r="M366" s="1">
        <v>0.28999999999999998</v>
      </c>
      <c r="N366" s="1">
        <v>0.1</v>
      </c>
      <c r="O366" s="1">
        <v>0.11</v>
      </c>
      <c r="P366" s="1">
        <v>0</v>
      </c>
      <c r="Q366" s="1">
        <v>6.4</v>
      </c>
      <c r="R366" s="1">
        <v>170</v>
      </c>
      <c r="S366" s="1">
        <v>48.9</v>
      </c>
      <c r="T366" s="1">
        <v>0</v>
      </c>
      <c r="U366" s="1">
        <v>200</v>
      </c>
      <c r="V366" s="1" t="s">
        <v>2367</v>
      </c>
      <c r="W366" s="1" t="s">
        <v>2368</v>
      </c>
    </row>
    <row r="367" spans="1:23" ht="12.4">
      <c r="A367" s="1">
        <v>366</v>
      </c>
      <c r="B367" s="1" t="s">
        <v>2369</v>
      </c>
      <c r="C367" s="1" t="s">
        <v>1496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2">
        <v>0</v>
      </c>
      <c r="J367" s="1">
        <v>0</v>
      </c>
      <c r="K367" s="2">
        <v>0</v>
      </c>
      <c r="L367" s="2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 t="s">
        <v>2370</v>
      </c>
      <c r="W367" s="1" t="s">
        <v>2371</v>
      </c>
    </row>
    <row r="368" spans="1:23" ht="12.4">
      <c r="A368" s="1">
        <v>367</v>
      </c>
      <c r="B368" s="1" t="s">
        <v>2372</v>
      </c>
      <c r="C368" s="1" t="s">
        <v>1496</v>
      </c>
      <c r="D368" s="1">
        <v>42.31</v>
      </c>
      <c r="E368" s="1">
        <v>8.9499999999999993</v>
      </c>
      <c r="F368" s="1">
        <v>10.3</v>
      </c>
      <c r="G368" s="1">
        <v>0.21</v>
      </c>
      <c r="H368" s="1">
        <v>0</v>
      </c>
      <c r="I368" s="2">
        <v>18.57</v>
      </c>
      <c r="J368" s="1">
        <v>0.26</v>
      </c>
      <c r="K368" s="2">
        <v>6.28</v>
      </c>
      <c r="L368" s="2">
        <v>12.15</v>
      </c>
      <c r="M368" s="1">
        <v>0.53</v>
      </c>
      <c r="N368" s="1">
        <v>0.06</v>
      </c>
      <c r="O368" s="1">
        <v>0.08</v>
      </c>
      <c r="P368" s="1">
        <v>0</v>
      </c>
      <c r="Q368" s="1">
        <v>2</v>
      </c>
      <c r="R368" s="1">
        <v>2</v>
      </c>
      <c r="S368" s="1">
        <v>16.600000000000001</v>
      </c>
      <c r="T368" s="1">
        <v>2</v>
      </c>
      <c r="U368" s="1">
        <v>19</v>
      </c>
      <c r="V368" s="1" t="s">
        <v>2373</v>
      </c>
      <c r="W368" s="1" t="s">
        <v>2374</v>
      </c>
    </row>
    <row r="369" spans="1:23" ht="12.4">
      <c r="A369" s="1">
        <v>368</v>
      </c>
      <c r="B369" s="1" t="s">
        <v>2375</v>
      </c>
      <c r="C369" s="1" t="s">
        <v>1496</v>
      </c>
      <c r="D369" s="1">
        <v>50.58</v>
      </c>
      <c r="E369" s="1">
        <v>3.19</v>
      </c>
      <c r="F369" s="1">
        <v>13.13</v>
      </c>
      <c r="G369" s="1">
        <v>0.05</v>
      </c>
      <c r="H369" s="1">
        <v>1.07</v>
      </c>
      <c r="I369" s="2">
        <v>10.6</v>
      </c>
      <c r="J369" s="1">
        <v>0.18</v>
      </c>
      <c r="K369" s="2">
        <v>6.38</v>
      </c>
      <c r="L369" s="2">
        <v>10.71</v>
      </c>
      <c r="M369" s="1">
        <v>3.05</v>
      </c>
      <c r="N369" s="1">
        <v>0.54</v>
      </c>
      <c r="O369" s="1">
        <v>0</v>
      </c>
      <c r="P369" s="1">
        <v>0</v>
      </c>
      <c r="Q369" s="1">
        <v>0</v>
      </c>
      <c r="R369" s="1">
        <v>600</v>
      </c>
      <c r="S369" s="1">
        <v>400</v>
      </c>
      <c r="T369" s="1">
        <v>200</v>
      </c>
      <c r="U369" s="1">
        <v>0</v>
      </c>
      <c r="V369" s="1" t="s">
        <v>2376</v>
      </c>
      <c r="W369" s="1" t="s">
        <v>2377</v>
      </c>
    </row>
    <row r="370" spans="1:23" ht="12.4">
      <c r="A370" s="1">
        <v>369</v>
      </c>
      <c r="B370" s="1" t="s">
        <v>1178</v>
      </c>
      <c r="C370" s="1" t="s">
        <v>1502</v>
      </c>
      <c r="D370" s="1">
        <v>39.74</v>
      </c>
      <c r="E370" s="1">
        <v>0</v>
      </c>
      <c r="F370" s="1">
        <v>0</v>
      </c>
      <c r="G370" s="1">
        <v>0</v>
      </c>
      <c r="H370" s="1">
        <v>0</v>
      </c>
      <c r="I370" s="2">
        <v>13.92</v>
      </c>
      <c r="J370" s="1">
        <v>0.23</v>
      </c>
      <c r="K370" s="2">
        <v>46.38</v>
      </c>
      <c r="L370" s="2">
        <v>0.13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/>
      <c r="W370" s="1" t="s">
        <v>2378</v>
      </c>
    </row>
    <row r="371" spans="1:23" ht="12.4">
      <c r="A371" s="1">
        <v>370</v>
      </c>
      <c r="B371" s="1" t="s">
        <v>1182</v>
      </c>
      <c r="C371" s="1" t="s">
        <v>1502</v>
      </c>
      <c r="D371" s="1">
        <v>40.97</v>
      </c>
      <c r="E371" s="1">
        <v>0</v>
      </c>
      <c r="F371" s="1">
        <v>0</v>
      </c>
      <c r="G371" s="1">
        <v>0</v>
      </c>
      <c r="H371" s="1">
        <v>0</v>
      </c>
      <c r="I371" s="2">
        <v>9.59</v>
      </c>
      <c r="J371" s="1">
        <v>0.09</v>
      </c>
      <c r="K371" s="2">
        <v>49.64</v>
      </c>
      <c r="L371" s="2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/>
      <c r="W371" s="1" t="s">
        <v>2379</v>
      </c>
    </row>
    <row r="372" spans="1:23" ht="12.4">
      <c r="A372" s="1">
        <v>371</v>
      </c>
      <c r="B372" s="1" t="s">
        <v>2380</v>
      </c>
      <c r="C372" s="1" t="s">
        <v>1502</v>
      </c>
      <c r="D372" s="1">
        <v>40.64</v>
      </c>
      <c r="E372" s="1">
        <v>0</v>
      </c>
      <c r="F372" s="1">
        <v>0</v>
      </c>
      <c r="G372" s="1">
        <v>0</v>
      </c>
      <c r="H372" s="1">
        <v>0</v>
      </c>
      <c r="I372" s="2">
        <v>8.7200000000000006</v>
      </c>
      <c r="J372" s="1">
        <v>0.1</v>
      </c>
      <c r="K372" s="2">
        <v>50.16</v>
      </c>
      <c r="L372" s="2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/>
      <c r="W372" s="1" t="s">
        <v>2381</v>
      </c>
    </row>
    <row r="373" spans="1:23" ht="12.4">
      <c r="A373" s="1">
        <v>372</v>
      </c>
      <c r="B373" s="1" t="s">
        <v>1186</v>
      </c>
      <c r="C373" s="1" t="s">
        <v>1502</v>
      </c>
      <c r="D373" s="1">
        <v>40.68</v>
      </c>
      <c r="E373" s="1">
        <v>0</v>
      </c>
      <c r="F373" s="1">
        <v>0.01</v>
      </c>
      <c r="G373" s="1">
        <v>0</v>
      </c>
      <c r="H373" s="1">
        <v>0</v>
      </c>
      <c r="I373" s="2">
        <v>9.27</v>
      </c>
      <c r="J373" s="1">
        <v>0.13</v>
      </c>
      <c r="K373" s="2">
        <v>49.67</v>
      </c>
      <c r="L373" s="2">
        <v>0.09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/>
      <c r="W373" s="1" t="s">
        <v>2382</v>
      </c>
    </row>
    <row r="374" spans="1:23" ht="12.4">
      <c r="A374" s="1">
        <v>373</v>
      </c>
      <c r="B374" s="1" t="s">
        <v>2383</v>
      </c>
      <c r="C374" s="1" t="s">
        <v>1502</v>
      </c>
      <c r="D374" s="1">
        <v>28.83</v>
      </c>
      <c r="E374" s="1">
        <v>0.08</v>
      </c>
      <c r="F374" s="1">
        <v>0</v>
      </c>
      <c r="G374" s="1">
        <v>0.04</v>
      </c>
      <c r="H374" s="1">
        <v>0</v>
      </c>
      <c r="I374" s="2">
        <v>2.2400000000000002</v>
      </c>
      <c r="J374" s="1">
        <v>56.9</v>
      </c>
      <c r="K374" s="2">
        <v>3.41</v>
      </c>
      <c r="L374" s="2">
        <v>0.56000000000000005</v>
      </c>
      <c r="M374" s="1">
        <v>0.59</v>
      </c>
      <c r="N374" s="1">
        <v>0.02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/>
      <c r="W374" s="1" t="s">
        <v>2384</v>
      </c>
    </row>
    <row r="375" spans="1:23" ht="12.4">
      <c r="A375" s="1">
        <v>374</v>
      </c>
      <c r="B375" s="1" t="s">
        <v>1190</v>
      </c>
      <c r="C375" s="1" t="s">
        <v>1502</v>
      </c>
      <c r="D375" s="1">
        <v>39.72</v>
      </c>
      <c r="E375" s="1">
        <v>0</v>
      </c>
      <c r="F375" s="1">
        <v>0</v>
      </c>
      <c r="G375" s="1">
        <v>0</v>
      </c>
      <c r="H375" s="1">
        <v>0</v>
      </c>
      <c r="I375" s="2">
        <v>13.81</v>
      </c>
      <c r="J375" s="1">
        <v>0.22</v>
      </c>
      <c r="K375" s="2">
        <v>46.31</v>
      </c>
      <c r="L375" s="2">
        <v>0.03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/>
      <c r="W375" s="1" t="s">
        <v>2385</v>
      </c>
    </row>
    <row r="376" spans="1:23" ht="12.4">
      <c r="A376" s="1">
        <v>375</v>
      </c>
      <c r="B376" s="1" t="s">
        <v>2386</v>
      </c>
      <c r="C376" s="1" t="s">
        <v>1502</v>
      </c>
      <c r="D376" s="1">
        <v>38.29</v>
      </c>
      <c r="E376" s="1">
        <v>0</v>
      </c>
      <c r="F376" s="1">
        <v>0.01</v>
      </c>
      <c r="G376" s="1">
        <v>0</v>
      </c>
      <c r="H376" s="1">
        <v>0</v>
      </c>
      <c r="I376" s="2">
        <v>2.73</v>
      </c>
      <c r="J376" s="1">
        <v>0.14000000000000001</v>
      </c>
      <c r="K376" s="2">
        <v>23.98</v>
      </c>
      <c r="L376" s="2">
        <v>35.049999999999997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/>
      <c r="W376" s="1" t="s">
        <v>2387</v>
      </c>
    </row>
    <row r="377" spans="1:23" ht="12.4">
      <c r="A377" s="1">
        <v>376</v>
      </c>
      <c r="B377" s="1" t="s">
        <v>2388</v>
      </c>
      <c r="C377" s="1" t="s">
        <v>1502</v>
      </c>
      <c r="D377" s="1">
        <v>40.840000000000003</v>
      </c>
      <c r="E377" s="1">
        <v>0</v>
      </c>
      <c r="F377" s="1">
        <v>0</v>
      </c>
      <c r="G377" s="1">
        <v>0</v>
      </c>
      <c r="H377" s="1">
        <v>0</v>
      </c>
      <c r="I377" s="2">
        <v>9.09</v>
      </c>
      <c r="J377" s="1">
        <v>0.13</v>
      </c>
      <c r="K377" s="2">
        <v>50.12</v>
      </c>
      <c r="L377" s="2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/>
      <c r="W377" s="1" t="s">
        <v>2389</v>
      </c>
    </row>
    <row r="378" spans="1:23" ht="12.4">
      <c r="A378" s="1">
        <v>377</v>
      </c>
      <c r="B378" s="1" t="s">
        <v>2390</v>
      </c>
      <c r="C378" s="1" t="s">
        <v>1502</v>
      </c>
      <c r="D378" s="1">
        <v>39.58</v>
      </c>
      <c r="E378" s="1">
        <v>0</v>
      </c>
      <c r="F378" s="1">
        <v>0</v>
      </c>
      <c r="G378" s="1">
        <v>0</v>
      </c>
      <c r="H378" s="1">
        <v>0</v>
      </c>
      <c r="I378" s="2">
        <v>15.88</v>
      </c>
      <c r="J378" s="1">
        <v>0.18</v>
      </c>
      <c r="K378" s="2">
        <v>44.59</v>
      </c>
      <c r="L378" s="2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/>
      <c r="W378" s="1" t="s">
        <v>2391</v>
      </c>
    </row>
    <row r="379" spans="1:23" ht="12.4">
      <c r="A379" s="1">
        <v>378</v>
      </c>
      <c r="B379" s="1" t="s">
        <v>2392</v>
      </c>
      <c r="C379" s="1" t="s">
        <v>1502</v>
      </c>
      <c r="D379" s="1">
        <v>30.19</v>
      </c>
      <c r="E379" s="1">
        <v>0.02</v>
      </c>
      <c r="F379" s="1">
        <v>0</v>
      </c>
      <c r="G379" s="1">
        <v>0.01</v>
      </c>
      <c r="H379" s="1">
        <v>0</v>
      </c>
      <c r="I379" s="2">
        <v>46.86</v>
      </c>
      <c r="J379" s="1">
        <v>20.69</v>
      </c>
      <c r="K379" s="2">
        <v>1.36</v>
      </c>
      <c r="L379" s="2">
        <v>0.04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/>
      <c r="W379" s="1" t="s">
        <v>2393</v>
      </c>
    </row>
    <row r="380" spans="1:23" ht="12.4">
      <c r="A380" s="1">
        <v>379</v>
      </c>
      <c r="B380" s="1" t="s">
        <v>2394</v>
      </c>
      <c r="C380" s="1" t="s">
        <v>1502</v>
      </c>
      <c r="D380" s="1">
        <v>40.479999999999997</v>
      </c>
      <c r="E380" s="1">
        <v>0</v>
      </c>
      <c r="F380" s="1">
        <v>0</v>
      </c>
      <c r="G380" s="1">
        <v>0</v>
      </c>
      <c r="H380" s="1">
        <v>0</v>
      </c>
      <c r="I380" s="2">
        <v>9.32</v>
      </c>
      <c r="J380" s="1">
        <v>0.14000000000000001</v>
      </c>
      <c r="K380" s="2">
        <v>49.68</v>
      </c>
      <c r="L380" s="2">
        <v>0.08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/>
      <c r="W380" s="1" t="s">
        <v>2395</v>
      </c>
    </row>
    <row r="381" spans="1:23" ht="12.4">
      <c r="A381" s="1">
        <v>380</v>
      </c>
      <c r="B381" s="1" t="s">
        <v>735</v>
      </c>
      <c r="C381" s="1" t="s">
        <v>1510</v>
      </c>
      <c r="D381" s="1">
        <v>49.7</v>
      </c>
      <c r="E381" s="1">
        <v>1.48</v>
      </c>
      <c r="F381" s="1">
        <v>4.12</v>
      </c>
      <c r="G381" s="1">
        <v>0.17</v>
      </c>
      <c r="H381" s="1">
        <v>0.77</v>
      </c>
      <c r="I381" s="2">
        <v>5.93</v>
      </c>
      <c r="J381" s="1">
        <v>0.11</v>
      </c>
      <c r="K381" s="2">
        <v>13.8</v>
      </c>
      <c r="L381" s="2">
        <v>22.94</v>
      </c>
      <c r="M381" s="1">
        <v>0.56999999999999995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/>
      <c r="W381" s="1" t="s">
        <v>2396</v>
      </c>
    </row>
    <row r="382" spans="1:23" ht="12.4">
      <c r="A382" s="1">
        <v>381</v>
      </c>
      <c r="B382" s="1" t="s">
        <v>2397</v>
      </c>
      <c r="C382" s="1" t="s">
        <v>1510</v>
      </c>
      <c r="D382" s="1">
        <v>54.07</v>
      </c>
      <c r="E382" s="1">
        <v>0.02</v>
      </c>
      <c r="F382" s="1">
        <v>0.52</v>
      </c>
      <c r="G382" s="1">
        <v>0.04</v>
      </c>
      <c r="H382" s="1">
        <v>2.0699999999999998</v>
      </c>
      <c r="I382" s="2">
        <v>4.18</v>
      </c>
      <c r="J382" s="1">
        <v>0.18</v>
      </c>
      <c r="K382" s="2">
        <v>14.63</v>
      </c>
      <c r="L382" s="2">
        <v>23.85</v>
      </c>
      <c r="M382" s="1">
        <v>0.73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/>
      <c r="W382" s="1" t="s">
        <v>2398</v>
      </c>
    </row>
    <row r="383" spans="1:23" ht="12.4">
      <c r="A383" s="1">
        <v>382</v>
      </c>
      <c r="B383" s="1" t="s">
        <v>2399</v>
      </c>
      <c r="C383" s="1" t="s">
        <v>1510</v>
      </c>
      <c r="D383" s="1">
        <v>44.46</v>
      </c>
      <c r="E383" s="1">
        <v>3.92</v>
      </c>
      <c r="F383" s="1">
        <v>8.08</v>
      </c>
      <c r="G383" s="1">
        <v>0.05</v>
      </c>
      <c r="H383" s="1">
        <v>2.0699999999999998</v>
      </c>
      <c r="I383" s="2">
        <v>6.11</v>
      </c>
      <c r="J383" s="1">
        <v>0.27</v>
      </c>
      <c r="K383" s="2">
        <v>10.92</v>
      </c>
      <c r="L383" s="2">
        <v>22.64</v>
      </c>
      <c r="M383" s="1">
        <v>0.94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/>
      <c r="W383" s="1" t="s">
        <v>2400</v>
      </c>
    </row>
    <row r="384" spans="1:23" ht="12.4">
      <c r="A384" s="1">
        <v>383</v>
      </c>
      <c r="B384" s="1" t="s">
        <v>2401</v>
      </c>
      <c r="C384" s="1" t="s">
        <v>1510</v>
      </c>
      <c r="D384" s="1">
        <v>51.94</v>
      </c>
      <c r="E384" s="1">
        <v>0</v>
      </c>
      <c r="F384" s="1">
        <v>0.5</v>
      </c>
      <c r="G384" s="1">
        <v>0.03</v>
      </c>
      <c r="H384" s="1">
        <v>4.83</v>
      </c>
      <c r="I384" s="2">
        <v>10.18</v>
      </c>
      <c r="J384" s="1">
        <v>0.52</v>
      </c>
      <c r="K384" s="2">
        <v>9.31</v>
      </c>
      <c r="L384" s="2">
        <v>21.65</v>
      </c>
      <c r="M384" s="1">
        <v>1.39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/>
      <c r="W384" s="1" t="s">
        <v>2402</v>
      </c>
    </row>
    <row r="385" spans="1:23" ht="12.4">
      <c r="A385" s="1">
        <v>384</v>
      </c>
      <c r="B385" s="1" t="s">
        <v>2403</v>
      </c>
      <c r="C385" s="1" t="s">
        <v>1510</v>
      </c>
      <c r="D385" s="1">
        <v>52.12</v>
      </c>
      <c r="E385" s="1">
        <v>0</v>
      </c>
      <c r="F385" s="1">
        <v>0.5</v>
      </c>
      <c r="G385" s="1">
        <v>0.08</v>
      </c>
      <c r="H385" s="1">
        <v>15.89</v>
      </c>
      <c r="I385" s="2">
        <v>0.4</v>
      </c>
      <c r="J385" s="1">
        <v>0.55000000000000004</v>
      </c>
      <c r="K385" s="2">
        <v>9.1300000000000008</v>
      </c>
      <c r="L385" s="2">
        <v>21.58</v>
      </c>
      <c r="M385" s="1">
        <v>1.42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/>
      <c r="W385" s="1" t="s">
        <v>2404</v>
      </c>
    </row>
    <row r="386" spans="1:23" ht="12.4">
      <c r="A386" s="1">
        <v>385</v>
      </c>
      <c r="B386" s="1" t="s">
        <v>2405</v>
      </c>
      <c r="C386" s="1" t="s">
        <v>1510</v>
      </c>
      <c r="D386" s="1">
        <v>52.48</v>
      </c>
      <c r="E386" s="1">
        <v>0.01</v>
      </c>
      <c r="F386" s="1">
        <v>0.56000000000000005</v>
      </c>
      <c r="G386" s="1">
        <v>0.04</v>
      </c>
      <c r="H386" s="1">
        <v>14.55</v>
      </c>
      <c r="I386" s="2">
        <v>0.5</v>
      </c>
      <c r="J386" s="1">
        <v>5.17</v>
      </c>
      <c r="K386" s="2">
        <v>8.0500000000000007</v>
      </c>
      <c r="L386" s="2">
        <v>13.14</v>
      </c>
      <c r="M386" s="1">
        <v>5.91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/>
      <c r="W386" s="1" t="s">
        <v>2406</v>
      </c>
    </row>
    <row r="387" spans="1:23" ht="12.4">
      <c r="A387" s="1">
        <v>386</v>
      </c>
      <c r="B387" s="1" t="s">
        <v>2407</v>
      </c>
      <c r="C387" s="1" t="s">
        <v>1510</v>
      </c>
      <c r="D387" s="1">
        <v>55.08</v>
      </c>
      <c r="E387" s="1">
        <v>7.0000000000000007E-2</v>
      </c>
      <c r="F387" s="1">
        <v>0.23</v>
      </c>
      <c r="G387" s="1">
        <v>0.03</v>
      </c>
      <c r="H387" s="1">
        <v>0.1</v>
      </c>
      <c r="I387" s="2">
        <v>1.69</v>
      </c>
      <c r="J387" s="1">
        <v>7.0000000000000007E-2</v>
      </c>
      <c r="K387" s="2">
        <v>17.82</v>
      </c>
      <c r="L387" s="2">
        <v>24.96</v>
      </c>
      <c r="M387" s="1">
        <v>0.13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/>
      <c r="W387" s="1" t="s">
        <v>2408</v>
      </c>
    </row>
    <row r="388" spans="1:23" ht="12.4">
      <c r="A388" s="1">
        <v>387</v>
      </c>
      <c r="B388" s="1" t="s">
        <v>741</v>
      </c>
      <c r="C388" s="1" t="s">
        <v>1510</v>
      </c>
      <c r="D388" s="1">
        <v>50.57</v>
      </c>
      <c r="E388" s="1">
        <v>1.04</v>
      </c>
      <c r="F388" s="1">
        <v>4.09</v>
      </c>
      <c r="G388" s="1">
        <v>0.78</v>
      </c>
      <c r="H388" s="1">
        <v>1.25</v>
      </c>
      <c r="I388" s="2">
        <v>4.88</v>
      </c>
      <c r="J388" s="1">
        <v>0.13</v>
      </c>
      <c r="K388" s="2">
        <v>16.05</v>
      </c>
      <c r="L388" s="2">
        <v>20.85</v>
      </c>
      <c r="M388" s="1">
        <v>0.32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/>
      <c r="W388" s="1" t="s">
        <v>2409</v>
      </c>
    </row>
    <row r="389" spans="1:23" ht="12.4">
      <c r="A389" s="1">
        <v>388</v>
      </c>
      <c r="B389" s="1" t="s">
        <v>2410</v>
      </c>
      <c r="C389" s="1" t="s">
        <v>1510</v>
      </c>
      <c r="D389" s="1">
        <v>48.41</v>
      </c>
      <c r="E389" s="1">
        <v>1.05</v>
      </c>
      <c r="F389" s="1">
        <v>5.29</v>
      </c>
      <c r="G389" s="1">
        <v>0.03</v>
      </c>
      <c r="H389" s="1">
        <v>3.79</v>
      </c>
      <c r="I389" s="2">
        <v>6.15</v>
      </c>
      <c r="J389" s="1">
        <v>0.26</v>
      </c>
      <c r="K389" s="2">
        <v>12.37</v>
      </c>
      <c r="L389" s="2">
        <v>22.15</v>
      </c>
      <c r="M389" s="1">
        <v>0.36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/>
      <c r="W389" s="1" t="s">
        <v>2411</v>
      </c>
    </row>
    <row r="390" spans="1:23" ht="12.4">
      <c r="A390" s="1">
        <v>389</v>
      </c>
      <c r="B390" s="1" t="s">
        <v>2412</v>
      </c>
      <c r="C390" s="1" t="s">
        <v>1510</v>
      </c>
      <c r="D390" s="1">
        <v>48.35</v>
      </c>
      <c r="E390" s="1">
        <v>0</v>
      </c>
      <c r="F390" s="1">
        <v>0.54</v>
      </c>
      <c r="G390" s="1">
        <v>0.02</v>
      </c>
      <c r="H390" s="1">
        <v>3.81</v>
      </c>
      <c r="I390" s="2">
        <v>23.25</v>
      </c>
      <c r="J390" s="1">
        <v>1.17</v>
      </c>
      <c r="K390" s="2">
        <v>1.25</v>
      </c>
      <c r="L390" s="2">
        <v>21.66</v>
      </c>
      <c r="M390" s="1">
        <v>0.18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/>
      <c r="W390" s="1" t="s">
        <v>2413</v>
      </c>
    </row>
    <row r="391" spans="1:23" ht="12.4">
      <c r="A391" s="1">
        <v>390</v>
      </c>
      <c r="B391" s="1" t="s">
        <v>2414</v>
      </c>
      <c r="C391" s="1" t="s">
        <v>1510</v>
      </c>
      <c r="D391" s="1">
        <v>49.37</v>
      </c>
      <c r="E391" s="1">
        <v>0.01</v>
      </c>
      <c r="F391" s="1">
        <v>0.61</v>
      </c>
      <c r="G391" s="1">
        <v>0.03</v>
      </c>
      <c r="H391" s="1">
        <v>5.07</v>
      </c>
      <c r="I391" s="2">
        <v>13.62</v>
      </c>
      <c r="J391" s="1">
        <v>6.71</v>
      </c>
      <c r="K391" s="2">
        <v>2.79</v>
      </c>
      <c r="L391" s="2">
        <v>22.54</v>
      </c>
      <c r="M391" s="1">
        <v>0.13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/>
      <c r="W391" s="1" t="s">
        <v>2415</v>
      </c>
    </row>
    <row r="392" spans="1:23" ht="12.4">
      <c r="A392" s="1">
        <v>391</v>
      </c>
      <c r="B392" s="1" t="s">
        <v>2416</v>
      </c>
      <c r="C392" s="1" t="s">
        <v>1510</v>
      </c>
      <c r="D392" s="1">
        <v>51.56</v>
      </c>
      <c r="E392" s="1">
        <v>0.38</v>
      </c>
      <c r="F392" s="1">
        <v>3.48</v>
      </c>
      <c r="G392" s="1">
        <v>0.03</v>
      </c>
      <c r="H392" s="1">
        <v>1.39</v>
      </c>
      <c r="I392" s="2">
        <v>4.2</v>
      </c>
      <c r="J392" s="1">
        <v>0.31</v>
      </c>
      <c r="K392" s="2">
        <v>14.01</v>
      </c>
      <c r="L392" s="2">
        <v>24.22</v>
      </c>
      <c r="M392" s="1">
        <v>0.4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/>
      <c r="W392" s="1" t="s">
        <v>2417</v>
      </c>
    </row>
    <row r="393" spans="1:23" ht="12.4">
      <c r="A393" s="1">
        <v>392</v>
      </c>
      <c r="B393" s="1" t="s">
        <v>2418</v>
      </c>
      <c r="C393" s="1" t="s">
        <v>1510</v>
      </c>
      <c r="D393" s="1">
        <v>48.46</v>
      </c>
      <c r="E393" s="1">
        <v>0.02</v>
      </c>
      <c r="F393" s="1">
        <v>1.01</v>
      </c>
      <c r="G393" s="1">
        <v>0.06</v>
      </c>
      <c r="H393" s="1">
        <v>7.73</v>
      </c>
      <c r="I393" s="2">
        <v>6.02</v>
      </c>
      <c r="J393" s="1">
        <v>7.66</v>
      </c>
      <c r="K393" s="2">
        <v>3.54</v>
      </c>
      <c r="L393" s="2">
        <v>17.649999999999999</v>
      </c>
      <c r="M393" s="1">
        <v>2.59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/>
      <c r="W393" s="1" t="s">
        <v>2419</v>
      </c>
    </row>
    <row r="394" spans="1:23" ht="12.4">
      <c r="A394" s="1">
        <v>393</v>
      </c>
      <c r="B394" s="1" t="s">
        <v>2420</v>
      </c>
      <c r="C394" s="1" t="s">
        <v>1510</v>
      </c>
      <c r="D394" s="1">
        <v>49.8</v>
      </c>
      <c r="E394" s="1">
        <v>1.55</v>
      </c>
      <c r="F394" s="1">
        <v>5.63</v>
      </c>
      <c r="G394" s="1">
        <v>0.12</v>
      </c>
      <c r="H394" s="1">
        <v>2.0299999999999998</v>
      </c>
      <c r="I394" s="2">
        <v>5.21</v>
      </c>
      <c r="J394" s="1">
        <v>0.12</v>
      </c>
      <c r="K394" s="2">
        <v>14.58</v>
      </c>
      <c r="L394" s="2">
        <v>19.86</v>
      </c>
      <c r="M394" s="1">
        <v>1.06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/>
      <c r="W394" s="1" t="s">
        <v>2421</v>
      </c>
    </row>
    <row r="395" spans="1:23" ht="12.4">
      <c r="A395" s="1">
        <v>394</v>
      </c>
      <c r="B395" s="1" t="s">
        <v>2422</v>
      </c>
      <c r="C395" s="1" t="s">
        <v>1510</v>
      </c>
      <c r="D395" s="1">
        <v>48.05</v>
      </c>
      <c r="E395" s="1">
        <v>1.73</v>
      </c>
      <c r="F395" s="1">
        <v>5.15</v>
      </c>
      <c r="G395" s="1">
        <v>0.03</v>
      </c>
      <c r="H395" s="1">
        <v>2.56</v>
      </c>
      <c r="I395" s="2">
        <v>6.29</v>
      </c>
      <c r="J395" s="1">
        <v>0.19</v>
      </c>
      <c r="K395" s="2">
        <v>13.12</v>
      </c>
      <c r="L395" s="2">
        <v>21.95</v>
      </c>
      <c r="M395" s="1">
        <v>0.53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/>
      <c r="W395" s="1" t="s">
        <v>2423</v>
      </c>
    </row>
    <row r="396" spans="1:23" ht="12.4">
      <c r="A396" s="1">
        <v>395</v>
      </c>
      <c r="B396" s="1" t="s">
        <v>2424</v>
      </c>
      <c r="C396" s="1" t="s">
        <v>1510</v>
      </c>
      <c r="D396" s="1">
        <v>53.13</v>
      </c>
      <c r="E396" s="1">
        <v>0.17</v>
      </c>
      <c r="F396" s="1">
        <v>2.44</v>
      </c>
      <c r="G396" s="1">
        <v>1.1200000000000001</v>
      </c>
      <c r="H396" s="1">
        <v>0</v>
      </c>
      <c r="I396" s="2">
        <v>4.4800000000000004</v>
      </c>
      <c r="J396" s="1">
        <v>0.11</v>
      </c>
      <c r="K396" s="2">
        <v>17.350000000000001</v>
      </c>
      <c r="L396" s="2">
        <v>21.25</v>
      </c>
      <c r="M396" s="1">
        <v>0.3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/>
      <c r="W396" s="1" t="s">
        <v>2425</v>
      </c>
    </row>
    <row r="397" spans="1:23" ht="12.4">
      <c r="A397" s="1">
        <v>396</v>
      </c>
      <c r="B397" s="1" t="s">
        <v>2426</v>
      </c>
      <c r="C397" s="1" t="s">
        <v>1510</v>
      </c>
      <c r="D397" s="1">
        <v>49.4</v>
      </c>
      <c r="E397" s="1">
        <v>0</v>
      </c>
      <c r="F397" s="1">
        <v>0.31</v>
      </c>
      <c r="G397" s="1">
        <v>0.02</v>
      </c>
      <c r="H397" s="1">
        <v>8.6999999999999993</v>
      </c>
      <c r="I397" s="2">
        <v>17.489999999999998</v>
      </c>
      <c r="J397" s="1">
        <v>0.61</v>
      </c>
      <c r="K397" s="2">
        <v>3.06</v>
      </c>
      <c r="L397" s="2">
        <v>20.8</v>
      </c>
      <c r="M397" s="1">
        <v>0.61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/>
      <c r="W397" s="1" t="s">
        <v>2427</v>
      </c>
    </row>
    <row r="398" spans="1:23" ht="12.4">
      <c r="A398" s="1">
        <v>397</v>
      </c>
      <c r="B398" s="1" t="s">
        <v>2428</v>
      </c>
      <c r="C398" s="1" t="s">
        <v>1510</v>
      </c>
      <c r="D398" s="1">
        <v>51.45</v>
      </c>
      <c r="E398" s="1">
        <v>0.05</v>
      </c>
      <c r="F398" s="1">
        <v>1.1599999999999999</v>
      </c>
      <c r="G398" s="1">
        <v>0.02</v>
      </c>
      <c r="H398" s="1">
        <v>6.47</v>
      </c>
      <c r="I398" s="2">
        <v>10.26</v>
      </c>
      <c r="J398" s="1">
        <v>0.67</v>
      </c>
      <c r="K398" s="2">
        <v>8.4700000000000006</v>
      </c>
      <c r="L398" s="2">
        <v>20.03</v>
      </c>
      <c r="M398" s="1">
        <v>2.14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/>
      <c r="W398" s="1" t="s">
        <v>2429</v>
      </c>
    </row>
    <row r="399" spans="1:23" ht="12.4">
      <c r="A399" s="1">
        <v>398</v>
      </c>
      <c r="B399" s="1" t="s">
        <v>2430</v>
      </c>
      <c r="C399" s="1" t="s">
        <v>1510</v>
      </c>
      <c r="D399" s="1">
        <v>47.27</v>
      </c>
      <c r="E399" s="1">
        <v>1.73</v>
      </c>
      <c r="F399" s="1">
        <v>8.2799999999999994</v>
      </c>
      <c r="G399" s="1">
        <v>0.43</v>
      </c>
      <c r="H399" s="1">
        <v>2.77</v>
      </c>
      <c r="I399" s="2">
        <v>4.6900000000000004</v>
      </c>
      <c r="J399" s="1">
        <v>0.11</v>
      </c>
      <c r="K399" s="2">
        <v>13.19</v>
      </c>
      <c r="L399" s="2">
        <v>20.9</v>
      </c>
      <c r="M399" s="1">
        <v>0.63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/>
      <c r="W399" s="1" t="s">
        <v>2431</v>
      </c>
    </row>
    <row r="400" spans="1:23" ht="12.4">
      <c r="A400" s="1">
        <v>399</v>
      </c>
      <c r="B400" s="1" t="s">
        <v>2432</v>
      </c>
      <c r="C400" s="1" t="s">
        <v>1510</v>
      </c>
      <c r="D400" s="1">
        <v>45.67</v>
      </c>
      <c r="E400" s="1">
        <v>0.66</v>
      </c>
      <c r="F400" s="1">
        <v>10.93</v>
      </c>
      <c r="G400" s="1">
        <v>0.03</v>
      </c>
      <c r="H400" s="1">
        <v>2.9</v>
      </c>
      <c r="I400" s="2">
        <v>1.64</v>
      </c>
      <c r="J400" s="1">
        <v>7.0000000000000007E-2</v>
      </c>
      <c r="K400" s="2">
        <v>12.6</v>
      </c>
      <c r="L400" s="2">
        <v>25.38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/>
      <c r="W400" s="1" t="s">
        <v>2433</v>
      </c>
    </row>
    <row r="401" spans="1:23" ht="12.4">
      <c r="A401" s="1">
        <v>400</v>
      </c>
      <c r="B401" s="1" t="s">
        <v>2434</v>
      </c>
      <c r="C401" s="1" t="s">
        <v>1510</v>
      </c>
      <c r="D401" s="1">
        <v>47.25</v>
      </c>
      <c r="E401" s="1">
        <v>0</v>
      </c>
      <c r="F401" s="1">
        <v>0</v>
      </c>
      <c r="G401" s="1">
        <v>0.08</v>
      </c>
      <c r="H401" s="1">
        <v>0</v>
      </c>
      <c r="I401" s="2">
        <v>0.13</v>
      </c>
      <c r="J401" s="1">
        <v>42.81</v>
      </c>
      <c r="K401" s="2">
        <v>2.44</v>
      </c>
      <c r="L401" s="2">
        <v>5.95</v>
      </c>
      <c r="M401" s="1">
        <v>0.03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/>
      <c r="W401" s="1" t="s">
        <v>2435</v>
      </c>
    </row>
    <row r="402" spans="1:23" ht="12.4">
      <c r="A402" s="1">
        <v>401</v>
      </c>
      <c r="B402" s="1" t="s">
        <v>2436</v>
      </c>
      <c r="C402" s="1" t="s">
        <v>1510</v>
      </c>
      <c r="D402" s="1">
        <v>50.63</v>
      </c>
      <c r="E402" s="1">
        <v>0.67</v>
      </c>
      <c r="F402" s="1">
        <v>1.49</v>
      </c>
      <c r="G402" s="1">
        <v>0.14000000000000001</v>
      </c>
      <c r="H402" s="1">
        <v>1.44</v>
      </c>
      <c r="I402" s="2">
        <v>12.99</v>
      </c>
      <c r="J402" s="1">
        <v>0.38</v>
      </c>
      <c r="K402" s="2">
        <v>11.52</v>
      </c>
      <c r="L402" s="2">
        <v>19.989999999999998</v>
      </c>
      <c r="M402" s="1">
        <v>0.16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/>
      <c r="W402" s="1" t="s">
        <v>2437</v>
      </c>
    </row>
    <row r="403" spans="1:23" ht="12.4">
      <c r="A403" s="1">
        <v>402</v>
      </c>
      <c r="B403" s="1" t="s">
        <v>2438</v>
      </c>
      <c r="C403" s="1" t="s">
        <v>1510</v>
      </c>
      <c r="D403" s="1">
        <v>54.72</v>
      </c>
      <c r="E403" s="1">
        <v>0.08</v>
      </c>
      <c r="F403" s="1">
        <v>0.94</v>
      </c>
      <c r="G403" s="1">
        <v>0.04</v>
      </c>
      <c r="H403" s="1">
        <v>0.02</v>
      </c>
      <c r="I403" s="2">
        <v>1.4</v>
      </c>
      <c r="J403" s="1">
        <v>0.06</v>
      </c>
      <c r="K403" s="2">
        <v>17.79</v>
      </c>
      <c r="L403" s="2">
        <v>25</v>
      </c>
      <c r="M403" s="1">
        <v>0.16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/>
      <c r="W403" s="1" t="s">
        <v>2439</v>
      </c>
    </row>
    <row r="404" spans="1:23" ht="12.4">
      <c r="A404" s="1">
        <v>403</v>
      </c>
      <c r="B404" s="1" t="s">
        <v>2440</v>
      </c>
      <c r="C404" s="1" t="s">
        <v>1510</v>
      </c>
      <c r="D404" s="1">
        <v>54.17</v>
      </c>
      <c r="E404" s="1">
        <v>0.05</v>
      </c>
      <c r="F404" s="1">
        <v>0.79</v>
      </c>
      <c r="G404" s="1">
        <v>7.0000000000000007E-2</v>
      </c>
      <c r="H404" s="1">
        <v>2.09</v>
      </c>
      <c r="I404" s="2">
        <v>4.47</v>
      </c>
      <c r="J404" s="1">
        <v>0.06</v>
      </c>
      <c r="K404" s="2">
        <v>14.58</v>
      </c>
      <c r="L404" s="2">
        <v>22.41</v>
      </c>
      <c r="M404" s="1">
        <v>1.39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/>
      <c r="W404" s="1" t="s">
        <v>2441</v>
      </c>
    </row>
    <row r="405" spans="1:23" ht="12.4">
      <c r="A405" s="1">
        <v>404</v>
      </c>
      <c r="B405" s="1" t="s">
        <v>2442</v>
      </c>
      <c r="C405" s="1" t="s">
        <v>1510</v>
      </c>
      <c r="D405" s="1">
        <v>52.48</v>
      </c>
      <c r="E405" s="1">
        <v>0.06</v>
      </c>
      <c r="F405" s="1">
        <v>0.51</v>
      </c>
      <c r="G405" s="1">
        <v>0.06</v>
      </c>
      <c r="H405" s="1">
        <v>4.45</v>
      </c>
      <c r="I405" s="2">
        <v>10.37</v>
      </c>
      <c r="J405" s="1">
        <v>1.29</v>
      </c>
      <c r="K405" s="2">
        <v>8.99</v>
      </c>
      <c r="L405" s="2">
        <v>20.36</v>
      </c>
      <c r="M405" s="1">
        <v>2.13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/>
      <c r="W405" s="1" t="s">
        <v>2443</v>
      </c>
    </row>
    <row r="406" spans="1:23" ht="12.4">
      <c r="A406" s="1">
        <v>405</v>
      </c>
      <c r="B406" s="1" t="s">
        <v>2444</v>
      </c>
      <c r="C406" s="1" t="s">
        <v>1510</v>
      </c>
      <c r="D406" s="1">
        <v>56.65</v>
      </c>
      <c r="E406" s="1">
        <v>0.03</v>
      </c>
      <c r="F406" s="1">
        <v>0.03</v>
      </c>
      <c r="G406" s="1">
        <v>0.05</v>
      </c>
      <c r="H406" s="1">
        <v>0.44</v>
      </c>
      <c r="I406" s="2">
        <v>9.19</v>
      </c>
      <c r="J406" s="1">
        <v>0.04</v>
      </c>
      <c r="K406" s="2">
        <v>33.92</v>
      </c>
      <c r="L406" s="2">
        <v>0.3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/>
      <c r="W406" s="1" t="s">
        <v>2445</v>
      </c>
    </row>
    <row r="407" spans="1:23" ht="12.4">
      <c r="A407" s="1">
        <v>406</v>
      </c>
      <c r="B407" s="1" t="s">
        <v>759</v>
      </c>
      <c r="C407" s="1" t="s">
        <v>1510</v>
      </c>
      <c r="D407" s="1">
        <v>51.27</v>
      </c>
      <c r="E407" s="1">
        <v>0.95</v>
      </c>
      <c r="F407" s="1">
        <v>1.91</v>
      </c>
      <c r="G407" s="1">
        <v>0.17</v>
      </c>
      <c r="H407" s="1">
        <v>0.56999999999999995</v>
      </c>
      <c r="I407" s="2">
        <v>11.34</v>
      </c>
      <c r="J407" s="1">
        <v>0.28000000000000003</v>
      </c>
      <c r="K407" s="2">
        <v>14.47</v>
      </c>
      <c r="L407" s="2">
        <v>18.45</v>
      </c>
      <c r="M407" s="1">
        <v>0.23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/>
      <c r="W407" s="1" t="s">
        <v>2446</v>
      </c>
    </row>
    <row r="408" spans="1:23" ht="12.4">
      <c r="A408" s="1">
        <v>407</v>
      </c>
      <c r="B408" s="1" t="s">
        <v>2447</v>
      </c>
      <c r="C408" s="1" t="s">
        <v>1510</v>
      </c>
      <c r="D408" s="1">
        <v>65.349999999999994</v>
      </c>
      <c r="E408" s="1">
        <v>0</v>
      </c>
      <c r="F408" s="1">
        <v>28.76</v>
      </c>
      <c r="G408" s="1">
        <v>0.01</v>
      </c>
      <c r="H408" s="1">
        <v>0</v>
      </c>
      <c r="I408" s="2">
        <v>0.16</v>
      </c>
      <c r="J408" s="1">
        <v>0.03</v>
      </c>
      <c r="K408" s="2">
        <v>0</v>
      </c>
      <c r="L408" s="2">
        <v>0</v>
      </c>
      <c r="M408" s="1">
        <v>0.05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/>
      <c r="W408" s="1" t="s">
        <v>2448</v>
      </c>
    </row>
    <row r="409" spans="1:23" ht="12.4">
      <c r="A409" s="1">
        <v>408</v>
      </c>
      <c r="B409" s="1" t="s">
        <v>1015</v>
      </c>
      <c r="C409" s="1" t="s">
        <v>1510</v>
      </c>
      <c r="D409" s="1">
        <v>55.4</v>
      </c>
      <c r="E409" s="1">
        <v>0.04</v>
      </c>
      <c r="F409" s="1">
        <v>1.31</v>
      </c>
      <c r="G409" s="1">
        <v>0.68</v>
      </c>
      <c r="H409" s="1">
        <v>0.72</v>
      </c>
      <c r="I409" s="2">
        <v>9.92</v>
      </c>
      <c r="J409" s="1">
        <v>0.26</v>
      </c>
      <c r="K409" s="2">
        <v>32.369999999999997</v>
      </c>
      <c r="L409" s="2">
        <v>0.19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/>
      <c r="W409" s="1" t="s">
        <v>2449</v>
      </c>
    </row>
    <row r="410" spans="1:23" ht="12.4">
      <c r="A410" s="1">
        <v>409</v>
      </c>
      <c r="B410" s="1" t="s">
        <v>2450</v>
      </c>
      <c r="C410" s="1" t="s">
        <v>1510</v>
      </c>
      <c r="D410" s="1">
        <v>54.83</v>
      </c>
      <c r="E410" s="1">
        <v>0.04</v>
      </c>
      <c r="F410" s="1">
        <v>0.56999999999999995</v>
      </c>
      <c r="G410" s="1">
        <v>0.02</v>
      </c>
      <c r="H410" s="1">
        <v>0.68</v>
      </c>
      <c r="I410" s="2">
        <v>3.05</v>
      </c>
      <c r="J410" s="1">
        <v>0.35</v>
      </c>
      <c r="K410" s="2">
        <v>15.84</v>
      </c>
      <c r="L410" s="2">
        <v>24.2</v>
      </c>
      <c r="M410" s="1">
        <v>0.69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/>
      <c r="W410" s="1" t="s">
        <v>2451</v>
      </c>
    </row>
    <row r="411" spans="1:23" ht="12.4">
      <c r="A411" s="1">
        <v>410</v>
      </c>
      <c r="B411" s="1" t="s">
        <v>2452</v>
      </c>
      <c r="C411" s="1" t="s">
        <v>1510</v>
      </c>
      <c r="D411" s="1">
        <v>52.79</v>
      </c>
      <c r="E411" s="1">
        <v>0.11</v>
      </c>
      <c r="F411" s="1">
        <v>2.1800000000000002</v>
      </c>
      <c r="G411" s="1">
        <v>0.06</v>
      </c>
      <c r="H411" s="1">
        <v>1.43</v>
      </c>
      <c r="I411" s="2">
        <v>0.8</v>
      </c>
      <c r="J411" s="1">
        <v>0.1</v>
      </c>
      <c r="K411" s="2">
        <v>16.8</v>
      </c>
      <c r="L411" s="2">
        <v>25.73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/>
      <c r="W411" s="1" t="s">
        <v>2453</v>
      </c>
    </row>
    <row r="412" spans="1:23" ht="12.4">
      <c r="A412" s="1">
        <v>411</v>
      </c>
      <c r="B412" s="1" t="s">
        <v>2454</v>
      </c>
      <c r="C412" s="1" t="s">
        <v>1510</v>
      </c>
      <c r="D412" s="1">
        <v>48.22</v>
      </c>
      <c r="E412" s="1">
        <v>0</v>
      </c>
      <c r="F412" s="1">
        <v>0</v>
      </c>
      <c r="G412" s="1">
        <v>0.11</v>
      </c>
      <c r="H412" s="1">
        <v>0</v>
      </c>
      <c r="I412" s="2">
        <v>0.37</v>
      </c>
      <c r="J412" s="1">
        <v>27.27</v>
      </c>
      <c r="K412" s="2">
        <v>1.0900000000000001</v>
      </c>
      <c r="L412" s="2">
        <v>20.71</v>
      </c>
      <c r="M412" s="1">
        <v>0.11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/>
      <c r="W412" s="1" t="s">
        <v>2455</v>
      </c>
    </row>
    <row r="413" spans="1:23" ht="12.4">
      <c r="A413" s="1">
        <v>412</v>
      </c>
      <c r="B413" s="1" t="s">
        <v>2456</v>
      </c>
      <c r="C413" s="1" t="s">
        <v>1510</v>
      </c>
      <c r="D413" s="1">
        <v>47.83</v>
      </c>
      <c r="E413" s="1">
        <v>1.32</v>
      </c>
      <c r="F413" s="1">
        <v>6.44</v>
      </c>
      <c r="G413" s="1">
        <v>0.08</v>
      </c>
      <c r="H413" s="1">
        <v>3.8</v>
      </c>
      <c r="I413" s="2">
        <v>5.22</v>
      </c>
      <c r="J413" s="1">
        <v>0.16</v>
      </c>
      <c r="K413" s="2">
        <v>12.38</v>
      </c>
      <c r="L413" s="2">
        <v>22.2</v>
      </c>
      <c r="M413" s="1">
        <v>0.28000000000000003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/>
      <c r="W413" s="1" t="s">
        <v>2457</v>
      </c>
    </row>
    <row r="414" spans="1:23" ht="12.4">
      <c r="A414" s="1">
        <v>413</v>
      </c>
      <c r="B414" s="1" t="s">
        <v>2458</v>
      </c>
      <c r="C414" s="1" t="s">
        <v>1510</v>
      </c>
      <c r="D414" s="1">
        <v>50.88</v>
      </c>
      <c r="E414" s="1">
        <v>0.06</v>
      </c>
      <c r="F414" s="1">
        <v>21.31</v>
      </c>
      <c r="G414" s="1">
        <v>0.1</v>
      </c>
      <c r="H414" s="1">
        <v>0.92</v>
      </c>
      <c r="I414" s="2">
        <v>7.52</v>
      </c>
      <c r="J414" s="1">
        <v>0.08</v>
      </c>
      <c r="K414" s="2">
        <v>0.08</v>
      </c>
      <c r="L414" s="2">
        <v>13.23</v>
      </c>
      <c r="M414" s="1">
        <v>4.9800000000000004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/>
      <c r="W414" s="1" t="s">
        <v>2459</v>
      </c>
    </row>
    <row r="415" spans="1:23" ht="12.4">
      <c r="A415" s="1">
        <v>414</v>
      </c>
      <c r="B415" s="1" t="s">
        <v>2460</v>
      </c>
      <c r="C415" s="1" t="s">
        <v>1510</v>
      </c>
      <c r="D415" s="1">
        <v>51.25</v>
      </c>
      <c r="E415" s="1">
        <v>0.43</v>
      </c>
      <c r="F415" s="1">
        <v>0.9</v>
      </c>
      <c r="G415" s="1">
        <v>0.04</v>
      </c>
      <c r="H415" s="1">
        <v>26.45</v>
      </c>
      <c r="I415" s="2">
        <v>3.59</v>
      </c>
      <c r="J415" s="1">
        <v>0.49</v>
      </c>
      <c r="K415" s="2">
        <v>0.28999999999999998</v>
      </c>
      <c r="L415" s="2">
        <v>2.4500000000000002</v>
      </c>
      <c r="M415" s="1">
        <v>12.52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/>
      <c r="W415" s="1" t="s">
        <v>2461</v>
      </c>
    </row>
    <row r="416" spans="1:23" ht="12.4">
      <c r="A416" s="1">
        <v>415</v>
      </c>
      <c r="B416" s="1" t="s">
        <v>2462</v>
      </c>
      <c r="C416" s="1" t="s">
        <v>1510</v>
      </c>
      <c r="D416" s="1">
        <v>53.42</v>
      </c>
      <c r="E416" s="1">
        <v>0</v>
      </c>
      <c r="F416" s="1">
        <v>0.23</v>
      </c>
      <c r="G416" s="1">
        <v>0.02</v>
      </c>
      <c r="H416" s="1">
        <v>0</v>
      </c>
      <c r="I416" s="2">
        <v>0.04</v>
      </c>
      <c r="J416" s="1">
        <v>0</v>
      </c>
      <c r="K416" s="2">
        <v>0</v>
      </c>
      <c r="L416" s="2">
        <v>33.11</v>
      </c>
      <c r="M416" s="1">
        <v>8.9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/>
      <c r="W416" s="1" t="s">
        <v>2463</v>
      </c>
    </row>
    <row r="417" spans="1:23" ht="12.4">
      <c r="A417" s="1">
        <v>416</v>
      </c>
      <c r="B417" s="1" t="s">
        <v>2464</v>
      </c>
      <c r="C417" s="1" t="s">
        <v>1510</v>
      </c>
      <c r="D417" s="1">
        <v>53.61</v>
      </c>
      <c r="E417" s="1">
        <v>0.01</v>
      </c>
      <c r="F417" s="1">
        <v>0.27</v>
      </c>
      <c r="G417" s="1">
        <v>7.0000000000000007E-2</v>
      </c>
      <c r="H417" s="1">
        <v>8.19</v>
      </c>
      <c r="I417" s="2">
        <v>0.37</v>
      </c>
      <c r="J417" s="1">
        <v>4.67</v>
      </c>
      <c r="K417" s="2">
        <v>11.85</v>
      </c>
      <c r="L417" s="2">
        <v>17.89</v>
      </c>
      <c r="M417" s="1">
        <v>3.44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/>
      <c r="W417" s="1" t="s">
        <v>2465</v>
      </c>
    </row>
    <row r="418" spans="1:23" ht="12.4">
      <c r="A418" s="1">
        <v>417</v>
      </c>
      <c r="B418" s="1" t="s">
        <v>2466</v>
      </c>
      <c r="C418" s="1" t="s">
        <v>1510</v>
      </c>
      <c r="D418" s="1">
        <v>55.59</v>
      </c>
      <c r="E418" s="1">
        <v>0.02</v>
      </c>
      <c r="F418" s="1">
        <v>1.08</v>
      </c>
      <c r="G418" s="1">
        <v>0.1</v>
      </c>
      <c r="H418" s="1">
        <v>0</v>
      </c>
      <c r="I418" s="2">
        <v>0.22</v>
      </c>
      <c r="J418" s="1">
        <v>0.03</v>
      </c>
      <c r="K418" s="2">
        <v>17.170000000000002</v>
      </c>
      <c r="L418" s="2">
        <v>24.54</v>
      </c>
      <c r="M418" s="1">
        <v>0.86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/>
      <c r="W418" s="1" t="s">
        <v>2467</v>
      </c>
    </row>
    <row r="419" spans="1:23" ht="12.4">
      <c r="A419" s="1">
        <v>418</v>
      </c>
      <c r="B419" s="1" t="s">
        <v>2468</v>
      </c>
      <c r="C419" s="1" t="s">
        <v>1510</v>
      </c>
      <c r="D419" s="1">
        <v>47</v>
      </c>
      <c r="E419" s="1">
        <v>0.06</v>
      </c>
      <c r="F419" s="1">
        <v>0</v>
      </c>
      <c r="G419" s="1">
        <v>0.02</v>
      </c>
      <c r="H419" s="1">
        <v>0</v>
      </c>
      <c r="I419" s="2">
        <v>7.54</v>
      </c>
      <c r="J419" s="1">
        <v>40.75</v>
      </c>
      <c r="K419" s="2">
        <v>3.17</v>
      </c>
      <c r="L419" s="2">
        <v>1.24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/>
      <c r="W419" s="1" t="s">
        <v>2469</v>
      </c>
    </row>
    <row r="420" spans="1:23" ht="12.4">
      <c r="A420" s="1">
        <v>419</v>
      </c>
      <c r="B420" s="1" t="s">
        <v>2470</v>
      </c>
      <c r="C420" s="1" t="s">
        <v>1510</v>
      </c>
      <c r="D420" s="1">
        <v>56.3</v>
      </c>
      <c r="E420" s="1">
        <v>0.18</v>
      </c>
      <c r="F420" s="1">
        <v>9.0299999999999994</v>
      </c>
      <c r="G420" s="1">
        <v>3.41</v>
      </c>
      <c r="H420" s="1">
        <v>0</v>
      </c>
      <c r="I420" s="2">
        <v>3.31</v>
      </c>
      <c r="J420" s="1">
        <v>0.06</v>
      </c>
      <c r="K420" s="2">
        <v>12.87</v>
      </c>
      <c r="L420" s="2">
        <v>1</v>
      </c>
      <c r="M420" s="1">
        <v>11.62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/>
      <c r="W420" s="1" t="s">
        <v>2471</v>
      </c>
    </row>
    <row r="421" spans="1:23" ht="12.4">
      <c r="A421" s="1">
        <v>420</v>
      </c>
      <c r="B421" s="1" t="s">
        <v>2472</v>
      </c>
      <c r="C421" s="1" t="s">
        <v>1510</v>
      </c>
      <c r="D421" s="1">
        <v>56.86</v>
      </c>
      <c r="E421" s="1">
        <v>0.01</v>
      </c>
      <c r="F421" s="1">
        <v>0.76</v>
      </c>
      <c r="G421" s="1">
        <v>0.45</v>
      </c>
      <c r="H421" s="1">
        <v>0.83</v>
      </c>
      <c r="I421" s="2">
        <v>6.36</v>
      </c>
      <c r="J421" s="1">
        <v>0.17</v>
      </c>
      <c r="K421" s="2">
        <v>34.04</v>
      </c>
      <c r="L421" s="2">
        <v>0.65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/>
      <c r="W421" s="1" t="s">
        <v>2473</v>
      </c>
    </row>
    <row r="422" spans="1:23" ht="12.4">
      <c r="A422" s="1">
        <v>421</v>
      </c>
      <c r="B422" s="1" t="s">
        <v>1019</v>
      </c>
      <c r="C422" s="1" t="s">
        <v>1510</v>
      </c>
      <c r="D422" s="1">
        <v>56.59</v>
      </c>
      <c r="E422" s="1">
        <v>0.04</v>
      </c>
      <c r="F422" s="1">
        <v>0.09</v>
      </c>
      <c r="G422" s="1">
        <v>0.04</v>
      </c>
      <c r="H422" s="1">
        <v>0.84</v>
      </c>
      <c r="I422" s="2">
        <v>8.93</v>
      </c>
      <c r="J422" s="1">
        <v>0.04</v>
      </c>
      <c r="K422" s="2">
        <v>33.880000000000003</v>
      </c>
      <c r="L422" s="2">
        <v>0.22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/>
      <c r="W422" s="1" t="s">
        <v>2474</v>
      </c>
    </row>
    <row r="423" spans="1:23" ht="12.4">
      <c r="A423" s="1">
        <v>422</v>
      </c>
      <c r="B423" s="1" t="s">
        <v>2475</v>
      </c>
      <c r="C423" s="1" t="s">
        <v>1510</v>
      </c>
      <c r="D423" s="1">
        <v>56.97</v>
      </c>
      <c r="E423" s="1">
        <v>0.02</v>
      </c>
      <c r="F423" s="1">
        <v>0.82</v>
      </c>
      <c r="G423" s="1">
        <v>0.38</v>
      </c>
      <c r="H423" s="1">
        <v>1.1299999999999999</v>
      </c>
      <c r="I423" s="2">
        <v>5.29</v>
      </c>
      <c r="J423" s="1">
        <v>0.18</v>
      </c>
      <c r="K423" s="2">
        <v>34.82</v>
      </c>
      <c r="L423" s="2">
        <v>0.54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/>
      <c r="W423" s="1" t="s">
        <v>2476</v>
      </c>
    </row>
    <row r="424" spans="1:23" ht="12.4">
      <c r="A424" s="1">
        <v>423</v>
      </c>
      <c r="B424" s="1" t="s">
        <v>2477</v>
      </c>
      <c r="C424" s="1" t="s">
        <v>1502</v>
      </c>
      <c r="D424" s="1">
        <v>40.36</v>
      </c>
      <c r="E424" s="1">
        <v>0</v>
      </c>
      <c r="F424" s="1">
        <v>0</v>
      </c>
      <c r="G424" s="1">
        <v>0.02</v>
      </c>
      <c r="H424" s="1">
        <v>0</v>
      </c>
      <c r="I424" s="2">
        <v>12</v>
      </c>
      <c r="J424" s="1">
        <v>0.26</v>
      </c>
      <c r="K424" s="2">
        <v>47.76</v>
      </c>
      <c r="L424" s="2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/>
      <c r="W424" s="1" t="s">
        <v>2478</v>
      </c>
    </row>
    <row r="425" spans="1:23" ht="12.4">
      <c r="A425" s="1">
        <v>424</v>
      </c>
      <c r="B425" s="1" t="s">
        <v>2479</v>
      </c>
      <c r="C425" s="1" t="s">
        <v>1510</v>
      </c>
      <c r="D425" s="1">
        <v>46.2</v>
      </c>
      <c r="E425" s="1">
        <v>0.55000000000000004</v>
      </c>
      <c r="F425" s="1">
        <v>12.54</v>
      </c>
      <c r="G425" s="1">
        <v>0</v>
      </c>
      <c r="H425" s="1">
        <v>2.2999999999999998</v>
      </c>
      <c r="I425" s="2">
        <v>1.73</v>
      </c>
      <c r="J425" s="1">
        <v>0.05</v>
      </c>
      <c r="K425" s="2">
        <v>12.49</v>
      </c>
      <c r="L425" s="2">
        <v>24.92</v>
      </c>
      <c r="M425" s="1">
        <v>0.1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/>
      <c r="W425" s="1" t="s">
        <v>2480</v>
      </c>
    </row>
    <row r="426" spans="1:23" ht="12.4">
      <c r="A426" s="1">
        <v>425</v>
      </c>
      <c r="B426" s="1" t="s">
        <v>2481</v>
      </c>
      <c r="C426" s="1" t="s">
        <v>1510</v>
      </c>
      <c r="D426" s="1">
        <v>43.09</v>
      </c>
      <c r="E426" s="1">
        <v>0.73</v>
      </c>
      <c r="F426" s="1">
        <v>14.09</v>
      </c>
      <c r="G426" s="1">
        <v>0.06</v>
      </c>
      <c r="H426" s="1">
        <v>4.25</v>
      </c>
      <c r="I426" s="2">
        <v>0.95</v>
      </c>
      <c r="J426" s="1">
        <v>0.11</v>
      </c>
      <c r="K426" s="2">
        <v>11.1</v>
      </c>
      <c r="L426" s="2">
        <v>25.31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/>
      <c r="W426" s="1" t="s">
        <v>2482</v>
      </c>
    </row>
    <row r="427" spans="1:23" ht="12.4">
      <c r="A427" s="1">
        <v>426</v>
      </c>
      <c r="B427" s="1" t="s">
        <v>1530</v>
      </c>
      <c r="C427" s="1" t="s">
        <v>1510</v>
      </c>
      <c r="D427" s="1">
        <v>55.39</v>
      </c>
      <c r="E427" s="1">
        <v>0.02</v>
      </c>
      <c r="F427" s="1">
        <v>0.54</v>
      </c>
      <c r="G427" s="1">
        <v>0.05</v>
      </c>
      <c r="H427" s="1">
        <v>0</v>
      </c>
      <c r="I427" s="2">
        <v>1.03</v>
      </c>
      <c r="J427" s="1">
        <v>0.05</v>
      </c>
      <c r="K427" s="2">
        <v>17.38</v>
      </c>
      <c r="L427" s="2">
        <v>24.88</v>
      </c>
      <c r="M427" s="1">
        <v>0.35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/>
      <c r="W427" s="1" t="s">
        <v>2483</v>
      </c>
    </row>
    <row r="428" spans="1:23" ht="12.4">
      <c r="A428" s="1">
        <v>427</v>
      </c>
      <c r="B428" s="1" t="s">
        <v>2484</v>
      </c>
      <c r="C428" s="1" t="s">
        <v>2485</v>
      </c>
      <c r="D428" s="1">
        <v>57.73</v>
      </c>
      <c r="E428" s="1">
        <v>0.1</v>
      </c>
      <c r="F428" s="1">
        <v>18.010000000000002</v>
      </c>
      <c r="G428" s="1">
        <v>0</v>
      </c>
      <c r="H428" s="1">
        <v>5.2</v>
      </c>
      <c r="I428" s="2">
        <v>0</v>
      </c>
      <c r="J428" s="1">
        <v>0.01</v>
      </c>
      <c r="K428" s="2">
        <v>2.12</v>
      </c>
      <c r="L428" s="2">
        <v>0.32</v>
      </c>
      <c r="M428" s="1">
        <v>1.71</v>
      </c>
      <c r="N428" s="1">
        <v>0.28000000000000003</v>
      </c>
      <c r="O428" s="1">
        <v>0.01</v>
      </c>
      <c r="P428" s="1">
        <v>13.21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/>
      <c r="W428" s="1" t="s">
        <v>2486</v>
      </c>
    </row>
    <row r="429" spans="1:23" ht="12.4">
      <c r="A429" s="1">
        <v>428</v>
      </c>
      <c r="B429" s="1" t="s">
        <v>2487</v>
      </c>
      <c r="C429" s="1" t="s">
        <v>2485</v>
      </c>
      <c r="D429" s="1">
        <v>56.68</v>
      </c>
      <c r="E429" s="1">
        <v>0.08</v>
      </c>
      <c r="F429" s="1">
        <v>18.420000000000002</v>
      </c>
      <c r="G429" s="1">
        <v>0</v>
      </c>
      <c r="H429" s="1">
        <v>7.63</v>
      </c>
      <c r="I429" s="2">
        <v>0</v>
      </c>
      <c r="J429" s="1">
        <v>0.01</v>
      </c>
      <c r="K429" s="2">
        <v>2.2200000000000002</v>
      </c>
      <c r="L429" s="2">
        <v>0.28000000000000003</v>
      </c>
      <c r="M429" s="1">
        <v>1.71</v>
      </c>
      <c r="N429" s="1">
        <v>0.16</v>
      </c>
      <c r="O429" s="1">
        <v>0</v>
      </c>
      <c r="P429" s="1">
        <v>12.31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/>
      <c r="W429" s="1" t="s">
        <v>2488</v>
      </c>
    </row>
    <row r="430" spans="1:23" ht="12.4">
      <c r="A430" s="1">
        <v>429</v>
      </c>
      <c r="B430" s="1" t="s">
        <v>2489</v>
      </c>
      <c r="C430" s="1" t="s">
        <v>2485</v>
      </c>
      <c r="D430" s="1">
        <v>59.71</v>
      </c>
      <c r="E430" s="1">
        <v>0.09</v>
      </c>
      <c r="F430" s="1">
        <v>19.48</v>
      </c>
      <c r="G430" s="1">
        <v>0</v>
      </c>
      <c r="H430" s="1">
        <v>5.38</v>
      </c>
      <c r="I430" s="2">
        <v>0</v>
      </c>
      <c r="J430" s="1">
        <v>0.01</v>
      </c>
      <c r="K430" s="2">
        <v>2.2999999999999998</v>
      </c>
      <c r="L430" s="2">
        <v>0.15</v>
      </c>
      <c r="M430" s="1">
        <v>2.0499999999999998</v>
      </c>
      <c r="N430" s="1">
        <v>0.13</v>
      </c>
      <c r="O430" s="1">
        <v>0</v>
      </c>
      <c r="P430" s="1">
        <v>10.68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/>
      <c r="W430" s="1" t="s">
        <v>2490</v>
      </c>
    </row>
    <row r="431" spans="1:23" ht="12.4">
      <c r="A431" s="1">
        <v>430</v>
      </c>
      <c r="B431" s="1" t="s">
        <v>2491</v>
      </c>
      <c r="C431" s="1" t="s">
        <v>2485</v>
      </c>
      <c r="D431" s="1">
        <v>58.21</v>
      </c>
      <c r="E431" s="1">
        <v>0.09</v>
      </c>
      <c r="F431" s="1">
        <v>18.36</v>
      </c>
      <c r="G431" s="1">
        <v>0</v>
      </c>
      <c r="H431" s="1">
        <v>6.53</v>
      </c>
      <c r="I431" s="2">
        <v>0</v>
      </c>
      <c r="J431" s="1">
        <v>0.01</v>
      </c>
      <c r="K431" s="2">
        <v>2.13</v>
      </c>
      <c r="L431" s="2">
        <v>0.14000000000000001</v>
      </c>
      <c r="M431" s="1">
        <v>2.75</v>
      </c>
      <c r="N431" s="1">
        <v>0.22</v>
      </c>
      <c r="O431" s="1">
        <v>0.01</v>
      </c>
      <c r="P431" s="1">
        <v>11.88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/>
      <c r="W431" s="1" t="s">
        <v>2492</v>
      </c>
    </row>
    <row r="432" spans="1:23" ht="12.4">
      <c r="A432" s="1">
        <v>431</v>
      </c>
      <c r="B432" s="1" t="s">
        <v>2493</v>
      </c>
      <c r="C432" s="1" t="s">
        <v>2485</v>
      </c>
      <c r="D432" s="1">
        <v>55.47</v>
      </c>
      <c r="E432" s="1">
        <v>0.09</v>
      </c>
      <c r="F432" s="1">
        <v>17.329999999999998</v>
      </c>
      <c r="G432" s="1">
        <v>0</v>
      </c>
      <c r="H432" s="1">
        <v>10.029999999999999</v>
      </c>
      <c r="I432" s="2">
        <v>0</v>
      </c>
      <c r="J432" s="1">
        <v>0.02</v>
      </c>
      <c r="K432" s="2">
        <v>1.99</v>
      </c>
      <c r="L432" s="2">
        <v>0.14000000000000001</v>
      </c>
      <c r="M432" s="1">
        <v>2.4300000000000002</v>
      </c>
      <c r="N432" s="1">
        <v>0.31</v>
      </c>
      <c r="O432" s="1">
        <v>0</v>
      </c>
      <c r="P432" s="1">
        <v>12.14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/>
      <c r="W432" s="1" t="s">
        <v>2494</v>
      </c>
    </row>
    <row r="433" spans="1:23" ht="12.4">
      <c r="A433" s="1">
        <v>432</v>
      </c>
      <c r="B433" s="1" t="s">
        <v>2495</v>
      </c>
      <c r="C433" s="1" t="s">
        <v>2485</v>
      </c>
      <c r="D433" s="1">
        <v>58</v>
      </c>
      <c r="E433" s="1">
        <v>0.09</v>
      </c>
      <c r="F433" s="1">
        <v>18.690000000000001</v>
      </c>
      <c r="G433" s="1">
        <v>0</v>
      </c>
      <c r="H433" s="1">
        <v>3.8</v>
      </c>
      <c r="I433" s="2">
        <v>0</v>
      </c>
      <c r="J433" s="1">
        <v>0.01</v>
      </c>
      <c r="K433" s="2">
        <v>3.13</v>
      </c>
      <c r="L433" s="2">
        <v>0.15</v>
      </c>
      <c r="M433" s="1">
        <v>0.83</v>
      </c>
      <c r="N433" s="1">
        <v>0.12</v>
      </c>
      <c r="O433" s="1">
        <v>0</v>
      </c>
      <c r="P433" s="1">
        <v>13.81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/>
      <c r="W433" s="1" t="s">
        <v>2496</v>
      </c>
    </row>
    <row r="434" spans="1:23" ht="12.4">
      <c r="A434" s="1">
        <v>433</v>
      </c>
      <c r="B434" s="1" t="s">
        <v>2497</v>
      </c>
      <c r="C434" s="1" t="s">
        <v>2485</v>
      </c>
      <c r="D434" s="1">
        <v>54.06</v>
      </c>
      <c r="E434" s="1">
        <v>0.08</v>
      </c>
      <c r="F434" s="1">
        <v>17.62</v>
      </c>
      <c r="G434" s="1">
        <v>0</v>
      </c>
      <c r="H434" s="1">
        <v>12.19</v>
      </c>
      <c r="I434" s="2">
        <v>0</v>
      </c>
      <c r="J434" s="1">
        <v>0.02</v>
      </c>
      <c r="K434" s="2">
        <v>2.13</v>
      </c>
      <c r="L434" s="2">
        <v>0.21</v>
      </c>
      <c r="M434" s="1">
        <v>1.36</v>
      </c>
      <c r="N434" s="1">
        <v>0.09</v>
      </c>
      <c r="O434" s="1">
        <v>0.01</v>
      </c>
      <c r="P434" s="1">
        <v>12.31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/>
      <c r="W434" s="1" t="s">
        <v>2498</v>
      </c>
    </row>
    <row r="435" spans="1:23" ht="12.4">
      <c r="A435" s="1">
        <v>434</v>
      </c>
      <c r="B435" s="1" t="s">
        <v>2499</v>
      </c>
      <c r="C435" s="1" t="s">
        <v>2485</v>
      </c>
      <c r="D435" s="1">
        <v>45.71</v>
      </c>
      <c r="E435" s="1">
        <v>7.0000000000000007E-2</v>
      </c>
      <c r="F435" s="1">
        <v>14.98</v>
      </c>
      <c r="G435" s="1">
        <v>0</v>
      </c>
      <c r="H435" s="1">
        <v>26.08</v>
      </c>
      <c r="I435" s="2">
        <v>0</v>
      </c>
      <c r="J435" s="1">
        <v>0.02</v>
      </c>
      <c r="K435" s="2">
        <v>1.79</v>
      </c>
      <c r="L435" s="2">
        <v>0.08</v>
      </c>
      <c r="M435" s="1">
        <v>1.34</v>
      </c>
      <c r="N435" s="1">
        <v>7.0000000000000007E-2</v>
      </c>
      <c r="O435" s="1">
        <v>0.01</v>
      </c>
      <c r="P435" s="1">
        <v>9.83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/>
      <c r="W435" s="1" t="s">
        <v>2500</v>
      </c>
    </row>
    <row r="436" spans="1:23" ht="12.4">
      <c r="A436" s="1">
        <v>435</v>
      </c>
      <c r="B436" s="1" t="s">
        <v>2501</v>
      </c>
      <c r="C436" s="1" t="s">
        <v>2485</v>
      </c>
      <c r="D436" s="1">
        <v>50.1</v>
      </c>
      <c r="E436" s="1">
        <v>7.0000000000000007E-2</v>
      </c>
      <c r="F436" s="1">
        <v>16.329999999999998</v>
      </c>
      <c r="G436" s="1">
        <v>0</v>
      </c>
      <c r="H436" s="1">
        <v>11.84</v>
      </c>
      <c r="I436" s="2">
        <v>0</v>
      </c>
      <c r="J436" s="1">
        <v>0.02</v>
      </c>
      <c r="K436" s="2">
        <v>1.98</v>
      </c>
      <c r="L436" s="2">
        <v>0.19</v>
      </c>
      <c r="M436" s="1">
        <v>1.45</v>
      </c>
      <c r="N436" s="1">
        <v>0.08</v>
      </c>
      <c r="O436" s="1">
        <v>0.01</v>
      </c>
      <c r="P436" s="1">
        <v>18.03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/>
      <c r="W436" s="1" t="s">
        <v>2502</v>
      </c>
    </row>
    <row r="437" spans="1:23" ht="12.4">
      <c r="A437" s="1">
        <v>436</v>
      </c>
      <c r="B437" s="1" t="s">
        <v>2503</v>
      </c>
      <c r="C437" s="1" t="s">
        <v>2504</v>
      </c>
      <c r="D437" s="1">
        <v>7.4</v>
      </c>
      <c r="E437" s="1">
        <v>0.16</v>
      </c>
      <c r="F437" s="1">
        <v>4.26</v>
      </c>
      <c r="G437" s="1">
        <v>0</v>
      </c>
      <c r="H437" s="1">
        <v>34.1</v>
      </c>
      <c r="I437" s="2">
        <v>0</v>
      </c>
      <c r="J437" s="1">
        <v>1.25</v>
      </c>
      <c r="K437" s="2">
        <v>1.73</v>
      </c>
      <c r="L437" s="2">
        <v>22.6</v>
      </c>
      <c r="M437" s="1">
        <v>7.0000000000000007E-2</v>
      </c>
      <c r="N437" s="1">
        <v>0.32</v>
      </c>
      <c r="O437" s="1">
        <v>0.8</v>
      </c>
      <c r="P437" s="1">
        <v>25.8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 t="s">
        <v>2505</v>
      </c>
      <c r="W437" s="1" t="s">
        <v>2506</v>
      </c>
    </row>
    <row r="438" spans="1:23" ht="12.4">
      <c r="A438" s="1">
        <v>437</v>
      </c>
      <c r="B438" s="1" t="s">
        <v>2507</v>
      </c>
      <c r="C438" s="1" t="s">
        <v>1496</v>
      </c>
      <c r="D438" s="1">
        <v>57.73</v>
      </c>
      <c r="E438" s="1">
        <v>0.65</v>
      </c>
      <c r="F438" s="1">
        <v>16.079999999999998</v>
      </c>
      <c r="G438" s="1">
        <v>0</v>
      </c>
      <c r="H438" s="1">
        <v>7.2</v>
      </c>
      <c r="I438" s="2">
        <v>0</v>
      </c>
      <c r="J438" s="1">
        <v>0.08</v>
      </c>
      <c r="K438" s="2">
        <v>4.9400000000000004</v>
      </c>
      <c r="L438" s="2">
        <v>4.6900000000000004</v>
      </c>
      <c r="M438" s="1">
        <v>3.22</v>
      </c>
      <c r="N438" s="1">
        <v>2.88</v>
      </c>
      <c r="O438" s="1">
        <v>0.2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 t="s">
        <v>2508</v>
      </c>
      <c r="W438" s="1" t="s">
        <v>2509</v>
      </c>
    </row>
    <row r="439" spans="1:23" ht="12.4">
      <c r="A439" s="1">
        <v>438</v>
      </c>
      <c r="B439" s="1" t="s">
        <v>2510</v>
      </c>
      <c r="C439" s="1" t="s">
        <v>1496</v>
      </c>
      <c r="D439" s="1">
        <v>57.43</v>
      </c>
      <c r="E439" s="1">
        <v>0.88</v>
      </c>
      <c r="F439" s="1">
        <v>16.62</v>
      </c>
      <c r="G439" s="1">
        <v>0</v>
      </c>
      <c r="H439" s="1">
        <v>7.18</v>
      </c>
      <c r="I439" s="2">
        <v>0</v>
      </c>
      <c r="J439" s="1">
        <v>0</v>
      </c>
      <c r="K439" s="2">
        <v>5.91</v>
      </c>
      <c r="L439" s="2">
        <v>4.43</v>
      </c>
      <c r="M439" s="1">
        <v>2.76</v>
      </c>
      <c r="N439" s="1">
        <v>5.49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 t="s">
        <v>2511</v>
      </c>
      <c r="W439" s="1" t="s">
        <v>2512</v>
      </c>
    </row>
    <row r="440" spans="1:23" ht="12.4">
      <c r="A440" s="1">
        <v>439</v>
      </c>
      <c r="B440" s="1" t="s">
        <v>2244</v>
      </c>
      <c r="C440" s="1" t="s">
        <v>1496</v>
      </c>
      <c r="D440" s="1">
        <v>45.5</v>
      </c>
      <c r="E440" s="1">
        <v>1.64</v>
      </c>
      <c r="F440" s="1">
        <v>17.8</v>
      </c>
      <c r="G440" s="1">
        <v>0.2</v>
      </c>
      <c r="H440" s="1">
        <v>0</v>
      </c>
      <c r="I440" s="2">
        <v>8.5</v>
      </c>
      <c r="J440" s="1">
        <v>0.12</v>
      </c>
      <c r="K440" s="2">
        <v>12.2</v>
      </c>
      <c r="L440" s="2">
        <v>10.7</v>
      </c>
      <c r="M440" s="1">
        <v>0.61</v>
      </c>
      <c r="N440" s="1">
        <v>0.25</v>
      </c>
      <c r="O440" s="1">
        <v>0</v>
      </c>
      <c r="P440" s="1">
        <v>0</v>
      </c>
      <c r="Q440" s="1">
        <v>0</v>
      </c>
      <c r="R440" s="1">
        <v>213</v>
      </c>
      <c r="S440" s="1">
        <v>22.3</v>
      </c>
      <c r="T440" s="1">
        <v>0</v>
      </c>
      <c r="U440" s="1">
        <v>0</v>
      </c>
      <c r="V440" s="1" t="s">
        <v>2513</v>
      </c>
      <c r="W440" s="1" t="s">
        <v>2514</v>
      </c>
    </row>
    <row r="441" spans="1:23" ht="12.4">
      <c r="A441" s="1">
        <v>440</v>
      </c>
      <c r="B441" s="1" t="s">
        <v>2515</v>
      </c>
      <c r="C441" s="1" t="s">
        <v>1496</v>
      </c>
      <c r="D441" s="1">
        <v>46.1</v>
      </c>
      <c r="E441" s="1">
        <v>1.69</v>
      </c>
      <c r="F441" s="1">
        <v>17.899999999999999</v>
      </c>
      <c r="G441" s="1">
        <v>0.2</v>
      </c>
      <c r="H441" s="1">
        <v>0</v>
      </c>
      <c r="I441" s="2">
        <v>8.8000000000000007</v>
      </c>
      <c r="J441" s="1">
        <v>0.12</v>
      </c>
      <c r="K441" s="2">
        <v>10.9</v>
      </c>
      <c r="L441" s="2">
        <v>10.9</v>
      </c>
      <c r="M441" s="1">
        <v>0.61</v>
      </c>
      <c r="N441" s="1">
        <v>0.34</v>
      </c>
      <c r="O441" s="1">
        <v>0</v>
      </c>
      <c r="P441" s="1">
        <v>0</v>
      </c>
      <c r="Q441" s="1">
        <v>0</v>
      </c>
      <c r="R441" s="1">
        <v>0</v>
      </c>
      <c r="S441" s="1">
        <v>28.5</v>
      </c>
      <c r="T441" s="1">
        <v>0</v>
      </c>
      <c r="U441" s="1">
        <v>0</v>
      </c>
      <c r="V441" s="1" t="s">
        <v>2513</v>
      </c>
      <c r="W441" s="1" t="s">
        <v>2516</v>
      </c>
    </row>
    <row r="442" spans="1:23" ht="12.4">
      <c r="A442" s="1">
        <v>441</v>
      </c>
      <c r="B442" s="1" t="s">
        <v>2517</v>
      </c>
      <c r="C442" s="1" t="s">
        <v>1496</v>
      </c>
      <c r="D442" s="1">
        <v>52.7</v>
      </c>
      <c r="E442" s="1">
        <v>1.48</v>
      </c>
      <c r="F442" s="1">
        <v>18</v>
      </c>
      <c r="G442" s="1">
        <v>0.14000000000000001</v>
      </c>
      <c r="H442" s="1">
        <v>0</v>
      </c>
      <c r="I442" s="2">
        <v>6.9</v>
      </c>
      <c r="J442" s="1">
        <v>0.12</v>
      </c>
      <c r="K442" s="2">
        <v>3.45</v>
      </c>
      <c r="L442" s="2">
        <v>11.9</v>
      </c>
      <c r="M442" s="1">
        <v>0.79</v>
      </c>
      <c r="N442" s="1">
        <v>2.2999999999999998</v>
      </c>
      <c r="O442" s="1">
        <v>0</v>
      </c>
      <c r="P442" s="1">
        <v>0</v>
      </c>
      <c r="Q442" s="1">
        <v>0</v>
      </c>
      <c r="R442" s="1">
        <v>54</v>
      </c>
      <c r="S442" s="1">
        <v>19.399999999999999</v>
      </c>
      <c r="T442" s="1">
        <v>0</v>
      </c>
      <c r="U442" s="1">
        <v>0</v>
      </c>
      <c r="V442" s="1" t="s">
        <v>2513</v>
      </c>
      <c r="W442" s="1" t="s">
        <v>2518</v>
      </c>
    </row>
    <row r="443" spans="1:23" ht="12.4">
      <c r="A443" s="1">
        <v>442</v>
      </c>
      <c r="B443" s="1" t="s">
        <v>2519</v>
      </c>
      <c r="C443" s="1" t="s">
        <v>1496</v>
      </c>
      <c r="D443" s="1">
        <v>45.6</v>
      </c>
      <c r="E443" s="1">
        <v>1.47</v>
      </c>
      <c r="F443" s="1">
        <v>18.5</v>
      </c>
      <c r="G443" s="1">
        <v>0.18</v>
      </c>
      <c r="H443" s="1">
        <v>0</v>
      </c>
      <c r="I443" s="2">
        <v>8.1999999999999993</v>
      </c>
      <c r="J443" s="1">
        <v>0.12</v>
      </c>
      <c r="K443" s="2">
        <v>11.9</v>
      </c>
      <c r="L443" s="2">
        <v>11.1</v>
      </c>
      <c r="M443" s="1">
        <v>0.65</v>
      </c>
      <c r="N443" s="1">
        <v>0.26</v>
      </c>
      <c r="O443" s="1">
        <v>0</v>
      </c>
      <c r="P443" s="1">
        <v>0</v>
      </c>
      <c r="Q443" s="1">
        <v>0</v>
      </c>
      <c r="R443" s="1">
        <v>153</v>
      </c>
      <c r="S443" s="1">
        <v>17.7</v>
      </c>
      <c r="T443" s="1">
        <v>0</v>
      </c>
      <c r="U443" s="1">
        <v>0</v>
      </c>
      <c r="V443" s="1" t="s">
        <v>2513</v>
      </c>
      <c r="W443" s="1" t="s">
        <v>2520</v>
      </c>
    </row>
    <row r="444" spans="1:23" ht="12.4">
      <c r="A444" s="1">
        <v>443</v>
      </c>
      <c r="B444" s="1" t="s">
        <v>2521</v>
      </c>
      <c r="C444" s="1" t="s">
        <v>1496</v>
      </c>
      <c r="D444" s="1">
        <v>45.8</v>
      </c>
      <c r="E444" s="1">
        <v>1.43</v>
      </c>
      <c r="F444" s="1">
        <v>18.3</v>
      </c>
      <c r="G444" s="1">
        <v>0.19</v>
      </c>
      <c r="H444" s="1">
        <v>0</v>
      </c>
      <c r="I444" s="2">
        <v>8.4</v>
      </c>
      <c r="J444" s="1">
        <v>0.11</v>
      </c>
      <c r="K444" s="2">
        <v>13</v>
      </c>
      <c r="L444" s="2">
        <v>10.9</v>
      </c>
      <c r="M444" s="1">
        <v>0.62</v>
      </c>
      <c r="N444" s="1">
        <v>0.24</v>
      </c>
      <c r="O444" s="1">
        <v>0</v>
      </c>
      <c r="P444" s="1">
        <v>0</v>
      </c>
      <c r="Q444" s="1">
        <v>0</v>
      </c>
      <c r="R444" s="1">
        <v>227</v>
      </c>
      <c r="S444" s="1">
        <v>23.7</v>
      </c>
      <c r="T444" s="1">
        <v>0</v>
      </c>
      <c r="U444" s="1">
        <v>0</v>
      </c>
      <c r="V444" s="1" t="s">
        <v>2513</v>
      </c>
      <c r="W444" s="1" t="s">
        <v>2522</v>
      </c>
    </row>
    <row r="445" spans="1:23" ht="12.4">
      <c r="A445" s="1">
        <v>444</v>
      </c>
      <c r="B445" s="1" t="s">
        <v>2523</v>
      </c>
      <c r="C445" s="1" t="s">
        <v>1496</v>
      </c>
      <c r="D445" s="1">
        <v>46.4</v>
      </c>
      <c r="E445" s="1">
        <v>1.49</v>
      </c>
      <c r="F445" s="1">
        <v>18.2</v>
      </c>
      <c r="G445" s="1">
        <v>0.19</v>
      </c>
      <c r="H445" s="1">
        <v>0</v>
      </c>
      <c r="I445" s="2">
        <v>8.4</v>
      </c>
      <c r="J445" s="1">
        <v>0.12</v>
      </c>
      <c r="K445" s="2">
        <v>10.5</v>
      </c>
      <c r="L445" s="2">
        <v>11.2</v>
      </c>
      <c r="M445" s="1">
        <v>0.67</v>
      </c>
      <c r="N445" s="1">
        <v>0.3</v>
      </c>
      <c r="O445" s="1">
        <v>0</v>
      </c>
      <c r="P445" s="1">
        <v>0</v>
      </c>
      <c r="Q445" s="1">
        <v>0</v>
      </c>
      <c r="R445" s="1">
        <v>250</v>
      </c>
      <c r="S445" s="1">
        <v>28.35</v>
      </c>
      <c r="T445" s="1">
        <v>0</v>
      </c>
      <c r="U445" s="1">
        <v>0</v>
      </c>
      <c r="V445" s="1" t="s">
        <v>2513</v>
      </c>
      <c r="W445" s="1" t="s">
        <v>2524</v>
      </c>
    </row>
    <row r="446" spans="1:23" ht="12.4">
      <c r="A446" s="1">
        <v>445</v>
      </c>
      <c r="B446" s="1" t="s">
        <v>2525</v>
      </c>
      <c r="C446" s="1" t="s">
        <v>1496</v>
      </c>
      <c r="D446" s="1">
        <v>46</v>
      </c>
      <c r="E446" s="1">
        <v>1.52</v>
      </c>
      <c r="F446" s="1">
        <v>17.899999999999999</v>
      </c>
      <c r="G446" s="1">
        <v>0.19</v>
      </c>
      <c r="H446" s="1">
        <v>0</v>
      </c>
      <c r="I446" s="2">
        <v>9</v>
      </c>
      <c r="J446" s="1">
        <v>0.12</v>
      </c>
      <c r="K446" s="2">
        <v>13</v>
      </c>
      <c r="L446" s="2">
        <v>10.8</v>
      </c>
      <c r="M446" s="1">
        <v>0.62</v>
      </c>
      <c r="N446" s="1">
        <v>0.27</v>
      </c>
      <c r="O446" s="1">
        <v>0</v>
      </c>
      <c r="P446" s="1">
        <v>0</v>
      </c>
      <c r="Q446" s="1">
        <v>0</v>
      </c>
      <c r="R446" s="1">
        <v>250</v>
      </c>
      <c r="S446" s="1">
        <v>28.5</v>
      </c>
      <c r="T446" s="1">
        <v>0</v>
      </c>
      <c r="U446" s="1">
        <v>0</v>
      </c>
      <c r="V446" s="1" t="s">
        <v>2513</v>
      </c>
      <c r="W446" s="1" t="s">
        <v>2526</v>
      </c>
    </row>
    <row r="447" spans="1:23" ht="12.4">
      <c r="A447" s="1">
        <v>446</v>
      </c>
      <c r="B447" s="1" t="s">
        <v>2527</v>
      </c>
      <c r="C447" s="1" t="s">
        <v>1496</v>
      </c>
      <c r="D447" s="1">
        <v>80.7</v>
      </c>
      <c r="E447" s="1">
        <v>0</v>
      </c>
      <c r="F447" s="1">
        <v>7.5</v>
      </c>
      <c r="G447" s="1">
        <v>0</v>
      </c>
      <c r="H447" s="1">
        <v>0</v>
      </c>
      <c r="I447" s="2">
        <v>3.85</v>
      </c>
      <c r="J447" s="1">
        <v>0</v>
      </c>
      <c r="K447" s="2">
        <v>2.61</v>
      </c>
      <c r="L447" s="2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/>
      <c r="W447" s="1"/>
    </row>
    <row r="448" spans="1:23" ht="12.4">
      <c r="A448" s="1">
        <v>447</v>
      </c>
      <c r="B448" s="1" t="s">
        <v>2528</v>
      </c>
      <c r="C448" s="1" t="s">
        <v>1496</v>
      </c>
      <c r="D448" s="1">
        <v>58.7</v>
      </c>
      <c r="E448" s="1">
        <v>0</v>
      </c>
      <c r="F448" s="1">
        <v>10.9</v>
      </c>
      <c r="G448" s="1">
        <v>0</v>
      </c>
      <c r="H448" s="1">
        <v>0</v>
      </c>
      <c r="I448" s="2">
        <v>7.97</v>
      </c>
      <c r="J448" s="1">
        <v>0</v>
      </c>
      <c r="K448" s="2">
        <v>2.4500000000000002</v>
      </c>
      <c r="L448" s="2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/>
      <c r="W448" s="1"/>
    </row>
    <row r="449" spans="1:23" ht="12.4">
      <c r="A449" s="1">
        <v>448</v>
      </c>
      <c r="B449" s="1" t="s">
        <v>2529</v>
      </c>
      <c r="C449" s="1" t="s">
        <v>1496</v>
      </c>
      <c r="D449" s="1">
        <v>70.900000000000006</v>
      </c>
      <c r="E449" s="1">
        <v>0</v>
      </c>
      <c r="F449" s="1">
        <v>12.41</v>
      </c>
      <c r="G449" s="1">
        <v>0</v>
      </c>
      <c r="H449" s="1">
        <v>0</v>
      </c>
      <c r="I449" s="2">
        <v>4.79</v>
      </c>
      <c r="J449" s="1">
        <v>0</v>
      </c>
      <c r="K449" s="2">
        <v>2.76</v>
      </c>
      <c r="L449" s="2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/>
      <c r="W449" s="1"/>
    </row>
    <row r="450" spans="1:23" ht="12.4">
      <c r="A450" s="1">
        <v>449</v>
      </c>
      <c r="B450" s="1" t="s">
        <v>2530</v>
      </c>
      <c r="C450" s="1" t="s">
        <v>1496</v>
      </c>
      <c r="D450" s="1">
        <v>75.3</v>
      </c>
      <c r="E450" s="1">
        <v>0</v>
      </c>
      <c r="F450" s="1">
        <v>10.6</v>
      </c>
      <c r="G450" s="1">
        <v>0</v>
      </c>
      <c r="H450" s="1">
        <v>0</v>
      </c>
      <c r="I450" s="2">
        <v>4.7300000000000004</v>
      </c>
      <c r="J450" s="1">
        <v>0</v>
      </c>
      <c r="K450" s="2">
        <v>3.07</v>
      </c>
      <c r="L450" s="2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/>
      <c r="W450" s="1"/>
    </row>
    <row r="451" spans="1:23" ht="12.4">
      <c r="A451" s="1">
        <v>450</v>
      </c>
      <c r="B451" s="1" t="s">
        <v>2531</v>
      </c>
      <c r="C451" s="1" t="s">
        <v>1496</v>
      </c>
      <c r="D451" s="1">
        <v>80.5</v>
      </c>
      <c r="E451" s="1">
        <v>0</v>
      </c>
      <c r="F451" s="1">
        <v>8.16</v>
      </c>
      <c r="G451" s="1">
        <v>0</v>
      </c>
      <c r="H451" s="1">
        <v>0</v>
      </c>
      <c r="I451" s="2">
        <v>3.53</v>
      </c>
      <c r="J451" s="1">
        <v>0</v>
      </c>
      <c r="K451" s="2">
        <v>2.35</v>
      </c>
      <c r="L451" s="2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/>
      <c r="W451" s="1"/>
    </row>
    <row r="452" spans="1:23" ht="12.4">
      <c r="A452" s="1">
        <v>451</v>
      </c>
      <c r="B452" s="1" t="s">
        <v>2532</v>
      </c>
      <c r="C452" s="1" t="s">
        <v>1496</v>
      </c>
      <c r="D452" s="1">
        <v>68.7</v>
      </c>
      <c r="E452" s="1">
        <v>0</v>
      </c>
      <c r="F452" s="1">
        <v>12.7</v>
      </c>
      <c r="G452" s="1">
        <v>0</v>
      </c>
      <c r="H452" s="1">
        <v>0</v>
      </c>
      <c r="I452" s="2">
        <v>5.3</v>
      </c>
      <c r="J452" s="1">
        <v>0</v>
      </c>
      <c r="K452" s="2">
        <v>3.16</v>
      </c>
      <c r="L452" s="2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/>
      <c r="W452" s="1"/>
    </row>
    <row r="453" spans="1:23" ht="12.4">
      <c r="A453" s="1">
        <v>452</v>
      </c>
      <c r="B453" s="1" t="s">
        <v>2533</v>
      </c>
      <c r="C453" s="1" t="s">
        <v>2534</v>
      </c>
      <c r="D453" s="1">
        <v>7.0000000000000007E-2</v>
      </c>
      <c r="E453" s="1">
        <v>0.67</v>
      </c>
      <c r="F453" s="1">
        <v>59.84</v>
      </c>
      <c r="G453" s="1">
        <v>0.05</v>
      </c>
      <c r="H453" s="1">
        <v>0</v>
      </c>
      <c r="I453" s="2">
        <v>20.79</v>
      </c>
      <c r="J453" s="1">
        <v>0.12</v>
      </c>
      <c r="K453" s="2">
        <v>18.010000000000002</v>
      </c>
      <c r="L453" s="2">
        <v>0</v>
      </c>
      <c r="M453" s="1">
        <v>0.03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 t="s">
        <v>2535</v>
      </c>
      <c r="W453" s="1" t="s">
        <v>2536</v>
      </c>
    </row>
    <row r="454" spans="1:23" ht="12.4">
      <c r="A454" s="1">
        <v>453</v>
      </c>
      <c r="B454" s="1" t="s">
        <v>2537</v>
      </c>
      <c r="C454" s="1" t="s">
        <v>2538</v>
      </c>
      <c r="D454" s="1">
        <v>0</v>
      </c>
      <c r="E454" s="1">
        <v>0.15</v>
      </c>
      <c r="F454" s="1">
        <v>10.98</v>
      </c>
      <c r="G454" s="1">
        <v>57.56</v>
      </c>
      <c r="H454" s="1">
        <v>0.56000000000000005</v>
      </c>
      <c r="I454" s="2">
        <v>14.47</v>
      </c>
      <c r="J454" s="1">
        <v>0.26</v>
      </c>
      <c r="K454" s="2">
        <v>13.62</v>
      </c>
      <c r="L454" s="2">
        <v>0.09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0.23</v>
      </c>
      <c r="S454" s="1">
        <v>0</v>
      </c>
      <c r="T454" s="1">
        <v>0</v>
      </c>
      <c r="U454" s="1">
        <v>0.19</v>
      </c>
      <c r="V454" s="1" t="s">
        <v>2539</v>
      </c>
      <c r="W454" s="1" t="s">
        <v>2540</v>
      </c>
    </row>
    <row r="455" spans="1:23" ht="12.4">
      <c r="A455" s="1">
        <v>454</v>
      </c>
      <c r="B455" s="1" t="s">
        <v>2541</v>
      </c>
      <c r="C455" s="1" t="s">
        <v>2542</v>
      </c>
      <c r="D455" s="1">
        <v>39.090000000000003</v>
      </c>
      <c r="E455" s="1">
        <v>0.06</v>
      </c>
      <c r="F455" s="1">
        <v>0</v>
      </c>
      <c r="G455" s="1">
        <v>7.0000000000000007E-2</v>
      </c>
      <c r="H455" s="1">
        <v>0</v>
      </c>
      <c r="I455" s="2">
        <v>4.17</v>
      </c>
      <c r="J455" s="1">
        <v>0.2</v>
      </c>
      <c r="K455" s="2">
        <v>21.72</v>
      </c>
      <c r="L455" s="2">
        <v>35.74</v>
      </c>
      <c r="M455" s="1">
        <v>0.03</v>
      </c>
      <c r="N455" s="1">
        <v>0</v>
      </c>
      <c r="O455" s="1">
        <v>0.02</v>
      </c>
      <c r="P455" s="1">
        <v>0</v>
      </c>
      <c r="Q455" s="1">
        <v>0</v>
      </c>
      <c r="R455" s="1">
        <v>0.02</v>
      </c>
      <c r="S455" s="1">
        <v>0</v>
      </c>
      <c r="T455" s="1">
        <v>0</v>
      </c>
      <c r="U455" s="1">
        <v>0</v>
      </c>
      <c r="V455" s="1" t="s">
        <v>2539</v>
      </c>
      <c r="W455" s="1" t="s">
        <v>2543</v>
      </c>
    </row>
    <row r="456" spans="1:23" ht="12.4">
      <c r="A456" s="1">
        <v>455</v>
      </c>
      <c r="B456" s="1" t="s">
        <v>2544</v>
      </c>
      <c r="C456" s="1" t="s">
        <v>2542</v>
      </c>
      <c r="D456" s="1">
        <v>38.74</v>
      </c>
      <c r="E456" s="1">
        <v>0.05</v>
      </c>
      <c r="F456" s="1">
        <v>13.68</v>
      </c>
      <c r="G456" s="1">
        <v>0.1</v>
      </c>
      <c r="H456" s="1">
        <v>0</v>
      </c>
      <c r="I456" s="2">
        <v>1.42</v>
      </c>
      <c r="J456" s="1">
        <v>0.19</v>
      </c>
      <c r="K456" s="2">
        <v>5.93</v>
      </c>
      <c r="L456" s="2">
        <v>37.520000000000003</v>
      </c>
      <c r="M456" s="1">
        <v>2.33</v>
      </c>
      <c r="N456" s="1">
        <v>0.1</v>
      </c>
      <c r="O456" s="1">
        <v>0.02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 t="s">
        <v>2545</v>
      </c>
      <c r="W456" s="1" t="s">
        <v>2546</v>
      </c>
    </row>
    <row r="457" spans="1:23" ht="12.4">
      <c r="A457" s="1">
        <v>456</v>
      </c>
      <c r="B457" s="1" t="s">
        <v>2547</v>
      </c>
      <c r="C457" s="1" t="s">
        <v>2548</v>
      </c>
      <c r="D457" s="1">
        <v>0.05</v>
      </c>
      <c r="E457" s="1">
        <v>55.72</v>
      </c>
      <c r="F457" s="1">
        <v>0</v>
      </c>
      <c r="G457" s="1">
        <v>0.09</v>
      </c>
      <c r="H457" s="1">
        <v>0</v>
      </c>
      <c r="I457" s="2">
        <v>0.4</v>
      </c>
      <c r="J457" s="1">
        <v>0.12</v>
      </c>
      <c r="K457" s="2">
        <v>0</v>
      </c>
      <c r="L457" s="2">
        <v>42.26</v>
      </c>
      <c r="M457" s="1">
        <v>0.1</v>
      </c>
      <c r="N457" s="1">
        <v>0</v>
      </c>
      <c r="O457" s="1">
        <v>0.02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 t="s">
        <v>2545</v>
      </c>
      <c r="W457" s="1" t="s">
        <v>2549</v>
      </c>
    </row>
    <row r="458" spans="1:23" ht="12.4">
      <c r="A458" s="1">
        <v>457</v>
      </c>
      <c r="B458" s="1" t="s">
        <v>2550</v>
      </c>
      <c r="C458" s="1" t="s">
        <v>2538</v>
      </c>
      <c r="D458" s="1">
        <v>0.13</v>
      </c>
      <c r="E458" s="1">
        <v>0.84</v>
      </c>
      <c r="F458" s="1">
        <v>18.75</v>
      </c>
      <c r="G458" s="1">
        <v>40.98</v>
      </c>
      <c r="H458" s="1">
        <v>2.97</v>
      </c>
      <c r="I458" s="2">
        <v>25.27</v>
      </c>
      <c r="J458" s="1">
        <v>0.35</v>
      </c>
      <c r="K458" s="2">
        <v>9.11</v>
      </c>
      <c r="L458" s="2">
        <v>0.08</v>
      </c>
      <c r="M458" s="1">
        <v>0</v>
      </c>
      <c r="N458" s="1">
        <v>0</v>
      </c>
      <c r="O458" s="1">
        <v>0.01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 t="s">
        <v>2545</v>
      </c>
      <c r="W458" s="1" t="s">
        <v>2551</v>
      </c>
    </row>
    <row r="459" spans="1:23" ht="12.4">
      <c r="A459" s="1">
        <v>458</v>
      </c>
      <c r="B459" s="1" t="s">
        <v>1266</v>
      </c>
      <c r="C459" s="1" t="s">
        <v>1502</v>
      </c>
      <c r="D459" s="1">
        <v>41.09</v>
      </c>
      <c r="E459" s="1">
        <v>0.01</v>
      </c>
      <c r="F459" s="1">
        <v>0</v>
      </c>
      <c r="G459" s="1">
        <v>0.03</v>
      </c>
      <c r="H459" s="1">
        <v>0</v>
      </c>
      <c r="I459" s="2">
        <v>10.01</v>
      </c>
      <c r="J459" s="1">
        <v>0.17</v>
      </c>
      <c r="K459" s="2">
        <v>50.81</v>
      </c>
      <c r="L459" s="2">
        <v>0.06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/>
      <c r="W459" s="1" t="s">
        <v>1267</v>
      </c>
    </row>
    <row r="460" spans="1:23" ht="12.4">
      <c r="A460" s="1">
        <v>459</v>
      </c>
      <c r="B460" s="1" t="s">
        <v>2552</v>
      </c>
      <c r="C460" s="1" t="s">
        <v>1510</v>
      </c>
      <c r="D460" s="1">
        <v>52.49</v>
      </c>
      <c r="E460" s="1">
        <v>0.04</v>
      </c>
      <c r="F460" s="1">
        <v>4.4800000000000004</v>
      </c>
      <c r="G460" s="1">
        <v>0.99</v>
      </c>
      <c r="H460" s="1">
        <v>0.34</v>
      </c>
      <c r="I460" s="2">
        <v>2.62</v>
      </c>
      <c r="J460" s="1">
        <v>0</v>
      </c>
      <c r="K460" s="2">
        <v>15.28</v>
      </c>
      <c r="L460" s="2">
        <v>22.47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 t="s">
        <v>2535</v>
      </c>
      <c r="W460" s="1" t="s">
        <v>2553</v>
      </c>
    </row>
    <row r="461" spans="1:23" ht="12.4">
      <c r="A461" s="1">
        <v>460</v>
      </c>
      <c r="B461" s="1" t="s">
        <v>2554</v>
      </c>
      <c r="C461" s="1" t="s">
        <v>1510</v>
      </c>
      <c r="D461" s="1">
        <v>48.11</v>
      </c>
      <c r="E461" s="1">
        <v>1.07</v>
      </c>
      <c r="F461" s="1">
        <v>7.92</v>
      </c>
      <c r="G461" s="1">
        <v>0.04</v>
      </c>
      <c r="H461" s="1">
        <v>0</v>
      </c>
      <c r="I461" s="2">
        <v>1.86</v>
      </c>
      <c r="J461" s="1">
        <v>0</v>
      </c>
      <c r="K461" s="2">
        <v>14.44</v>
      </c>
      <c r="L461" s="2">
        <v>25.95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 t="s">
        <v>2535</v>
      </c>
      <c r="W461" s="1" t="s">
        <v>2555</v>
      </c>
    </row>
    <row r="462" spans="1:23" ht="12.4">
      <c r="A462" s="1">
        <v>461</v>
      </c>
      <c r="B462" s="1" t="s">
        <v>2556</v>
      </c>
      <c r="C462" s="1" t="s">
        <v>1510</v>
      </c>
      <c r="D462" s="1">
        <v>50.46</v>
      </c>
      <c r="E462" s="1">
        <v>0.51</v>
      </c>
      <c r="F462" s="1">
        <v>4.6500000000000004</v>
      </c>
      <c r="G462" s="1">
        <v>0.17</v>
      </c>
      <c r="H462" s="1">
        <v>0</v>
      </c>
      <c r="I462" s="2">
        <v>8.44</v>
      </c>
      <c r="J462" s="1">
        <v>0.15</v>
      </c>
      <c r="K462" s="2">
        <v>12.09</v>
      </c>
      <c r="L462" s="2">
        <v>23.97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 t="s">
        <v>2535</v>
      </c>
      <c r="W462" s="1" t="s">
        <v>2557</v>
      </c>
    </row>
    <row r="463" spans="1:23" ht="12.4">
      <c r="A463" s="1">
        <v>462</v>
      </c>
      <c r="B463" s="1" t="s">
        <v>769</v>
      </c>
      <c r="C463" s="1" t="s">
        <v>1510</v>
      </c>
      <c r="D463" s="1">
        <v>53.39</v>
      </c>
      <c r="E463" s="1">
        <v>0.56000000000000005</v>
      </c>
      <c r="F463" s="1">
        <v>0.54</v>
      </c>
      <c r="G463" s="1">
        <v>0</v>
      </c>
      <c r="H463" s="1">
        <v>0</v>
      </c>
      <c r="I463" s="2">
        <v>16.420000000000002</v>
      </c>
      <c r="J463" s="1">
        <v>0.35</v>
      </c>
      <c r="K463" s="2">
        <v>18.760000000000002</v>
      </c>
      <c r="L463" s="2">
        <v>10.87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 t="s">
        <v>2535</v>
      </c>
      <c r="W463" s="1" t="s">
        <v>770</v>
      </c>
    </row>
    <row r="464" spans="1:23" ht="12.4">
      <c r="A464" s="1">
        <v>463</v>
      </c>
      <c r="B464" s="1" t="s">
        <v>2558</v>
      </c>
      <c r="C464" s="1" t="s">
        <v>1510</v>
      </c>
      <c r="D464" s="1">
        <v>52.16</v>
      </c>
      <c r="E464" s="1">
        <v>0</v>
      </c>
      <c r="F464" s="1">
        <v>0.35</v>
      </c>
      <c r="G464" s="1">
        <v>0.05</v>
      </c>
      <c r="H464" s="1">
        <v>10.55</v>
      </c>
      <c r="I464" s="2">
        <v>12.79</v>
      </c>
      <c r="J464" s="1">
        <v>0.87</v>
      </c>
      <c r="K464" s="2">
        <v>0.99</v>
      </c>
      <c r="L464" s="2">
        <v>19.46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 t="s">
        <v>2559</v>
      </c>
      <c r="W464" s="1" t="s">
        <v>2560</v>
      </c>
    </row>
    <row r="465" spans="1:23" ht="12.4">
      <c r="A465" s="1">
        <v>464</v>
      </c>
      <c r="B465" s="1" t="s">
        <v>2561</v>
      </c>
      <c r="C465" s="1" t="s">
        <v>1510</v>
      </c>
      <c r="D465" s="1">
        <v>29.63</v>
      </c>
      <c r="E465" s="1">
        <v>1.01</v>
      </c>
      <c r="F465" s="1">
        <v>0</v>
      </c>
      <c r="G465" s="1">
        <v>0.1</v>
      </c>
      <c r="H465" s="1">
        <v>0</v>
      </c>
      <c r="I465" s="2">
        <v>1.24</v>
      </c>
      <c r="J465" s="1">
        <v>0.62</v>
      </c>
      <c r="K465" s="2">
        <v>0.04</v>
      </c>
      <c r="L465" s="2">
        <v>26.52</v>
      </c>
      <c r="M465" s="1">
        <v>6.22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 t="s">
        <v>2559</v>
      </c>
      <c r="W465" s="1" t="s">
        <v>2562</v>
      </c>
    </row>
    <row r="466" spans="1:23" ht="12.4">
      <c r="A466" s="1">
        <v>465</v>
      </c>
      <c r="B466" s="1" t="s">
        <v>2563</v>
      </c>
      <c r="C466" s="1" t="s">
        <v>1496</v>
      </c>
      <c r="D466" s="1">
        <v>34.5</v>
      </c>
      <c r="E466" s="1">
        <v>3</v>
      </c>
      <c r="F466" s="1">
        <v>18.5</v>
      </c>
      <c r="G466" s="1">
        <v>0</v>
      </c>
      <c r="H466" s="1">
        <v>12.4</v>
      </c>
      <c r="I466" s="2">
        <v>0</v>
      </c>
      <c r="J466" s="1">
        <v>0.2</v>
      </c>
      <c r="K466" s="2">
        <v>2.7</v>
      </c>
      <c r="L466" s="2">
        <v>4.9000000000000004</v>
      </c>
      <c r="M466" s="1">
        <v>1.9</v>
      </c>
      <c r="N466" s="1">
        <v>0.5</v>
      </c>
      <c r="O466" s="1">
        <v>0.7</v>
      </c>
      <c r="P466" s="1">
        <v>21.8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 t="s">
        <v>2564</v>
      </c>
      <c r="W466" s="1" t="s">
        <v>2565</v>
      </c>
    </row>
    <row r="467" spans="1:23" ht="12.4">
      <c r="A467" s="1">
        <v>466</v>
      </c>
      <c r="B467" s="1" t="s">
        <v>2563</v>
      </c>
      <c r="C467" s="1" t="s">
        <v>1496</v>
      </c>
      <c r="D467" s="1">
        <v>43.5</v>
      </c>
      <c r="E467" s="1">
        <v>3.8</v>
      </c>
      <c r="F467" s="1">
        <v>23.3</v>
      </c>
      <c r="G467" s="1">
        <v>0</v>
      </c>
      <c r="H467" s="1">
        <v>15.6</v>
      </c>
      <c r="I467" s="2">
        <v>0</v>
      </c>
      <c r="J467" s="1">
        <v>0.3</v>
      </c>
      <c r="K467" s="2">
        <v>3.4</v>
      </c>
      <c r="L467" s="2">
        <v>6.2</v>
      </c>
      <c r="M467" s="1">
        <v>2.4</v>
      </c>
      <c r="N467" s="1">
        <v>0.6</v>
      </c>
      <c r="O467" s="1">
        <v>0.9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 t="s">
        <v>2564</v>
      </c>
      <c r="W467" s="1" t="s">
        <v>2565</v>
      </c>
    </row>
    <row r="468" spans="1:23" ht="12.4">
      <c r="A468" s="1">
        <v>467</v>
      </c>
      <c r="B468" s="1" t="s">
        <v>2566</v>
      </c>
      <c r="C468" s="1" t="s">
        <v>1496</v>
      </c>
      <c r="D468" s="1">
        <v>46.5</v>
      </c>
      <c r="E468" s="1">
        <v>2.9</v>
      </c>
      <c r="F468" s="1">
        <v>15.2</v>
      </c>
      <c r="G468" s="1">
        <v>0.26</v>
      </c>
      <c r="H468" s="1">
        <v>0</v>
      </c>
      <c r="I468" s="2">
        <v>14.1</v>
      </c>
      <c r="J468" s="1">
        <v>0.2</v>
      </c>
      <c r="K468" s="2">
        <v>9.4</v>
      </c>
      <c r="L468" s="2">
        <v>10.7</v>
      </c>
      <c r="M468" s="1">
        <v>0.59</v>
      </c>
      <c r="N468" s="1">
        <v>0.36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 t="s">
        <v>2567</v>
      </c>
      <c r="W468" s="1" t="s">
        <v>2568</v>
      </c>
    </row>
    <row r="469" spans="1:23" ht="12.4">
      <c r="A469" s="1">
        <v>468</v>
      </c>
      <c r="B469" s="1" t="s">
        <v>2569</v>
      </c>
      <c r="C469" s="1" t="s">
        <v>1496</v>
      </c>
      <c r="D469" s="1">
        <v>48.2</v>
      </c>
      <c r="E469" s="1">
        <v>2.33</v>
      </c>
      <c r="F469" s="1">
        <v>15.1</v>
      </c>
      <c r="G469" s="1">
        <v>0.37</v>
      </c>
      <c r="H469" s="1">
        <v>0</v>
      </c>
      <c r="I469" s="2">
        <v>12.9</v>
      </c>
      <c r="J469" s="1">
        <v>0.18</v>
      </c>
      <c r="K469" s="2">
        <v>8.43</v>
      </c>
      <c r="L469" s="2">
        <v>10.6</v>
      </c>
      <c r="M469" s="1">
        <v>0.87</v>
      </c>
      <c r="N469" s="1">
        <v>0.54</v>
      </c>
      <c r="O469" s="1">
        <v>0.55000000000000004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 t="s">
        <v>2570</v>
      </c>
      <c r="W469" s="1" t="s">
        <v>2568</v>
      </c>
    </row>
    <row r="470" spans="1:23" ht="24.95">
      <c r="A470" s="1">
        <v>469</v>
      </c>
      <c r="B470" s="1" t="s">
        <v>2571</v>
      </c>
      <c r="C470" s="1" t="s">
        <v>2572</v>
      </c>
      <c r="D470" s="1">
        <v>47.8</v>
      </c>
      <c r="E470" s="1">
        <v>0.63</v>
      </c>
      <c r="F470" s="1">
        <v>23.6</v>
      </c>
      <c r="G470" s="1">
        <v>0.15</v>
      </c>
      <c r="H470" s="1">
        <v>0</v>
      </c>
      <c r="I470" s="2">
        <v>5.4</v>
      </c>
      <c r="J470" s="1">
        <v>7.0000000000000007E-2</v>
      </c>
      <c r="K470" s="2">
        <v>8.5</v>
      </c>
      <c r="L470" s="2">
        <v>13.5</v>
      </c>
      <c r="M470" s="1">
        <v>0.43</v>
      </c>
      <c r="N470" s="1">
        <v>0.22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3</v>
      </c>
      <c r="U470" s="1">
        <v>0</v>
      </c>
      <c r="V470" s="1" t="s">
        <v>2573</v>
      </c>
      <c r="W470" s="1" t="s">
        <v>2574</v>
      </c>
    </row>
    <row r="471" spans="1:23" ht="24.95">
      <c r="A471" s="1">
        <v>470</v>
      </c>
      <c r="B471" s="1" t="s">
        <v>2571</v>
      </c>
      <c r="C471" s="1" t="s">
        <v>2059</v>
      </c>
      <c r="D471" s="1">
        <v>44.1</v>
      </c>
      <c r="E471" s="1">
        <v>0.42</v>
      </c>
      <c r="F471" s="1">
        <v>25.1</v>
      </c>
      <c r="G471" s="1">
        <v>0.15</v>
      </c>
      <c r="H471" s="1">
        <v>0</v>
      </c>
      <c r="I471" s="2">
        <v>6.1</v>
      </c>
      <c r="J471" s="1">
        <v>7.0000000000000007E-2</v>
      </c>
      <c r="K471" s="2">
        <v>8</v>
      </c>
      <c r="L471" s="2">
        <v>14.5</v>
      </c>
      <c r="M471" s="1">
        <v>0.36</v>
      </c>
      <c r="N471" s="1">
        <v>0.08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2.4</v>
      </c>
      <c r="U471" s="1">
        <v>0</v>
      </c>
      <c r="V471" s="1" t="s">
        <v>2573</v>
      </c>
      <c r="W471" s="1" t="s">
        <v>2575</v>
      </c>
    </row>
    <row r="472" spans="1:23" ht="24.95">
      <c r="A472" s="1">
        <v>471</v>
      </c>
      <c r="B472" s="1" t="s">
        <v>2571</v>
      </c>
      <c r="C472" s="1" t="s">
        <v>2576</v>
      </c>
      <c r="D472" s="1">
        <v>48.6</v>
      </c>
      <c r="E472" s="1">
        <v>0.67</v>
      </c>
      <c r="F472" s="1">
        <v>17.5</v>
      </c>
      <c r="G472" s="1">
        <v>0.25</v>
      </c>
      <c r="H472" s="1">
        <v>0</v>
      </c>
      <c r="I472" s="2">
        <v>6.5</v>
      </c>
      <c r="J472" s="1">
        <v>7.0000000000000007E-2</v>
      </c>
      <c r="K472" s="2">
        <v>14</v>
      </c>
      <c r="L472" s="2">
        <v>11.3</v>
      </c>
      <c r="M472" s="1">
        <v>0.84</v>
      </c>
      <c r="N472" s="1">
        <v>0.26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 t="s">
        <v>2573</v>
      </c>
      <c r="W472" s="1" t="s">
        <v>2574</v>
      </c>
    </row>
    <row r="473" spans="1:23" ht="12.4">
      <c r="A473" s="1">
        <v>472</v>
      </c>
      <c r="B473" s="1" t="s">
        <v>2577</v>
      </c>
      <c r="C473" s="1" t="s">
        <v>1496</v>
      </c>
      <c r="D473" s="1">
        <v>0</v>
      </c>
      <c r="E473" s="1">
        <v>0.92</v>
      </c>
      <c r="F473" s="1">
        <v>9.6999999999999993</v>
      </c>
      <c r="G473" s="1">
        <v>0.05</v>
      </c>
      <c r="H473" s="1">
        <v>0</v>
      </c>
      <c r="I473" s="2">
        <v>21.5</v>
      </c>
      <c r="J473" s="1">
        <v>0.52</v>
      </c>
      <c r="K473" s="2">
        <v>5.1100000000000003</v>
      </c>
      <c r="L473" s="2">
        <v>10.32</v>
      </c>
      <c r="M473" s="1">
        <v>1.86</v>
      </c>
      <c r="N473" s="1">
        <v>0</v>
      </c>
      <c r="O473" s="1">
        <v>1.08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/>
      <c r="W473" s="1"/>
    </row>
    <row r="474" spans="1:23" ht="12.4">
      <c r="A474" s="1">
        <v>473</v>
      </c>
      <c r="B474" s="1" t="s">
        <v>2578</v>
      </c>
      <c r="C474" s="1" t="s">
        <v>2059</v>
      </c>
      <c r="D474" s="1">
        <v>50.01</v>
      </c>
      <c r="E474" s="1">
        <v>1.61</v>
      </c>
      <c r="F474" s="1">
        <v>8.9600000000000009</v>
      </c>
      <c r="G474" s="1">
        <v>0</v>
      </c>
      <c r="H474" s="1">
        <v>0</v>
      </c>
      <c r="I474" s="2">
        <v>20.47</v>
      </c>
      <c r="J474" s="1">
        <v>0.53</v>
      </c>
      <c r="K474" s="2">
        <v>5.16</v>
      </c>
      <c r="L474" s="2">
        <v>9.92</v>
      </c>
      <c r="M474" s="1">
        <v>1.85</v>
      </c>
      <c r="N474" s="1">
        <v>0.35</v>
      </c>
      <c r="O474" s="1">
        <v>0.48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/>
      <c r="W474" s="1" t="s">
        <v>2579</v>
      </c>
    </row>
    <row r="475" spans="1:23" ht="12.4">
      <c r="A475" s="1">
        <v>474</v>
      </c>
      <c r="B475" s="1" t="s">
        <v>2578</v>
      </c>
      <c r="C475" s="1" t="s">
        <v>2151</v>
      </c>
      <c r="D475" s="1">
        <v>53.25</v>
      </c>
      <c r="E475" s="1">
        <v>0.2</v>
      </c>
      <c r="F475" s="1">
        <v>0.67</v>
      </c>
      <c r="G475" s="1">
        <v>0</v>
      </c>
      <c r="H475" s="1">
        <v>0</v>
      </c>
      <c r="I475" s="2">
        <v>18.2</v>
      </c>
      <c r="J475" s="1">
        <v>0.66</v>
      </c>
      <c r="K475" s="2">
        <v>22.57</v>
      </c>
      <c r="L475" s="2">
        <v>4.21</v>
      </c>
      <c r="M475" s="1">
        <v>0.06</v>
      </c>
      <c r="N475" s="1">
        <v>0.01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/>
      <c r="W475" s="1" t="s">
        <v>2580</v>
      </c>
    </row>
    <row r="476" spans="1:23" ht="12.4">
      <c r="A476" s="1">
        <v>475</v>
      </c>
      <c r="B476" s="1" t="s">
        <v>2581</v>
      </c>
      <c r="C476" s="1" t="s">
        <v>2059</v>
      </c>
      <c r="D476" s="1">
        <v>51.35</v>
      </c>
      <c r="E476" s="1">
        <v>0.99</v>
      </c>
      <c r="F476" s="1">
        <v>8.33</v>
      </c>
      <c r="G476" s="1">
        <v>0</v>
      </c>
      <c r="H476" s="1">
        <v>0</v>
      </c>
      <c r="I476" s="2">
        <v>18.05</v>
      </c>
      <c r="J476" s="1">
        <v>0.49</v>
      </c>
      <c r="K476" s="2">
        <v>7.27</v>
      </c>
      <c r="L476" s="2">
        <v>10.16</v>
      </c>
      <c r="M476" s="1">
        <v>1.71</v>
      </c>
      <c r="N476" s="1">
        <v>0.46</v>
      </c>
      <c r="O476" s="1">
        <v>0.62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/>
      <c r="W476" s="1" t="s">
        <v>2582</v>
      </c>
    </row>
    <row r="477" spans="1:23" ht="12.4">
      <c r="A477" s="1">
        <v>476</v>
      </c>
      <c r="B477" s="1" t="s">
        <v>2583</v>
      </c>
      <c r="C477" s="1" t="s">
        <v>1496</v>
      </c>
      <c r="D477" s="1">
        <v>57.7</v>
      </c>
      <c r="E477" s="1">
        <v>0.6</v>
      </c>
      <c r="F477" s="1">
        <v>11.5</v>
      </c>
      <c r="G477" s="1">
        <v>0</v>
      </c>
      <c r="H477" s="1">
        <v>0</v>
      </c>
      <c r="I477" s="2">
        <v>16.600000000000001</v>
      </c>
      <c r="J477" s="1">
        <v>0.34</v>
      </c>
      <c r="K477" s="2">
        <v>1.8</v>
      </c>
      <c r="L477" s="2">
        <v>6.9</v>
      </c>
      <c r="M477" s="1">
        <v>2.5</v>
      </c>
      <c r="N477" s="1">
        <v>1.17</v>
      </c>
      <c r="O477" s="1">
        <v>0.54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 t="s">
        <v>2584</v>
      </c>
      <c r="W477" s="1" t="s">
        <v>2585</v>
      </c>
    </row>
    <row r="478" spans="1:23" ht="12.4">
      <c r="A478" s="1">
        <v>477</v>
      </c>
      <c r="B478" s="1" t="s">
        <v>2586</v>
      </c>
      <c r="C478" s="1" t="s">
        <v>1496</v>
      </c>
      <c r="D478" s="1">
        <v>62</v>
      </c>
      <c r="E478" s="1">
        <v>0.7</v>
      </c>
      <c r="F478" s="1">
        <v>10.6</v>
      </c>
      <c r="G478" s="1">
        <v>0</v>
      </c>
      <c r="H478" s="1">
        <v>0</v>
      </c>
      <c r="I478" s="2">
        <v>12</v>
      </c>
      <c r="J478" s="1">
        <v>0.4</v>
      </c>
      <c r="K478" s="2">
        <v>2</v>
      </c>
      <c r="L478" s="2">
        <v>0</v>
      </c>
      <c r="M478" s="1">
        <v>2.6</v>
      </c>
      <c r="N478" s="1">
        <v>0.7</v>
      </c>
      <c r="O478" s="1">
        <v>0.5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 t="s">
        <v>2584</v>
      </c>
      <c r="W478" s="1" t="s">
        <v>2587</v>
      </c>
    </row>
    <row r="479" spans="1:23" ht="12.4">
      <c r="A479" s="1">
        <v>478</v>
      </c>
      <c r="B479" s="1" t="s">
        <v>2588</v>
      </c>
      <c r="C479" s="1" t="s">
        <v>2589</v>
      </c>
      <c r="D479" s="1">
        <v>45</v>
      </c>
      <c r="E479" s="1">
        <v>1.58</v>
      </c>
      <c r="F479" s="1">
        <v>38</v>
      </c>
      <c r="G479" s="1">
        <v>0</v>
      </c>
      <c r="H479" s="1">
        <v>0.26</v>
      </c>
      <c r="I479" s="2">
        <v>0.02</v>
      </c>
      <c r="J479" s="1">
        <v>0</v>
      </c>
      <c r="K479" s="2">
        <v>0.02</v>
      </c>
      <c r="L479" s="2">
        <v>0.02</v>
      </c>
      <c r="M479" s="1">
        <v>0.01</v>
      </c>
      <c r="N479" s="1">
        <v>0.04</v>
      </c>
      <c r="O479" s="1">
        <v>0.05</v>
      </c>
      <c r="P479" s="1">
        <v>14.31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 t="s">
        <v>2590</v>
      </c>
      <c r="W479" s="1" t="s">
        <v>2591</v>
      </c>
    </row>
    <row r="480" spans="1:23" ht="12.4">
      <c r="A480" s="1">
        <v>479</v>
      </c>
      <c r="B480" s="1" t="s">
        <v>2592</v>
      </c>
      <c r="C480" s="1" t="s">
        <v>2589</v>
      </c>
      <c r="D480" s="1">
        <v>44.2</v>
      </c>
      <c r="E480" s="1">
        <v>2.17</v>
      </c>
      <c r="F480" s="1">
        <v>37.200000000000003</v>
      </c>
      <c r="G480" s="1">
        <v>0</v>
      </c>
      <c r="H480" s="1">
        <v>1.1399999999999999</v>
      </c>
      <c r="I480" s="2">
        <v>0.05</v>
      </c>
      <c r="J480" s="1">
        <v>0</v>
      </c>
      <c r="K480" s="2">
        <v>0.04</v>
      </c>
      <c r="L480" s="2">
        <v>0.04</v>
      </c>
      <c r="M480" s="1">
        <v>0.02</v>
      </c>
      <c r="N480" s="1">
        <v>0.02</v>
      </c>
      <c r="O480" s="1">
        <v>0.06</v>
      </c>
      <c r="P480" s="1">
        <v>14.24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 t="s">
        <v>2593</v>
      </c>
      <c r="W480" s="1" t="s">
        <v>2594</v>
      </c>
    </row>
    <row r="481" spans="1:23" ht="12.4">
      <c r="A481" s="1">
        <v>480</v>
      </c>
      <c r="B481" s="1" t="s">
        <v>2595</v>
      </c>
      <c r="C481" s="1" t="s">
        <v>2059</v>
      </c>
      <c r="D481" s="1">
        <v>51.9</v>
      </c>
      <c r="E481" s="1">
        <v>1.69</v>
      </c>
      <c r="F481" s="1">
        <v>9.08</v>
      </c>
      <c r="G481" s="1">
        <v>0</v>
      </c>
      <c r="H481" s="1">
        <v>0</v>
      </c>
      <c r="I481" s="2">
        <v>19.14</v>
      </c>
      <c r="J481" s="1">
        <v>0.48</v>
      </c>
      <c r="K481" s="2">
        <v>4.96</v>
      </c>
      <c r="L481" s="2">
        <v>9.41</v>
      </c>
      <c r="M481" s="1">
        <v>2.11</v>
      </c>
      <c r="N481" s="1">
        <v>0.44</v>
      </c>
      <c r="O481" s="1">
        <v>0.51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/>
      <c r="W481" s="1" t="s">
        <v>2596</v>
      </c>
    </row>
    <row r="482" spans="1:23" ht="12.4">
      <c r="A482" s="1">
        <v>481</v>
      </c>
      <c r="B482" s="1" t="s">
        <v>2597</v>
      </c>
      <c r="C482" s="1" t="s">
        <v>2059</v>
      </c>
      <c r="D482" s="1">
        <v>49</v>
      </c>
      <c r="E482" s="1">
        <v>1.4</v>
      </c>
      <c r="F482" s="1">
        <v>10.199999999999999</v>
      </c>
      <c r="G482" s="1">
        <v>0</v>
      </c>
      <c r="H482" s="1">
        <v>0</v>
      </c>
      <c r="I482" s="2">
        <v>22.8</v>
      </c>
      <c r="J482" s="1">
        <v>0.4</v>
      </c>
      <c r="K482" s="2">
        <v>3</v>
      </c>
      <c r="L482" s="2">
        <v>9.4</v>
      </c>
      <c r="M482" s="1">
        <v>1.8</v>
      </c>
      <c r="N482" s="1">
        <v>0.5</v>
      </c>
      <c r="O482" s="1">
        <v>0.9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/>
      <c r="W482" s="1" t="s">
        <v>2598</v>
      </c>
    </row>
    <row r="483" spans="1:23" ht="12.4">
      <c r="A483" s="1">
        <v>482</v>
      </c>
      <c r="B483" s="1" t="s">
        <v>2599</v>
      </c>
      <c r="C483" s="1" t="s">
        <v>2059</v>
      </c>
      <c r="D483" s="1">
        <v>50.7</v>
      </c>
      <c r="E483" s="1">
        <v>2.2999999999999998</v>
      </c>
      <c r="F483" s="1">
        <v>9.8000000000000007</v>
      </c>
      <c r="G483" s="1">
        <v>0</v>
      </c>
      <c r="H483" s="1">
        <v>0</v>
      </c>
      <c r="I483" s="2">
        <v>21.8</v>
      </c>
      <c r="J483" s="1">
        <v>0.3</v>
      </c>
      <c r="K483" s="2">
        <v>1.8</v>
      </c>
      <c r="L483" s="2">
        <v>8.1999999999999993</v>
      </c>
      <c r="M483" s="1">
        <v>2.2999999999999998</v>
      </c>
      <c r="N483" s="1">
        <v>1</v>
      </c>
      <c r="O483" s="1">
        <v>1.1000000000000001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50.7</v>
      </c>
      <c r="W483" s="1" t="s">
        <v>2600</v>
      </c>
    </row>
    <row r="484" spans="1:23" ht="12.4">
      <c r="A484" s="1">
        <v>483</v>
      </c>
      <c r="B484" s="1" t="s">
        <v>2601</v>
      </c>
      <c r="C484" s="1" t="s">
        <v>2059</v>
      </c>
      <c r="D484" s="1">
        <v>50.3</v>
      </c>
      <c r="E484" s="1">
        <v>1.7</v>
      </c>
      <c r="F484" s="1">
        <v>10.3</v>
      </c>
      <c r="G484" s="1">
        <v>0</v>
      </c>
      <c r="H484" s="1">
        <v>0</v>
      </c>
      <c r="I484" s="2">
        <v>21.7</v>
      </c>
      <c r="J484" s="1">
        <v>0.4</v>
      </c>
      <c r="K484" s="2">
        <v>2.4</v>
      </c>
      <c r="L484" s="2">
        <v>8.8000000000000007</v>
      </c>
      <c r="M484" s="1">
        <v>2.1</v>
      </c>
      <c r="N484" s="1">
        <v>0.8</v>
      </c>
      <c r="O484" s="1">
        <v>0.8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/>
      <c r="W484" s="1" t="s">
        <v>2602</v>
      </c>
    </row>
    <row r="485" spans="1:23" ht="12.4">
      <c r="A485" s="1">
        <v>484</v>
      </c>
      <c r="B485" s="1" t="s">
        <v>2603</v>
      </c>
      <c r="C485" s="1" t="s">
        <v>2059</v>
      </c>
      <c r="D485" s="1">
        <v>63.7</v>
      </c>
      <c r="E485" s="1">
        <v>1.33</v>
      </c>
      <c r="F485" s="1">
        <v>11.8</v>
      </c>
      <c r="G485" s="1">
        <v>0</v>
      </c>
      <c r="H485" s="1">
        <v>0</v>
      </c>
      <c r="I485" s="2">
        <v>11.14</v>
      </c>
      <c r="J485" s="1">
        <v>0.22</v>
      </c>
      <c r="K485" s="2">
        <v>0.98</v>
      </c>
      <c r="L485" s="2">
        <v>5.03</v>
      </c>
      <c r="M485" s="1">
        <v>2.2799999999999998</v>
      </c>
      <c r="N485" s="1">
        <v>1.71</v>
      </c>
      <c r="O485" s="1">
        <v>0.92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/>
      <c r="W485" s="1" t="s">
        <v>2604</v>
      </c>
    </row>
    <row r="486" spans="1:23" ht="12.4">
      <c r="A486" s="1">
        <v>485</v>
      </c>
      <c r="B486" s="1" t="s">
        <v>2605</v>
      </c>
      <c r="C486" s="1" t="s">
        <v>2059</v>
      </c>
      <c r="D486" s="1">
        <v>52.04</v>
      </c>
      <c r="E486" s="1">
        <v>1.71</v>
      </c>
      <c r="F486" s="1">
        <v>9.61</v>
      </c>
      <c r="G486" s="1">
        <v>0</v>
      </c>
      <c r="H486" s="1">
        <v>0</v>
      </c>
      <c r="I486" s="2">
        <v>18.79</v>
      </c>
      <c r="J486" s="1">
        <v>0.46</v>
      </c>
      <c r="K486" s="2">
        <v>4.46</v>
      </c>
      <c r="L486" s="2">
        <v>9.57</v>
      </c>
      <c r="M486" s="1">
        <v>2.19</v>
      </c>
      <c r="N486" s="1">
        <v>0.44</v>
      </c>
      <c r="O486" s="1">
        <v>0.5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/>
      <c r="W486" s="1" t="s">
        <v>2606</v>
      </c>
    </row>
    <row r="487" spans="1:23" ht="12.4">
      <c r="A487" s="1">
        <v>486</v>
      </c>
      <c r="B487" s="1" t="s">
        <v>2603</v>
      </c>
      <c r="C487" s="1" t="s">
        <v>2151</v>
      </c>
      <c r="D487" s="1">
        <v>49.46</v>
      </c>
      <c r="E487" s="1">
        <v>0.31</v>
      </c>
      <c r="F487" s="1">
        <v>0.59</v>
      </c>
      <c r="G487" s="1">
        <v>0</v>
      </c>
      <c r="H487" s="1">
        <v>0</v>
      </c>
      <c r="I487" s="2">
        <v>29.75</v>
      </c>
      <c r="J487" s="1">
        <v>0.89</v>
      </c>
      <c r="K487" s="2">
        <v>13.41</v>
      </c>
      <c r="L487" s="2">
        <v>4.9400000000000004</v>
      </c>
      <c r="M487" s="1">
        <v>0.04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/>
      <c r="W487" s="1" t="s">
        <v>2607</v>
      </c>
    </row>
    <row r="488" spans="1:23" ht="12.4">
      <c r="A488" s="1">
        <v>487</v>
      </c>
      <c r="B488" s="1" t="s">
        <v>2603</v>
      </c>
      <c r="C488" s="1" t="s">
        <v>2159</v>
      </c>
      <c r="D488" s="1">
        <v>49.89</v>
      </c>
      <c r="E488" s="1">
        <v>0.7</v>
      </c>
      <c r="F488" s="1">
        <v>1.53</v>
      </c>
      <c r="G488" s="1">
        <v>0</v>
      </c>
      <c r="H488" s="1">
        <v>0</v>
      </c>
      <c r="I488" s="2">
        <v>20.48</v>
      </c>
      <c r="J488" s="1">
        <v>0.71</v>
      </c>
      <c r="K488" s="2">
        <v>11.89</v>
      </c>
      <c r="L488" s="2">
        <v>14.16</v>
      </c>
      <c r="M488" s="1">
        <v>0.15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/>
      <c r="W488" s="1" t="s">
        <v>2608</v>
      </c>
    </row>
    <row r="489" spans="1:23" ht="12.4">
      <c r="A489" s="1">
        <v>488</v>
      </c>
      <c r="B489" s="1" t="s">
        <v>2603</v>
      </c>
      <c r="C489" s="1" t="s">
        <v>1551</v>
      </c>
      <c r="D489" s="1">
        <v>55.27</v>
      </c>
      <c r="E489" s="1">
        <v>0</v>
      </c>
      <c r="F489" s="1">
        <v>26.69</v>
      </c>
      <c r="G489" s="1">
        <v>0</v>
      </c>
      <c r="H489" s="1">
        <v>0</v>
      </c>
      <c r="I489" s="2">
        <v>1.32</v>
      </c>
      <c r="J489" s="1">
        <v>0</v>
      </c>
      <c r="K489" s="2">
        <v>0</v>
      </c>
      <c r="L489" s="2">
        <v>10.36</v>
      </c>
      <c r="M489" s="1">
        <v>4.8600000000000003</v>
      </c>
      <c r="N489" s="1">
        <v>0.28000000000000003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/>
      <c r="W489" s="1" t="s">
        <v>2609</v>
      </c>
    </row>
    <row r="490" spans="1:23" ht="12.4">
      <c r="A490" s="1">
        <v>489</v>
      </c>
      <c r="B490" s="1" t="s">
        <v>2603</v>
      </c>
      <c r="C490" s="1" t="s">
        <v>1548</v>
      </c>
      <c r="D490" s="1">
        <v>0</v>
      </c>
      <c r="E490" s="1">
        <v>19.95</v>
      </c>
      <c r="F490" s="1">
        <v>1.84</v>
      </c>
      <c r="G490" s="1">
        <v>0</v>
      </c>
      <c r="H490" s="1">
        <v>0</v>
      </c>
      <c r="I490" s="2">
        <v>69.900000000000006</v>
      </c>
      <c r="J490" s="1">
        <v>0.52</v>
      </c>
      <c r="K490" s="2">
        <v>1.42</v>
      </c>
      <c r="L490" s="2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/>
      <c r="W490" s="1" t="s">
        <v>2610</v>
      </c>
    </row>
    <row r="491" spans="1:23" ht="12.4">
      <c r="A491" s="1">
        <v>490</v>
      </c>
      <c r="B491" s="1" t="s">
        <v>2605</v>
      </c>
      <c r="C491" s="1" t="s">
        <v>2151</v>
      </c>
      <c r="D491" s="1">
        <v>52.76</v>
      </c>
      <c r="E491" s="1">
        <v>0.22</v>
      </c>
      <c r="F491" s="1">
        <v>0.67</v>
      </c>
      <c r="G491" s="1">
        <v>0</v>
      </c>
      <c r="H491" s="1">
        <v>0</v>
      </c>
      <c r="I491" s="2">
        <v>19.510000000000002</v>
      </c>
      <c r="J491" s="1">
        <v>0.78</v>
      </c>
      <c r="K491" s="2">
        <v>20.64</v>
      </c>
      <c r="L491" s="2">
        <v>5.28</v>
      </c>
      <c r="M491" s="1">
        <v>0.06</v>
      </c>
      <c r="N491" s="1">
        <v>0.01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/>
      <c r="W491" s="1" t="s">
        <v>2611</v>
      </c>
    </row>
    <row r="492" spans="1:23" ht="12.4">
      <c r="A492" s="1">
        <v>491</v>
      </c>
      <c r="B492" s="1" t="s">
        <v>2612</v>
      </c>
      <c r="C492" s="1" t="s">
        <v>2059</v>
      </c>
      <c r="D492" s="1">
        <v>53.19</v>
      </c>
      <c r="E492" s="1">
        <v>2.29</v>
      </c>
      <c r="F492" s="1">
        <v>10.130000000000001</v>
      </c>
      <c r="G492" s="1">
        <v>0</v>
      </c>
      <c r="H492" s="1">
        <v>0</v>
      </c>
      <c r="I492" s="2">
        <v>18.93</v>
      </c>
      <c r="J492" s="1">
        <v>0.35</v>
      </c>
      <c r="K492" s="2">
        <v>1.97</v>
      </c>
      <c r="L492" s="2">
        <v>7.84</v>
      </c>
      <c r="M492" s="1">
        <v>2.6</v>
      </c>
      <c r="N492" s="1">
        <v>0.89</v>
      </c>
      <c r="O492" s="1">
        <v>1.31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/>
      <c r="W492" s="1" t="s">
        <v>2613</v>
      </c>
    </row>
    <row r="493" spans="1:23" ht="12.4">
      <c r="A493" s="1">
        <v>492</v>
      </c>
      <c r="B493" s="1" t="s">
        <v>2612</v>
      </c>
      <c r="C493" s="1" t="s">
        <v>2151</v>
      </c>
      <c r="D493" s="1">
        <v>49.7</v>
      </c>
      <c r="E493" s="1">
        <v>0.38</v>
      </c>
      <c r="F493" s="1">
        <v>0.68</v>
      </c>
      <c r="G493" s="1">
        <v>0</v>
      </c>
      <c r="H493" s="1">
        <v>0</v>
      </c>
      <c r="I493" s="2">
        <v>28.79</v>
      </c>
      <c r="J493" s="1">
        <v>0.97</v>
      </c>
      <c r="K493" s="2">
        <v>13.44</v>
      </c>
      <c r="L493" s="2">
        <v>5.27</v>
      </c>
      <c r="M493" s="1">
        <v>7.0000000000000007E-2</v>
      </c>
      <c r="N493" s="1">
        <v>0.02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/>
      <c r="W493" s="1" t="s">
        <v>2614</v>
      </c>
    </row>
    <row r="494" spans="1:23" ht="12.4">
      <c r="A494" s="1">
        <v>493</v>
      </c>
      <c r="B494" s="1" t="s">
        <v>2612</v>
      </c>
      <c r="C494" s="1" t="s">
        <v>2159</v>
      </c>
      <c r="D494" s="1">
        <v>49.85</v>
      </c>
      <c r="E494" s="1">
        <v>0.49</v>
      </c>
      <c r="F494" s="1">
        <v>2.12</v>
      </c>
      <c r="G494" s="1">
        <v>0</v>
      </c>
      <c r="H494" s="1">
        <v>0</v>
      </c>
      <c r="I494" s="2">
        <v>16</v>
      </c>
      <c r="J494" s="1">
        <v>0.67</v>
      </c>
      <c r="K494" s="2">
        <v>12.65</v>
      </c>
      <c r="L494" s="2">
        <v>17.149999999999999</v>
      </c>
      <c r="M494" s="1">
        <v>0.18</v>
      </c>
      <c r="N494" s="1">
        <v>0.01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/>
      <c r="W494" s="1" t="s">
        <v>2615</v>
      </c>
    </row>
    <row r="495" spans="1:23" ht="12.4">
      <c r="A495" s="1">
        <v>494</v>
      </c>
      <c r="B495" s="1" t="s">
        <v>2612</v>
      </c>
      <c r="C495" s="1" t="s">
        <v>1551</v>
      </c>
      <c r="D495" s="1">
        <v>55</v>
      </c>
      <c r="E495" s="1">
        <v>0</v>
      </c>
      <c r="F495" s="1">
        <v>27.76</v>
      </c>
      <c r="G495" s="1">
        <v>0</v>
      </c>
      <c r="H495" s="1">
        <v>0</v>
      </c>
      <c r="I495" s="2">
        <v>1.31</v>
      </c>
      <c r="J495" s="1">
        <v>0</v>
      </c>
      <c r="K495" s="2">
        <v>0</v>
      </c>
      <c r="L495" s="2">
        <v>11.3</v>
      </c>
      <c r="M495" s="1">
        <v>4.57</v>
      </c>
      <c r="N495" s="1">
        <v>0.2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/>
      <c r="W495" s="1" t="s">
        <v>2616</v>
      </c>
    </row>
    <row r="496" spans="1:23" ht="12.4">
      <c r="A496" s="1">
        <v>495</v>
      </c>
      <c r="B496" s="1" t="s">
        <v>2612</v>
      </c>
      <c r="C496" s="1" t="s">
        <v>1548</v>
      </c>
      <c r="D496" s="1">
        <v>0</v>
      </c>
      <c r="E496" s="1">
        <v>18.98</v>
      </c>
      <c r="F496" s="1">
        <v>2.13</v>
      </c>
      <c r="G496" s="1">
        <v>0</v>
      </c>
      <c r="H496" s="1">
        <v>0</v>
      </c>
      <c r="I496" s="2">
        <v>71.92</v>
      </c>
      <c r="J496" s="1">
        <v>0.57999999999999996</v>
      </c>
      <c r="K496" s="2">
        <v>1.57</v>
      </c>
      <c r="L496" s="2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/>
      <c r="W496" s="1" t="s">
        <v>2617</v>
      </c>
    </row>
    <row r="497" spans="1:23" ht="12.4">
      <c r="A497" s="1">
        <v>496</v>
      </c>
      <c r="B497" s="1" t="s">
        <v>2618</v>
      </c>
      <c r="C497" s="1" t="s">
        <v>1496</v>
      </c>
      <c r="D497" s="1">
        <v>57</v>
      </c>
      <c r="E497" s="1">
        <v>0</v>
      </c>
      <c r="F497" s="1">
        <v>0</v>
      </c>
      <c r="G497" s="1">
        <v>0</v>
      </c>
      <c r="H497" s="1">
        <v>0</v>
      </c>
      <c r="I497" s="2">
        <v>0</v>
      </c>
      <c r="J497" s="1">
        <v>0</v>
      </c>
      <c r="K497" s="2">
        <v>0</v>
      </c>
      <c r="L497" s="2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/>
      <c r="W497" s="1" t="s">
        <v>2619</v>
      </c>
    </row>
    <row r="498" spans="1:23" ht="12.4">
      <c r="A498" s="1">
        <v>497</v>
      </c>
      <c r="B498" s="1" t="s">
        <v>2620</v>
      </c>
      <c r="C498" s="1" t="s">
        <v>1496</v>
      </c>
      <c r="D498" s="1">
        <v>57</v>
      </c>
      <c r="E498" s="1">
        <v>0</v>
      </c>
      <c r="F498" s="1">
        <v>0</v>
      </c>
      <c r="G498" s="1">
        <v>0</v>
      </c>
      <c r="H498" s="1">
        <v>0</v>
      </c>
      <c r="I498" s="2">
        <v>0</v>
      </c>
      <c r="J498" s="1">
        <v>0</v>
      </c>
      <c r="K498" s="2">
        <v>0</v>
      </c>
      <c r="L498" s="2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/>
      <c r="W498" s="1" t="s">
        <v>2621</v>
      </c>
    </row>
    <row r="499" spans="1:23" ht="12.4">
      <c r="A499" s="1">
        <v>498</v>
      </c>
      <c r="B499" s="1" t="s">
        <v>2622</v>
      </c>
      <c r="C499" s="1" t="s">
        <v>1496</v>
      </c>
      <c r="D499" s="1">
        <v>57</v>
      </c>
      <c r="E499" s="1">
        <v>0</v>
      </c>
      <c r="F499" s="1">
        <v>0</v>
      </c>
      <c r="G499" s="1">
        <v>0</v>
      </c>
      <c r="H499" s="1">
        <v>0</v>
      </c>
      <c r="I499" s="2">
        <v>0</v>
      </c>
      <c r="J499" s="1">
        <v>0</v>
      </c>
      <c r="K499" s="2">
        <v>0</v>
      </c>
      <c r="L499" s="2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/>
      <c r="W499" s="1" t="s">
        <v>2623</v>
      </c>
    </row>
    <row r="500" spans="1:23" ht="12.4">
      <c r="A500" s="1">
        <v>499</v>
      </c>
      <c r="B500" s="1" t="s">
        <v>2624</v>
      </c>
      <c r="C500" s="1" t="s">
        <v>1496</v>
      </c>
      <c r="D500" s="1">
        <v>57</v>
      </c>
      <c r="E500" s="1">
        <v>0</v>
      </c>
      <c r="F500" s="1">
        <v>0</v>
      </c>
      <c r="G500" s="1">
        <v>0</v>
      </c>
      <c r="H500" s="1">
        <v>0</v>
      </c>
      <c r="I500" s="2">
        <v>0</v>
      </c>
      <c r="J500" s="1">
        <v>0</v>
      </c>
      <c r="K500" s="2">
        <v>0</v>
      </c>
      <c r="L500" s="2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/>
      <c r="W500" s="1" t="s">
        <v>2625</v>
      </c>
    </row>
    <row r="501" spans="1:23" ht="12.4">
      <c r="A501" s="1">
        <v>500</v>
      </c>
      <c r="B501" s="1" t="s">
        <v>2626</v>
      </c>
      <c r="C501" s="1" t="s">
        <v>2538</v>
      </c>
      <c r="D501" s="1">
        <v>0.02</v>
      </c>
      <c r="E501" s="1">
        <v>0.05</v>
      </c>
      <c r="F501" s="1">
        <v>6.99</v>
      </c>
      <c r="G501" s="1">
        <v>63.1</v>
      </c>
      <c r="H501" s="1">
        <v>4.66</v>
      </c>
      <c r="I501" s="2">
        <v>11.94</v>
      </c>
      <c r="J501" s="1">
        <v>0.31</v>
      </c>
      <c r="K501" s="2">
        <v>12.16</v>
      </c>
      <c r="L501" s="2">
        <v>0.03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/>
      <c r="W501" s="1" t="s">
        <v>2627</v>
      </c>
    </row>
    <row r="502" spans="1:23" ht="12.4">
      <c r="A502" s="1">
        <v>501</v>
      </c>
      <c r="B502" s="1" t="s">
        <v>2628</v>
      </c>
      <c r="C502" s="1" t="s">
        <v>2538</v>
      </c>
      <c r="D502" s="1">
        <v>0.01</v>
      </c>
      <c r="E502" s="1">
        <v>0.06</v>
      </c>
      <c r="F502" s="1">
        <v>30.05</v>
      </c>
      <c r="G502" s="1">
        <v>35.799999999999997</v>
      </c>
      <c r="H502" s="1">
        <v>3.28</v>
      </c>
      <c r="I502" s="2">
        <v>10.46</v>
      </c>
      <c r="J502" s="1">
        <v>0.2</v>
      </c>
      <c r="K502" s="2">
        <v>17.420000000000002</v>
      </c>
      <c r="L502" s="2">
        <v>0.01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/>
      <c r="W502" s="1" t="s">
        <v>2629</v>
      </c>
    </row>
    <row r="503" spans="1:23" ht="12.4">
      <c r="A503" s="1">
        <v>502</v>
      </c>
      <c r="B503" s="1" t="s">
        <v>2630</v>
      </c>
      <c r="C503" s="1" t="s">
        <v>2538</v>
      </c>
      <c r="D503" s="1">
        <v>0.02</v>
      </c>
      <c r="E503" s="1">
        <v>0.36</v>
      </c>
      <c r="F503" s="1">
        <v>17.07</v>
      </c>
      <c r="G503" s="1">
        <v>51.28</v>
      </c>
      <c r="H503" s="1">
        <v>2.8</v>
      </c>
      <c r="I503" s="2">
        <v>13.23</v>
      </c>
      <c r="J503" s="1">
        <v>0.28999999999999998</v>
      </c>
      <c r="K503" s="2">
        <v>13.44</v>
      </c>
      <c r="L503" s="2">
        <v>0.01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/>
      <c r="W503" s="1" t="s">
        <v>2631</v>
      </c>
    </row>
    <row r="504" spans="1:23" ht="12.4">
      <c r="A504" s="1">
        <v>503</v>
      </c>
      <c r="B504" s="1" t="s">
        <v>2632</v>
      </c>
      <c r="C504" s="1" t="s">
        <v>2538</v>
      </c>
      <c r="D504" s="1">
        <v>0.06</v>
      </c>
      <c r="E504" s="1">
        <v>0.14000000000000001</v>
      </c>
      <c r="F504" s="1">
        <v>9.89</v>
      </c>
      <c r="G504" s="1">
        <v>56.66</v>
      </c>
      <c r="H504" s="1">
        <v>6.07</v>
      </c>
      <c r="I504" s="2">
        <v>15.55</v>
      </c>
      <c r="J504" s="1">
        <v>0.62</v>
      </c>
      <c r="K504" s="2">
        <v>10.26</v>
      </c>
      <c r="L504" s="2">
        <v>0.01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/>
      <c r="W504" s="1" t="s">
        <v>2633</v>
      </c>
    </row>
    <row r="505" spans="1:23" ht="12.4">
      <c r="A505" s="1">
        <v>504</v>
      </c>
      <c r="B505" s="1" t="s">
        <v>2634</v>
      </c>
      <c r="C505" s="1" t="s">
        <v>2538</v>
      </c>
      <c r="D505" s="1">
        <v>0.01</v>
      </c>
      <c r="E505" s="1">
        <v>0.13</v>
      </c>
      <c r="F505" s="1">
        <v>5.49</v>
      </c>
      <c r="G505" s="1">
        <v>63.99</v>
      </c>
      <c r="H505" s="1">
        <v>3.32</v>
      </c>
      <c r="I505" s="2">
        <v>13.63</v>
      </c>
      <c r="J505" s="1">
        <v>0.31</v>
      </c>
      <c r="K505" s="2">
        <v>12.4</v>
      </c>
      <c r="L505" s="2">
        <v>0.01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/>
      <c r="W505" s="1" t="s">
        <v>2635</v>
      </c>
    </row>
    <row r="506" spans="1:23" ht="12.4">
      <c r="A506" s="1">
        <v>505</v>
      </c>
      <c r="B506" s="1" t="s">
        <v>2636</v>
      </c>
      <c r="C506" s="1" t="s">
        <v>2538</v>
      </c>
      <c r="D506" s="1">
        <v>0.01</v>
      </c>
      <c r="E506" s="1">
        <v>0.28000000000000003</v>
      </c>
      <c r="F506" s="1">
        <v>16.78</v>
      </c>
      <c r="G506" s="1">
        <v>52.06</v>
      </c>
      <c r="H506" s="1">
        <v>1.42</v>
      </c>
      <c r="I506" s="2">
        <v>12.94</v>
      </c>
      <c r="J506" s="1">
        <v>0.25</v>
      </c>
      <c r="K506" s="2">
        <v>14.35</v>
      </c>
      <c r="L506" s="2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/>
      <c r="W506" s="1" t="s">
        <v>2637</v>
      </c>
    </row>
    <row r="507" spans="1:23" ht="12.4">
      <c r="A507" s="1">
        <v>506</v>
      </c>
      <c r="B507" s="1" t="s">
        <v>2638</v>
      </c>
      <c r="C507" s="1" t="s">
        <v>2538</v>
      </c>
      <c r="D507" s="1">
        <v>0.01</v>
      </c>
      <c r="E507" s="1">
        <v>0.32</v>
      </c>
      <c r="F507" s="1">
        <v>8.51</v>
      </c>
      <c r="G507" s="1">
        <v>58.84</v>
      </c>
      <c r="H507" s="1">
        <v>3.47</v>
      </c>
      <c r="I507" s="2">
        <v>14.24</v>
      </c>
      <c r="J507" s="1">
        <v>0.31</v>
      </c>
      <c r="K507" s="2">
        <v>12.36</v>
      </c>
      <c r="L507" s="2">
        <v>0.01</v>
      </c>
      <c r="M507" s="1">
        <v>0.01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/>
      <c r="W507" s="1" t="s">
        <v>2639</v>
      </c>
    </row>
    <row r="508" spans="1:23" ht="12.4">
      <c r="A508" s="1">
        <v>507</v>
      </c>
      <c r="B508" s="1" t="s">
        <v>2640</v>
      </c>
      <c r="C508" s="1" t="s">
        <v>2641</v>
      </c>
      <c r="D508" s="1">
        <v>0.38</v>
      </c>
      <c r="E508" s="1">
        <v>0.14000000000000001</v>
      </c>
      <c r="F508" s="1">
        <v>70.33</v>
      </c>
      <c r="G508" s="1">
        <v>0.41</v>
      </c>
      <c r="H508" s="1">
        <v>0</v>
      </c>
      <c r="I508" s="2">
        <v>0.52</v>
      </c>
      <c r="J508" s="1">
        <v>0</v>
      </c>
      <c r="K508" s="2">
        <v>26.72</v>
      </c>
      <c r="L508" s="2">
        <v>0.02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/>
      <c r="W508" s="1" t="s">
        <v>2642</v>
      </c>
    </row>
    <row r="509" spans="1:23" ht="12.4">
      <c r="A509" s="1">
        <v>508</v>
      </c>
      <c r="B509" s="1" t="s">
        <v>2643</v>
      </c>
      <c r="C509" s="1" t="s">
        <v>2644</v>
      </c>
      <c r="D509" s="1">
        <v>0.06</v>
      </c>
      <c r="E509" s="1">
        <v>0.18</v>
      </c>
      <c r="F509" s="1">
        <v>1.54</v>
      </c>
      <c r="G509" s="1">
        <v>0.05</v>
      </c>
      <c r="H509" s="1">
        <v>70.5</v>
      </c>
      <c r="I509" s="2">
        <v>0</v>
      </c>
      <c r="J509" s="1">
        <v>4.68</v>
      </c>
      <c r="K509" s="2">
        <v>0.35</v>
      </c>
      <c r="L509" s="2">
        <v>0.02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/>
      <c r="W509" s="1" t="s">
        <v>2645</v>
      </c>
    </row>
    <row r="510" spans="1:23" ht="12.4">
      <c r="A510" s="1">
        <v>509</v>
      </c>
      <c r="B510" s="1" t="s">
        <v>2646</v>
      </c>
      <c r="C510" s="1" t="s">
        <v>2647</v>
      </c>
      <c r="D510" s="1">
        <v>0.13</v>
      </c>
      <c r="E510" s="1">
        <v>0.57999999999999996</v>
      </c>
      <c r="F510" s="1">
        <v>61.82</v>
      </c>
      <c r="G510" s="1">
        <v>0.15</v>
      </c>
      <c r="H510" s="1">
        <v>4.4000000000000004</v>
      </c>
      <c r="I510" s="2">
        <v>14.04</v>
      </c>
      <c r="J510" s="1">
        <v>0.09</v>
      </c>
      <c r="K510" s="2">
        <v>18.559999999999999</v>
      </c>
      <c r="L510" s="2">
        <v>0</v>
      </c>
      <c r="M510" s="1">
        <v>0.01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/>
      <c r="W510" s="1" t="s">
        <v>2648</v>
      </c>
    </row>
    <row r="511" spans="1:23" ht="12.4">
      <c r="A511" s="1">
        <v>510</v>
      </c>
      <c r="B511" s="1" t="s">
        <v>2649</v>
      </c>
      <c r="C511" s="1" t="s">
        <v>2647</v>
      </c>
      <c r="D511" s="1">
        <v>0.01</v>
      </c>
      <c r="E511" s="1">
        <v>0.21</v>
      </c>
      <c r="F511" s="1">
        <v>65.55</v>
      </c>
      <c r="G511" s="1">
        <v>0</v>
      </c>
      <c r="H511" s="1">
        <v>3.82</v>
      </c>
      <c r="I511" s="2">
        <v>3.17</v>
      </c>
      <c r="J511" s="1">
        <v>0.14000000000000001</v>
      </c>
      <c r="K511" s="2">
        <v>25.74</v>
      </c>
      <c r="L511" s="2">
        <v>0</v>
      </c>
      <c r="M511" s="1">
        <v>0.01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/>
      <c r="W511" s="1" t="s">
        <v>2650</v>
      </c>
    </row>
    <row r="512" spans="1:23" ht="12.4">
      <c r="A512" s="1">
        <v>511</v>
      </c>
      <c r="B512" s="1" t="s">
        <v>2651</v>
      </c>
      <c r="C512" s="1" t="s">
        <v>2641</v>
      </c>
      <c r="D512" s="1">
        <v>0.01</v>
      </c>
      <c r="E512" s="1">
        <v>0</v>
      </c>
      <c r="F512" s="1">
        <v>69.22</v>
      </c>
      <c r="G512" s="1">
        <v>0</v>
      </c>
      <c r="H512" s="1">
        <v>0</v>
      </c>
      <c r="I512" s="2">
        <v>2.04</v>
      </c>
      <c r="J512" s="1">
        <v>0.17</v>
      </c>
      <c r="K512" s="2">
        <v>25.77</v>
      </c>
      <c r="L512" s="2">
        <v>0.01</v>
      </c>
      <c r="M512" s="1">
        <v>0.04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/>
      <c r="W512" s="1" t="s">
        <v>2652</v>
      </c>
    </row>
    <row r="513" spans="1:23" ht="12.4">
      <c r="A513" s="1">
        <v>512</v>
      </c>
      <c r="B513" s="1" t="s">
        <v>2653</v>
      </c>
      <c r="C513" s="1" t="s">
        <v>2641</v>
      </c>
      <c r="D513" s="1">
        <v>0</v>
      </c>
      <c r="E513" s="1">
        <v>0</v>
      </c>
      <c r="F513" s="1">
        <v>69.16</v>
      </c>
      <c r="G513" s="1">
        <v>0.15</v>
      </c>
      <c r="H513" s="1">
        <v>0</v>
      </c>
      <c r="I513" s="2">
        <v>2.92</v>
      </c>
      <c r="J513" s="1">
        <v>0.12</v>
      </c>
      <c r="K513" s="2">
        <v>24.54</v>
      </c>
      <c r="L513" s="2">
        <v>0</v>
      </c>
      <c r="M513" s="1">
        <v>0.06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/>
      <c r="W513" s="1" t="s">
        <v>2654</v>
      </c>
    </row>
    <row r="514" spans="1:23" ht="12.4">
      <c r="A514" s="1">
        <v>513</v>
      </c>
      <c r="B514" s="1" t="s">
        <v>2655</v>
      </c>
      <c r="C514" s="1" t="s">
        <v>2656</v>
      </c>
      <c r="D514" s="1">
        <v>0.01</v>
      </c>
      <c r="E514" s="1">
        <v>0.13</v>
      </c>
      <c r="F514" s="1">
        <v>56.64</v>
      </c>
      <c r="G514" s="1">
        <v>0.04</v>
      </c>
      <c r="H514" s="1">
        <v>0.38</v>
      </c>
      <c r="I514" s="2">
        <v>6.55</v>
      </c>
      <c r="J514" s="1">
        <v>0.06</v>
      </c>
      <c r="K514" s="2">
        <v>1.77</v>
      </c>
      <c r="L514" s="2">
        <v>0.04</v>
      </c>
      <c r="M514" s="1">
        <v>1.1599999999999999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/>
      <c r="W514" s="1" t="s">
        <v>2657</v>
      </c>
    </row>
    <row r="515" spans="1:23" ht="12.4">
      <c r="A515" s="1">
        <v>514</v>
      </c>
      <c r="B515" s="1" t="s">
        <v>2658</v>
      </c>
      <c r="C515" s="1" t="s">
        <v>2641</v>
      </c>
      <c r="D515" s="1">
        <v>0.01</v>
      </c>
      <c r="E515" s="1">
        <v>0.05</v>
      </c>
      <c r="F515" s="1">
        <v>64.75</v>
      </c>
      <c r="G515" s="1">
        <v>0.06</v>
      </c>
      <c r="H515" s="1">
        <v>3.27</v>
      </c>
      <c r="I515" s="2">
        <v>9.33</v>
      </c>
      <c r="J515" s="1">
        <v>0.18</v>
      </c>
      <c r="K515" s="2">
        <v>21.36</v>
      </c>
      <c r="L515" s="2">
        <v>0.01</v>
      </c>
      <c r="M515" s="1">
        <v>0.01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/>
      <c r="W515" s="1" t="s">
        <v>2659</v>
      </c>
    </row>
    <row r="516" spans="1:23" ht="12.4">
      <c r="A516" s="1">
        <v>515</v>
      </c>
      <c r="B516" s="1" t="s">
        <v>2660</v>
      </c>
      <c r="C516" s="1" t="s">
        <v>2644</v>
      </c>
      <c r="D516" s="1">
        <v>0.04</v>
      </c>
      <c r="E516" s="1">
        <v>0.05</v>
      </c>
      <c r="F516" s="1">
        <v>1.01</v>
      </c>
      <c r="G516" s="1">
        <v>0.08</v>
      </c>
      <c r="H516" s="1">
        <v>61.9</v>
      </c>
      <c r="I516" s="2">
        <v>0</v>
      </c>
      <c r="J516" s="1">
        <v>11.15</v>
      </c>
      <c r="K516" s="2">
        <v>0.3</v>
      </c>
      <c r="L516" s="2">
        <v>0.02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/>
      <c r="W516" s="1" t="s">
        <v>2661</v>
      </c>
    </row>
    <row r="517" spans="1:23" ht="12.4">
      <c r="A517" s="1">
        <v>516</v>
      </c>
      <c r="B517" s="1" t="s">
        <v>2662</v>
      </c>
      <c r="C517" s="1" t="s">
        <v>2641</v>
      </c>
      <c r="D517" s="1">
        <v>0</v>
      </c>
      <c r="E517" s="1">
        <v>0</v>
      </c>
      <c r="F517" s="1">
        <v>69.88</v>
      </c>
      <c r="G517" s="1">
        <v>0.19</v>
      </c>
      <c r="H517" s="1">
        <v>0</v>
      </c>
      <c r="I517" s="2">
        <v>0</v>
      </c>
      <c r="J517" s="1">
        <v>0.02</v>
      </c>
      <c r="K517" s="2">
        <v>27.76</v>
      </c>
      <c r="L517" s="2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/>
      <c r="W517" s="1" t="s">
        <v>2663</v>
      </c>
    </row>
    <row r="518" spans="1:23" ht="12.4">
      <c r="A518" s="1">
        <v>517</v>
      </c>
      <c r="B518" s="1" t="s">
        <v>2664</v>
      </c>
      <c r="C518" s="1" t="s">
        <v>2641</v>
      </c>
      <c r="D518" s="1">
        <v>0</v>
      </c>
      <c r="E518" s="1">
        <v>0</v>
      </c>
      <c r="F518" s="1">
        <v>70.84</v>
      </c>
      <c r="G518" s="1">
        <v>0.25</v>
      </c>
      <c r="H518" s="1">
        <v>0</v>
      </c>
      <c r="I518" s="2">
        <v>0</v>
      </c>
      <c r="J518" s="1">
        <v>0.02</v>
      </c>
      <c r="K518" s="2">
        <v>27.73</v>
      </c>
      <c r="L518" s="2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/>
      <c r="W518" s="1" t="s">
        <v>2665</v>
      </c>
    </row>
    <row r="519" spans="1:23" ht="12.4">
      <c r="A519" s="1">
        <v>518</v>
      </c>
      <c r="B519" s="1" t="s">
        <v>2666</v>
      </c>
      <c r="C519" s="1" t="s">
        <v>2656</v>
      </c>
      <c r="D519" s="1">
        <v>0.01</v>
      </c>
      <c r="E519" s="1">
        <v>0.04</v>
      </c>
      <c r="F519" s="1">
        <v>65.790000000000006</v>
      </c>
      <c r="G519" s="1">
        <v>0.11</v>
      </c>
      <c r="H519" s="1">
        <v>0.88</v>
      </c>
      <c r="I519" s="2">
        <v>12.42</v>
      </c>
      <c r="J519" s="1">
        <v>0.33</v>
      </c>
      <c r="K519" s="2">
        <v>19.100000000000001</v>
      </c>
      <c r="L519" s="2">
        <v>0.01</v>
      </c>
      <c r="M519" s="1">
        <v>0.01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/>
      <c r="W519" s="1" t="s">
        <v>2667</v>
      </c>
    </row>
    <row r="520" spans="1:23" ht="12.4">
      <c r="A520" s="1">
        <v>519</v>
      </c>
      <c r="B520" s="1" t="s">
        <v>2668</v>
      </c>
      <c r="C520" s="1" t="s">
        <v>2641</v>
      </c>
      <c r="D520" s="1">
        <v>0.01</v>
      </c>
      <c r="E520" s="1">
        <v>0.02</v>
      </c>
      <c r="F520" s="1">
        <v>67.849999999999994</v>
      </c>
      <c r="G520" s="1">
        <v>0.03</v>
      </c>
      <c r="H520" s="1">
        <v>0.4</v>
      </c>
      <c r="I520" s="2">
        <v>6.88</v>
      </c>
      <c r="J520" s="1">
        <v>0.09</v>
      </c>
      <c r="K520" s="2">
        <v>22.49</v>
      </c>
      <c r="L520" s="2">
        <v>0</v>
      </c>
      <c r="M520" s="1">
        <v>0.03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/>
      <c r="W520" s="1" t="s">
        <v>2669</v>
      </c>
    </row>
    <row r="521" spans="1:23" ht="12.4">
      <c r="A521" s="1">
        <v>520</v>
      </c>
      <c r="B521" s="1" t="s">
        <v>2670</v>
      </c>
      <c r="C521" s="1" t="s">
        <v>2647</v>
      </c>
      <c r="D521" s="1">
        <v>0.05</v>
      </c>
      <c r="E521" s="1">
        <v>0.43</v>
      </c>
      <c r="F521" s="1">
        <v>65.3</v>
      </c>
      <c r="G521" s="1">
        <v>0.02</v>
      </c>
      <c r="H521" s="1">
        <v>3.98</v>
      </c>
      <c r="I521" s="2">
        <v>3.59</v>
      </c>
      <c r="J521" s="1">
        <v>0.16</v>
      </c>
      <c r="K521" s="2">
        <v>25.9</v>
      </c>
      <c r="L521" s="2">
        <v>0</v>
      </c>
      <c r="M521" s="1">
        <v>0.01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/>
      <c r="W521" s="1" t="s">
        <v>2671</v>
      </c>
    </row>
    <row r="522" spans="1:23" ht="12.4">
      <c r="A522" s="1">
        <v>521</v>
      </c>
      <c r="B522" s="1" t="s">
        <v>2672</v>
      </c>
      <c r="C522" s="1" t="s">
        <v>2641</v>
      </c>
      <c r="D522" s="1">
        <v>0.02</v>
      </c>
      <c r="E522" s="1">
        <v>0.03</v>
      </c>
      <c r="F522" s="1">
        <v>64.680000000000007</v>
      </c>
      <c r="G522" s="1">
        <v>0.04</v>
      </c>
      <c r="H522" s="1">
        <v>2</v>
      </c>
      <c r="I522" s="2">
        <v>12.03</v>
      </c>
      <c r="J522" s="1">
        <v>0.18</v>
      </c>
      <c r="K522" s="2">
        <v>19.11</v>
      </c>
      <c r="L522" s="2">
        <v>0.01</v>
      </c>
      <c r="M522" s="1">
        <v>0.01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/>
      <c r="W522" s="1" t="s">
        <v>2673</v>
      </c>
    </row>
    <row r="523" spans="1:23" ht="12.4">
      <c r="A523" s="1">
        <v>522</v>
      </c>
      <c r="B523" s="1" t="s">
        <v>2674</v>
      </c>
      <c r="C523" s="1" t="s">
        <v>2656</v>
      </c>
      <c r="D523" s="1">
        <v>0.13</v>
      </c>
      <c r="E523" s="1">
        <v>0.68</v>
      </c>
      <c r="F523" s="1">
        <v>61.29</v>
      </c>
      <c r="G523" s="1">
        <v>0.23</v>
      </c>
      <c r="H523" s="1">
        <v>5.98</v>
      </c>
      <c r="I523" s="2">
        <v>12.58</v>
      </c>
      <c r="J523" s="1">
        <v>0.15</v>
      </c>
      <c r="K523" s="2">
        <v>19.37</v>
      </c>
      <c r="L523" s="2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/>
      <c r="W523" s="1" t="s">
        <v>2675</v>
      </c>
    </row>
    <row r="524" spans="1:23" ht="12.4">
      <c r="A524" s="1">
        <v>523</v>
      </c>
      <c r="B524" s="1" t="s">
        <v>2676</v>
      </c>
      <c r="C524" s="1" t="s">
        <v>2656</v>
      </c>
      <c r="D524" s="1">
        <v>0</v>
      </c>
      <c r="E524" s="1">
        <v>0.01</v>
      </c>
      <c r="F524" s="1">
        <v>56.05</v>
      </c>
      <c r="G524" s="1">
        <v>0</v>
      </c>
      <c r="H524" s="1">
        <v>0.96</v>
      </c>
      <c r="I524" s="2">
        <v>5.31</v>
      </c>
      <c r="J524" s="1">
        <v>0.08</v>
      </c>
      <c r="K524" s="2">
        <v>0</v>
      </c>
      <c r="L524" s="2">
        <v>0.01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/>
      <c r="W524" s="1" t="s">
        <v>2677</v>
      </c>
    </row>
    <row r="525" spans="1:23" ht="12.4">
      <c r="A525" s="1">
        <v>524</v>
      </c>
      <c r="B525" s="1" t="s">
        <v>2678</v>
      </c>
      <c r="C525" s="1" t="s">
        <v>1496</v>
      </c>
      <c r="D525" s="1">
        <v>49.4</v>
      </c>
      <c r="E525" s="1">
        <v>1.63</v>
      </c>
      <c r="F525" s="1">
        <v>14.4</v>
      </c>
      <c r="G525" s="1">
        <v>0</v>
      </c>
      <c r="H525" s="1">
        <v>1.51</v>
      </c>
      <c r="I525" s="2">
        <v>10</v>
      </c>
      <c r="J525" s="1">
        <v>0.2</v>
      </c>
      <c r="K525" s="2">
        <v>7.23</v>
      </c>
      <c r="L525" s="2">
        <v>12.6</v>
      </c>
      <c r="M525" s="1">
        <v>2.2400000000000002</v>
      </c>
      <c r="N525" s="1">
        <v>0.21</v>
      </c>
      <c r="O525" s="1">
        <v>0.2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 t="s">
        <v>2679</v>
      </c>
      <c r="W525" s="1" t="s">
        <v>2680</v>
      </c>
    </row>
    <row r="526" spans="1:23" ht="12.4">
      <c r="A526" s="1">
        <v>525</v>
      </c>
      <c r="B526" s="1" t="s">
        <v>2681</v>
      </c>
      <c r="C526" s="1" t="s">
        <v>1496</v>
      </c>
      <c r="D526" s="1">
        <v>49</v>
      </c>
      <c r="E526" s="1">
        <v>1.6</v>
      </c>
      <c r="F526" s="1">
        <v>16.8</v>
      </c>
      <c r="G526" s="1">
        <v>0</v>
      </c>
      <c r="H526" s="1">
        <v>1.37</v>
      </c>
      <c r="I526" s="2">
        <v>9.17</v>
      </c>
      <c r="J526" s="1">
        <v>0.2</v>
      </c>
      <c r="K526" s="2">
        <v>6.12</v>
      </c>
      <c r="L526" s="2">
        <v>12.8</v>
      </c>
      <c r="M526" s="1">
        <v>2.2200000000000002</v>
      </c>
      <c r="N526" s="1">
        <v>0.22</v>
      </c>
      <c r="O526" s="1">
        <v>0.19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 t="s">
        <v>2679</v>
      </c>
      <c r="W526" s="1" t="s">
        <v>2682</v>
      </c>
    </row>
    <row r="527" spans="1:23" ht="12.4">
      <c r="A527" s="1">
        <v>526</v>
      </c>
      <c r="B527" s="1" t="s">
        <v>2683</v>
      </c>
      <c r="C527" s="1" t="s">
        <v>1496</v>
      </c>
      <c r="D527" s="1">
        <v>52.5</v>
      </c>
      <c r="E527" s="1">
        <v>2.8</v>
      </c>
      <c r="F527" s="1">
        <v>13.45</v>
      </c>
      <c r="G527" s="1">
        <v>0</v>
      </c>
      <c r="H527" s="1">
        <v>0</v>
      </c>
      <c r="I527" s="2">
        <v>14.11</v>
      </c>
      <c r="J527" s="1">
        <v>0.22</v>
      </c>
      <c r="K527" s="2">
        <v>4.54</v>
      </c>
      <c r="L527" s="2">
        <v>8.32</v>
      </c>
      <c r="M527" s="1">
        <v>2.86</v>
      </c>
      <c r="N527" s="1">
        <v>1.4</v>
      </c>
      <c r="O527" s="1">
        <v>0.54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 t="s">
        <v>2679</v>
      </c>
      <c r="W527" s="1" t="s">
        <v>2684</v>
      </c>
    </row>
    <row r="528" spans="1:23" ht="12.4">
      <c r="A528" s="1">
        <v>527</v>
      </c>
      <c r="B528" s="1" t="s">
        <v>2685</v>
      </c>
      <c r="C528" s="1" t="s">
        <v>1496</v>
      </c>
      <c r="D528" s="1">
        <v>50.91</v>
      </c>
      <c r="E528" s="1">
        <v>3.58</v>
      </c>
      <c r="F528" s="1">
        <v>12.78</v>
      </c>
      <c r="G528" s="1">
        <v>0</v>
      </c>
      <c r="H528" s="1">
        <v>0</v>
      </c>
      <c r="I528" s="2">
        <v>15.26</v>
      </c>
      <c r="J528" s="1">
        <v>0.25</v>
      </c>
      <c r="K528" s="2">
        <v>4.43</v>
      </c>
      <c r="L528" s="2">
        <v>8.58</v>
      </c>
      <c r="M528" s="1">
        <v>2.52</v>
      </c>
      <c r="N528" s="1">
        <v>1.3</v>
      </c>
      <c r="O528" s="1">
        <v>0.8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 t="s">
        <v>2686</v>
      </c>
      <c r="W528" s="1" t="s">
        <v>2687</v>
      </c>
    </row>
    <row r="529" spans="1:23" ht="12.4">
      <c r="A529" s="1">
        <v>528</v>
      </c>
      <c r="B529" s="1" t="s">
        <v>2688</v>
      </c>
      <c r="C529" s="1" t="s">
        <v>1496</v>
      </c>
      <c r="D529" s="1">
        <v>51.55</v>
      </c>
      <c r="E529" s="1">
        <v>3.13</v>
      </c>
      <c r="F529" s="1">
        <v>13.19</v>
      </c>
      <c r="G529" s="1">
        <v>0</v>
      </c>
      <c r="H529" s="1">
        <v>0</v>
      </c>
      <c r="I529" s="2">
        <v>14.36</v>
      </c>
      <c r="J529" s="1">
        <v>0.23</v>
      </c>
      <c r="K529" s="2">
        <v>4.59</v>
      </c>
      <c r="L529" s="2">
        <v>8.5500000000000007</v>
      </c>
      <c r="M529" s="1">
        <v>2.9</v>
      </c>
      <c r="N529" s="1">
        <v>1.29</v>
      </c>
      <c r="O529" s="1">
        <v>0.69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 t="s">
        <v>2686</v>
      </c>
      <c r="W529" s="1" t="s">
        <v>2689</v>
      </c>
    </row>
    <row r="530" spans="1:23" ht="12.4">
      <c r="A530" s="1">
        <v>529</v>
      </c>
      <c r="B530" s="1" t="s">
        <v>2690</v>
      </c>
      <c r="C530" s="1" t="s">
        <v>1551</v>
      </c>
      <c r="D530" s="1">
        <v>54.85</v>
      </c>
      <c r="E530" s="1">
        <v>0.06</v>
      </c>
      <c r="F530" s="1">
        <v>27.71</v>
      </c>
      <c r="G530" s="1">
        <v>0.02</v>
      </c>
      <c r="H530" s="1">
        <v>0.46</v>
      </c>
      <c r="I530" s="2">
        <v>0</v>
      </c>
      <c r="J530" s="1">
        <v>0.01</v>
      </c>
      <c r="K530" s="2">
        <v>0</v>
      </c>
      <c r="L530" s="2">
        <v>10.97</v>
      </c>
      <c r="M530" s="1">
        <v>5.15</v>
      </c>
      <c r="N530" s="1">
        <v>0.4</v>
      </c>
      <c r="O530" s="1">
        <v>0</v>
      </c>
      <c r="P530" s="1">
        <v>0</v>
      </c>
      <c r="Q530" s="1">
        <v>0</v>
      </c>
      <c r="R530" s="1">
        <v>700</v>
      </c>
      <c r="S530" s="1">
        <v>300</v>
      </c>
      <c r="T530" s="1">
        <v>100</v>
      </c>
      <c r="U530" s="1">
        <v>200</v>
      </c>
      <c r="V530" s="1" t="s">
        <v>2691</v>
      </c>
      <c r="W530" s="1" t="s">
        <v>2692</v>
      </c>
    </row>
    <row r="531" spans="1:23" ht="12.4">
      <c r="A531" s="1">
        <v>530</v>
      </c>
      <c r="B531" s="1" t="s">
        <v>2693</v>
      </c>
      <c r="C531" s="1" t="s">
        <v>1551</v>
      </c>
      <c r="D531" s="1">
        <v>55.58</v>
      </c>
      <c r="E531" s="1">
        <v>0.03</v>
      </c>
      <c r="F531" s="1">
        <v>27.29</v>
      </c>
      <c r="G531" s="1">
        <v>0.03</v>
      </c>
      <c r="H531" s="1">
        <v>0.11</v>
      </c>
      <c r="I531" s="2">
        <v>0</v>
      </c>
      <c r="J531" s="1">
        <v>0.01</v>
      </c>
      <c r="K531" s="2">
        <v>0</v>
      </c>
      <c r="L531" s="2">
        <v>10.19</v>
      </c>
      <c r="M531" s="1">
        <v>5.99</v>
      </c>
      <c r="N531" s="1">
        <v>0.05</v>
      </c>
      <c r="O531" s="1">
        <v>0</v>
      </c>
      <c r="P531" s="1">
        <v>0</v>
      </c>
      <c r="Q531" s="1">
        <v>0</v>
      </c>
      <c r="R531" s="1">
        <v>600</v>
      </c>
      <c r="S531" s="1">
        <v>300</v>
      </c>
      <c r="T531" s="1">
        <v>100</v>
      </c>
      <c r="U531" s="1">
        <v>200</v>
      </c>
      <c r="V531" s="1" t="s">
        <v>2691</v>
      </c>
      <c r="W531" s="1" t="s">
        <v>2694</v>
      </c>
    </row>
    <row r="532" spans="1:23" ht="12.4">
      <c r="A532" s="1">
        <v>531</v>
      </c>
      <c r="B532" s="1" t="s">
        <v>2695</v>
      </c>
      <c r="C532" s="1" t="s">
        <v>1551</v>
      </c>
      <c r="D532" s="1">
        <v>69.08</v>
      </c>
      <c r="E532" s="1">
        <v>0.02</v>
      </c>
      <c r="F532" s="1">
        <v>19.16</v>
      </c>
      <c r="G532" s="1">
        <v>0.03</v>
      </c>
      <c r="H532" s="1">
        <v>0.03</v>
      </c>
      <c r="I532" s="2">
        <v>0</v>
      </c>
      <c r="J532" s="1">
        <v>0.01</v>
      </c>
      <c r="K532" s="2">
        <v>0</v>
      </c>
      <c r="L532" s="2">
        <v>0.01</v>
      </c>
      <c r="M532" s="1">
        <v>11.79</v>
      </c>
      <c r="N532" s="1">
        <v>0.03</v>
      </c>
      <c r="O532" s="1">
        <v>0</v>
      </c>
      <c r="P532" s="1">
        <v>0</v>
      </c>
      <c r="Q532" s="1">
        <v>0</v>
      </c>
      <c r="R532" s="1">
        <v>400</v>
      </c>
      <c r="S532" s="1">
        <v>300</v>
      </c>
      <c r="T532" s="1">
        <v>100</v>
      </c>
      <c r="U532" s="1">
        <v>200</v>
      </c>
      <c r="V532" s="1" t="s">
        <v>2691</v>
      </c>
      <c r="W532" s="1" t="s">
        <v>2696</v>
      </c>
    </row>
    <row r="533" spans="1:23" ht="12.4">
      <c r="A533" s="1">
        <v>532</v>
      </c>
      <c r="B533" s="1" t="s">
        <v>2697</v>
      </c>
      <c r="C533" s="1" t="s">
        <v>1551</v>
      </c>
      <c r="D533" s="1">
        <v>54.9</v>
      </c>
      <c r="E533" s="1">
        <v>0.06</v>
      </c>
      <c r="F533" s="1">
        <v>27.85</v>
      </c>
      <c r="G533" s="1">
        <v>0.04</v>
      </c>
      <c r="H533" s="1">
        <v>0.41</v>
      </c>
      <c r="I533" s="2">
        <v>0</v>
      </c>
      <c r="J533" s="1">
        <v>0.01</v>
      </c>
      <c r="K533" s="2">
        <v>7.0000000000000007E-2</v>
      </c>
      <c r="L533" s="2">
        <v>11.05</v>
      </c>
      <c r="M533" s="1">
        <v>5.21</v>
      </c>
      <c r="N533" s="1">
        <v>0.37</v>
      </c>
      <c r="O533" s="1">
        <v>0</v>
      </c>
      <c r="P533" s="1">
        <v>0</v>
      </c>
      <c r="Q533" s="1">
        <v>0</v>
      </c>
      <c r="R533" s="1">
        <v>500</v>
      </c>
      <c r="S533" s="1">
        <v>300</v>
      </c>
      <c r="T533" s="1">
        <v>100</v>
      </c>
      <c r="U533" s="1">
        <v>100</v>
      </c>
      <c r="V533" s="1" t="s">
        <v>2691</v>
      </c>
      <c r="W533" s="1" t="s">
        <v>2698</v>
      </c>
    </row>
    <row r="534" spans="1:23" ht="12.4">
      <c r="A534" s="1">
        <v>533</v>
      </c>
      <c r="B534" s="1" t="s">
        <v>2699</v>
      </c>
      <c r="C534" s="1" t="s">
        <v>1551</v>
      </c>
      <c r="D534" s="1">
        <v>58.73</v>
      </c>
      <c r="E534" s="1">
        <v>0.02</v>
      </c>
      <c r="F534" s="1">
        <v>24.99</v>
      </c>
      <c r="G534" s="1">
        <v>0</v>
      </c>
      <c r="H534" s="1">
        <v>7.0000000000000007E-2</v>
      </c>
      <c r="I534" s="2">
        <v>0</v>
      </c>
      <c r="J534" s="1">
        <v>0.01</v>
      </c>
      <c r="K534" s="2">
        <v>0</v>
      </c>
      <c r="L534" s="2">
        <v>7.95</v>
      </c>
      <c r="M534" s="1">
        <v>7.33</v>
      </c>
      <c r="N534" s="1">
        <v>0.05</v>
      </c>
      <c r="O534" s="1">
        <v>0</v>
      </c>
      <c r="P534" s="1">
        <v>0</v>
      </c>
      <c r="Q534" s="1">
        <v>0</v>
      </c>
      <c r="R534" s="1">
        <v>500</v>
      </c>
      <c r="S534" s="1">
        <v>100</v>
      </c>
      <c r="T534" s="1">
        <v>0</v>
      </c>
      <c r="U534" s="1">
        <v>0</v>
      </c>
      <c r="V534" s="1" t="s">
        <v>2691</v>
      </c>
      <c r="W534" s="1" t="s">
        <v>2700</v>
      </c>
    </row>
    <row r="535" spans="1:23" ht="12.4">
      <c r="A535" s="1">
        <v>534</v>
      </c>
      <c r="B535" s="1" t="s">
        <v>2701</v>
      </c>
      <c r="C535" s="1" t="s">
        <v>1551</v>
      </c>
      <c r="D535" s="1">
        <v>65.89</v>
      </c>
      <c r="E535" s="1">
        <v>0.02</v>
      </c>
      <c r="F535" s="1">
        <v>21.21</v>
      </c>
      <c r="G535" s="1">
        <v>0.03</v>
      </c>
      <c r="H535" s="1">
        <v>7.0000000000000007E-2</v>
      </c>
      <c r="I535" s="2">
        <v>0</v>
      </c>
      <c r="J535" s="1">
        <v>0.01</v>
      </c>
      <c r="K535" s="2">
        <v>0</v>
      </c>
      <c r="L535" s="2">
        <v>2.08</v>
      </c>
      <c r="M535" s="1">
        <v>10.51</v>
      </c>
      <c r="N535" s="1">
        <v>0.09</v>
      </c>
      <c r="O535" s="1">
        <v>0</v>
      </c>
      <c r="P535" s="1">
        <v>0</v>
      </c>
      <c r="Q535" s="1">
        <v>0</v>
      </c>
      <c r="R535" s="1">
        <v>400</v>
      </c>
      <c r="S535" s="1">
        <v>100</v>
      </c>
      <c r="T535" s="1">
        <v>0</v>
      </c>
      <c r="U535" s="1">
        <v>0</v>
      </c>
      <c r="V535" s="1" t="s">
        <v>2691</v>
      </c>
      <c r="W535" s="1" t="s">
        <v>2702</v>
      </c>
    </row>
    <row r="536" spans="1:23" ht="12.4">
      <c r="A536" s="1">
        <v>535</v>
      </c>
      <c r="B536" s="1" t="s">
        <v>2703</v>
      </c>
      <c r="C536" s="1" t="s">
        <v>1551</v>
      </c>
      <c r="D536" s="1">
        <v>46.55</v>
      </c>
      <c r="E536" s="1">
        <v>0.05</v>
      </c>
      <c r="F536" s="1">
        <v>32.700000000000003</v>
      </c>
      <c r="G536" s="1">
        <v>0.03</v>
      </c>
      <c r="H536" s="1">
        <v>0.64</v>
      </c>
      <c r="I536" s="2">
        <v>0</v>
      </c>
      <c r="J536" s="1">
        <v>0.01</v>
      </c>
      <c r="K536" s="2">
        <v>0.04</v>
      </c>
      <c r="L536" s="2">
        <v>17.28</v>
      </c>
      <c r="M536" s="1">
        <v>1.71</v>
      </c>
      <c r="N536" s="1">
        <v>0.2</v>
      </c>
      <c r="O536" s="1">
        <v>0</v>
      </c>
      <c r="P536" s="1">
        <v>0</v>
      </c>
      <c r="Q536" s="1">
        <v>0</v>
      </c>
      <c r="R536" s="1">
        <v>900</v>
      </c>
      <c r="S536" s="1">
        <v>300</v>
      </c>
      <c r="T536" s="1">
        <v>200</v>
      </c>
      <c r="U536" s="1">
        <v>100</v>
      </c>
      <c r="V536" s="1" t="s">
        <v>2691</v>
      </c>
      <c r="W536" s="1" t="s">
        <v>2704</v>
      </c>
    </row>
    <row r="537" spans="1:23" ht="12.4">
      <c r="A537" s="1">
        <v>536</v>
      </c>
      <c r="B537" s="1" t="s">
        <v>2705</v>
      </c>
      <c r="C537" s="1" t="s">
        <v>1551</v>
      </c>
      <c r="D537" s="1">
        <v>50.77</v>
      </c>
      <c r="E537" s="1">
        <v>0.03</v>
      </c>
      <c r="F537" s="1">
        <v>31.19</v>
      </c>
      <c r="G537" s="1">
        <v>0.05</v>
      </c>
      <c r="H537" s="1">
        <v>0.43</v>
      </c>
      <c r="I537" s="2">
        <v>0</v>
      </c>
      <c r="J537" s="1">
        <v>0</v>
      </c>
      <c r="K537" s="2">
        <v>0.02</v>
      </c>
      <c r="L537" s="2">
        <v>13.71</v>
      </c>
      <c r="M537" s="1">
        <v>3.6</v>
      </c>
      <c r="N537" s="1">
        <v>0.12</v>
      </c>
      <c r="O537" s="1">
        <v>0</v>
      </c>
      <c r="P537" s="1">
        <v>0</v>
      </c>
      <c r="Q537" s="1">
        <v>0</v>
      </c>
      <c r="R537" s="1">
        <v>700</v>
      </c>
      <c r="S537" s="1">
        <v>300</v>
      </c>
      <c r="T537" s="1">
        <v>200</v>
      </c>
      <c r="U537" s="1">
        <v>100</v>
      </c>
      <c r="V537" s="1" t="s">
        <v>2691</v>
      </c>
      <c r="W537" s="1" t="s">
        <v>2706</v>
      </c>
    </row>
    <row r="538" spans="1:23" ht="12.4">
      <c r="A538" s="1">
        <v>537</v>
      </c>
      <c r="B538" s="1" t="s">
        <v>2707</v>
      </c>
      <c r="C538" s="1" t="s">
        <v>1551</v>
      </c>
      <c r="D538" s="1">
        <v>68.040000000000006</v>
      </c>
      <c r="E538" s="1">
        <v>0.03</v>
      </c>
      <c r="F538" s="1">
        <v>20.53</v>
      </c>
      <c r="G538" s="1">
        <v>0.02</v>
      </c>
      <c r="H538" s="1">
        <v>0.06</v>
      </c>
      <c r="I538" s="2">
        <v>0</v>
      </c>
      <c r="J538" s="1">
        <v>0.01</v>
      </c>
      <c r="K538" s="2">
        <v>0</v>
      </c>
      <c r="L538" s="2">
        <v>0.36</v>
      </c>
      <c r="M538" s="1">
        <v>11.58</v>
      </c>
      <c r="N538" s="1">
        <v>0.19</v>
      </c>
      <c r="O538" s="1">
        <v>0</v>
      </c>
      <c r="P538" s="1">
        <v>0</v>
      </c>
      <c r="Q538" s="1">
        <v>0</v>
      </c>
      <c r="R538" s="1">
        <v>400</v>
      </c>
      <c r="S538" s="1">
        <v>100</v>
      </c>
      <c r="T538" s="1">
        <v>0</v>
      </c>
      <c r="U538" s="1">
        <v>100</v>
      </c>
      <c r="V538" s="1" t="s">
        <v>2691</v>
      </c>
      <c r="W538" s="1" t="s">
        <v>2708</v>
      </c>
    </row>
    <row r="539" spans="1:23" ht="12.4">
      <c r="A539" s="1">
        <v>538</v>
      </c>
      <c r="B539" s="1" t="s">
        <v>2709</v>
      </c>
      <c r="C539" s="1" t="s">
        <v>1551</v>
      </c>
      <c r="D539" s="1">
        <v>48.6</v>
      </c>
      <c r="E539" s="1">
        <v>0.06</v>
      </c>
      <c r="F539" s="1">
        <v>33.520000000000003</v>
      </c>
      <c r="G539" s="1">
        <v>0</v>
      </c>
      <c r="H539" s="1">
        <v>0.59</v>
      </c>
      <c r="I539" s="2">
        <v>0</v>
      </c>
      <c r="J539" s="1">
        <v>0</v>
      </c>
      <c r="K539" s="2">
        <v>0.14000000000000001</v>
      </c>
      <c r="L539" s="2">
        <v>15.46</v>
      </c>
      <c r="M539" s="1">
        <v>2.3199999999999998</v>
      </c>
      <c r="N539" s="1">
        <v>0.01</v>
      </c>
      <c r="O539" s="1">
        <v>0</v>
      </c>
      <c r="P539" s="1">
        <v>0</v>
      </c>
      <c r="Q539" s="1">
        <v>0</v>
      </c>
      <c r="R539" s="1">
        <v>1000</v>
      </c>
      <c r="S539" s="1">
        <v>300</v>
      </c>
      <c r="T539" s="1">
        <v>0</v>
      </c>
      <c r="U539" s="1">
        <v>100</v>
      </c>
      <c r="V539" s="1" t="s">
        <v>2691</v>
      </c>
      <c r="W539" s="1" t="s">
        <v>2710</v>
      </c>
    </row>
    <row r="540" spans="1:23" ht="12.4">
      <c r="A540" s="1">
        <v>539</v>
      </c>
      <c r="B540" s="1" t="s">
        <v>2711</v>
      </c>
      <c r="C540" s="1" t="s">
        <v>1551</v>
      </c>
      <c r="D540" s="1">
        <v>54.76</v>
      </c>
      <c r="E540" s="1">
        <v>0.04</v>
      </c>
      <c r="F540" s="1">
        <v>28.3</v>
      </c>
      <c r="G540" s="1">
        <v>0.01</v>
      </c>
      <c r="H540" s="1">
        <v>0.36</v>
      </c>
      <c r="I540" s="2">
        <v>0</v>
      </c>
      <c r="J540" s="1">
        <v>0.01</v>
      </c>
      <c r="K540" s="2">
        <v>0</v>
      </c>
      <c r="L540" s="2">
        <v>11.15</v>
      </c>
      <c r="M540" s="1">
        <v>5.23</v>
      </c>
      <c r="N540" s="1">
        <v>0.25</v>
      </c>
      <c r="O540" s="1">
        <v>0</v>
      </c>
      <c r="P540" s="1">
        <v>0</v>
      </c>
      <c r="Q540" s="1">
        <v>0</v>
      </c>
      <c r="R540" s="1">
        <v>700</v>
      </c>
      <c r="S540" s="1">
        <v>300</v>
      </c>
      <c r="T540" s="1">
        <v>100</v>
      </c>
      <c r="U540" s="1">
        <v>100</v>
      </c>
      <c r="V540" s="1" t="s">
        <v>2691</v>
      </c>
      <c r="W540" s="1" t="s">
        <v>2712</v>
      </c>
    </row>
    <row r="541" spans="1:23" ht="12.4">
      <c r="A541" s="1">
        <v>540</v>
      </c>
      <c r="B541" s="1" t="s">
        <v>2713</v>
      </c>
      <c r="C541" s="1" t="s">
        <v>1551</v>
      </c>
      <c r="D541" s="1">
        <v>43.97</v>
      </c>
      <c r="E541" s="1">
        <v>0.05</v>
      </c>
      <c r="F541" s="1">
        <v>34.659999999999997</v>
      </c>
      <c r="G541" s="1">
        <v>0.03</v>
      </c>
      <c r="H541" s="1">
        <v>0.57999999999999996</v>
      </c>
      <c r="I541" s="2">
        <v>0</v>
      </c>
      <c r="J541" s="1">
        <v>0.01</v>
      </c>
      <c r="K541" s="2">
        <v>0.01</v>
      </c>
      <c r="L541" s="2">
        <v>19.03</v>
      </c>
      <c r="M541" s="1">
        <v>0.65</v>
      </c>
      <c r="N541" s="1">
        <v>0</v>
      </c>
      <c r="O541" s="1">
        <v>0</v>
      </c>
      <c r="P541" s="1">
        <v>0</v>
      </c>
      <c r="Q541" s="1">
        <v>0</v>
      </c>
      <c r="R541" s="1">
        <v>800</v>
      </c>
      <c r="S541" s="1">
        <v>400</v>
      </c>
      <c r="T541" s="1">
        <v>300</v>
      </c>
      <c r="U541" s="1">
        <v>200</v>
      </c>
      <c r="V541" s="1" t="s">
        <v>2691</v>
      </c>
      <c r="W541" s="1" t="s">
        <v>2714</v>
      </c>
    </row>
    <row r="542" spans="1:23" ht="12.4">
      <c r="A542" s="1">
        <v>541</v>
      </c>
      <c r="B542" s="1" t="s">
        <v>2715</v>
      </c>
      <c r="C542" s="1" t="s">
        <v>1551</v>
      </c>
      <c r="D542" s="1">
        <v>62.07</v>
      </c>
      <c r="E542" s="1">
        <v>0.02</v>
      </c>
      <c r="F542" s="1">
        <v>23.58</v>
      </c>
      <c r="G542" s="1">
        <v>0.02</v>
      </c>
      <c r="H542" s="1">
        <v>7.0000000000000007E-2</v>
      </c>
      <c r="I542" s="2">
        <v>0</v>
      </c>
      <c r="J542" s="1">
        <v>0.01</v>
      </c>
      <c r="K542" s="2">
        <v>0.03</v>
      </c>
      <c r="L542" s="2">
        <v>4.99</v>
      </c>
      <c r="M542" s="1">
        <v>8.98</v>
      </c>
      <c r="N542" s="1">
        <v>0.03</v>
      </c>
      <c r="O542" s="1">
        <v>0</v>
      </c>
      <c r="P542" s="1">
        <v>0</v>
      </c>
      <c r="Q542" s="1">
        <v>0</v>
      </c>
      <c r="R542" s="1">
        <v>500</v>
      </c>
      <c r="S542" s="1">
        <v>100</v>
      </c>
      <c r="T542" s="1">
        <v>0</v>
      </c>
      <c r="U542" s="1">
        <v>0</v>
      </c>
      <c r="V542" s="1" t="s">
        <v>2691</v>
      </c>
      <c r="W542" s="1" t="s">
        <v>2716</v>
      </c>
    </row>
    <row r="543" spans="1:23" ht="12.4">
      <c r="A543" s="1">
        <v>542</v>
      </c>
      <c r="B543" s="1" t="s">
        <v>2717</v>
      </c>
      <c r="C543" s="1" t="s">
        <v>1551</v>
      </c>
      <c r="D543" s="1">
        <v>46.95</v>
      </c>
      <c r="E543" s="1">
        <v>0.05</v>
      </c>
      <c r="F543" s="1">
        <v>33.6</v>
      </c>
      <c r="G543" s="1">
        <v>0.01</v>
      </c>
      <c r="H543" s="1">
        <v>0.54</v>
      </c>
      <c r="I543" s="2">
        <v>0</v>
      </c>
      <c r="J543" s="1">
        <v>0</v>
      </c>
      <c r="K543" s="2">
        <v>0.03</v>
      </c>
      <c r="L543" s="2">
        <v>17.38</v>
      </c>
      <c r="M543" s="1">
        <v>1.58</v>
      </c>
      <c r="N543" s="1">
        <v>0.01</v>
      </c>
      <c r="O543" s="1">
        <v>0</v>
      </c>
      <c r="P543" s="1">
        <v>0</v>
      </c>
      <c r="Q543" s="1">
        <v>0</v>
      </c>
      <c r="R543" s="1">
        <v>800</v>
      </c>
      <c r="S543" s="1">
        <v>400</v>
      </c>
      <c r="T543" s="1">
        <v>500</v>
      </c>
      <c r="U543" s="1">
        <v>100</v>
      </c>
      <c r="V543" s="1" t="s">
        <v>2691</v>
      </c>
      <c r="W543" s="1" t="s">
        <v>2718</v>
      </c>
    </row>
    <row r="544" spans="1:23" ht="12.4">
      <c r="A544" s="1">
        <v>543</v>
      </c>
      <c r="B544" s="1" t="s">
        <v>2719</v>
      </c>
      <c r="C544" s="1" t="s">
        <v>1551</v>
      </c>
      <c r="D544" s="1">
        <v>66.75</v>
      </c>
      <c r="E544" s="1">
        <v>0.01</v>
      </c>
      <c r="F544" s="1">
        <v>18.41</v>
      </c>
      <c r="G544" s="1">
        <v>0.02</v>
      </c>
      <c r="H544" s="1">
        <v>0.13</v>
      </c>
      <c r="I544" s="2">
        <v>0</v>
      </c>
      <c r="J544" s="1">
        <v>0.01</v>
      </c>
      <c r="K544" s="2">
        <v>0</v>
      </c>
      <c r="L544" s="2">
        <v>0.31</v>
      </c>
      <c r="M544" s="1">
        <v>5.46</v>
      </c>
      <c r="N544" s="1">
        <v>8.83</v>
      </c>
      <c r="O544" s="1">
        <v>0</v>
      </c>
      <c r="P544" s="1">
        <v>0</v>
      </c>
      <c r="Q544" s="1">
        <v>0</v>
      </c>
      <c r="R544" s="1">
        <v>500</v>
      </c>
      <c r="S544" s="1">
        <v>300</v>
      </c>
      <c r="T544" s="1">
        <v>100</v>
      </c>
      <c r="U544" s="1">
        <v>100</v>
      </c>
      <c r="V544" s="1" t="s">
        <v>2691</v>
      </c>
      <c r="W544" s="1" t="s">
        <v>2720</v>
      </c>
    </row>
    <row r="545" spans="1:23" ht="12.4">
      <c r="A545" s="1">
        <v>544</v>
      </c>
      <c r="B545" s="1" t="s">
        <v>2721</v>
      </c>
      <c r="C545" s="1" t="s">
        <v>1551</v>
      </c>
      <c r="D545" s="1">
        <v>62.22</v>
      </c>
      <c r="E545" s="1">
        <v>0</v>
      </c>
      <c r="F545" s="1">
        <v>22.61</v>
      </c>
      <c r="G545" s="1">
        <v>0</v>
      </c>
      <c r="H545" s="1">
        <v>0</v>
      </c>
      <c r="I545" s="2">
        <v>0</v>
      </c>
      <c r="J545" s="1">
        <v>0</v>
      </c>
      <c r="K545" s="2">
        <v>0</v>
      </c>
      <c r="L545" s="2">
        <v>5.0599999999999996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 t="s">
        <v>2691</v>
      </c>
      <c r="W545" s="1" t="s">
        <v>2722</v>
      </c>
    </row>
    <row r="546" spans="1:23" ht="12.4">
      <c r="A546" s="1">
        <v>545</v>
      </c>
      <c r="B546" s="1" t="s">
        <v>2723</v>
      </c>
      <c r="C546" s="1" t="s">
        <v>1551</v>
      </c>
      <c r="D546" s="1">
        <v>65.28</v>
      </c>
      <c r="E546" s="1">
        <v>0.03</v>
      </c>
      <c r="F546" s="1">
        <v>21.94</v>
      </c>
      <c r="G546" s="1">
        <v>0.03</v>
      </c>
      <c r="H546" s="1">
        <v>0.14000000000000001</v>
      </c>
      <c r="I546" s="2">
        <v>0</v>
      </c>
      <c r="J546" s="1">
        <v>0</v>
      </c>
      <c r="K546" s="2">
        <v>0</v>
      </c>
      <c r="L546" s="2">
        <v>3.1</v>
      </c>
      <c r="M546" s="1">
        <v>9.89</v>
      </c>
      <c r="N546" s="1">
        <v>0.4</v>
      </c>
      <c r="O546" s="1">
        <v>0</v>
      </c>
      <c r="P546" s="1">
        <v>0</v>
      </c>
      <c r="Q546" s="1">
        <v>0</v>
      </c>
      <c r="R546" s="1">
        <v>500</v>
      </c>
      <c r="S546" s="1">
        <v>100</v>
      </c>
      <c r="T546" s="1">
        <v>0</v>
      </c>
      <c r="U546" s="1">
        <v>0</v>
      </c>
      <c r="V546" s="1" t="s">
        <v>2691</v>
      </c>
      <c r="W546" s="1" t="s">
        <v>2724</v>
      </c>
    </row>
    <row r="547" spans="1:23" ht="12.4">
      <c r="A547" s="1">
        <v>546</v>
      </c>
      <c r="B547" s="1" t="s">
        <v>2725</v>
      </c>
      <c r="C547" s="1" t="s">
        <v>1551</v>
      </c>
      <c r="D547" s="1">
        <v>44.8</v>
      </c>
      <c r="E547" s="1">
        <v>0.05</v>
      </c>
      <c r="F547" s="1">
        <v>35.049999999999997</v>
      </c>
      <c r="G547" s="1">
        <v>0.02</v>
      </c>
      <c r="H547" s="1">
        <v>0.61</v>
      </c>
      <c r="I547" s="2">
        <v>0</v>
      </c>
      <c r="J547" s="1">
        <v>0.01</v>
      </c>
      <c r="K547" s="2">
        <v>0.01</v>
      </c>
      <c r="L547" s="2">
        <v>18.760000000000002</v>
      </c>
      <c r="M547" s="1">
        <v>0.81</v>
      </c>
      <c r="N547" s="1">
        <v>0</v>
      </c>
      <c r="O547" s="1">
        <v>0</v>
      </c>
      <c r="P547" s="1">
        <v>0</v>
      </c>
      <c r="Q547" s="1">
        <v>0</v>
      </c>
      <c r="R547" s="1">
        <v>800</v>
      </c>
      <c r="S547" s="1">
        <v>400</v>
      </c>
      <c r="T547" s="1">
        <v>300</v>
      </c>
      <c r="U547" s="1">
        <v>100</v>
      </c>
      <c r="V547" s="1" t="s">
        <v>2691</v>
      </c>
      <c r="W547" s="1" t="s">
        <v>2726</v>
      </c>
    </row>
    <row r="548" spans="1:23" ht="12.4">
      <c r="A548" s="1">
        <v>547</v>
      </c>
      <c r="B548" s="1" t="s">
        <v>2727</v>
      </c>
      <c r="C548" s="1" t="s">
        <v>1551</v>
      </c>
      <c r="D548" s="1">
        <v>55.35</v>
      </c>
      <c r="E548" s="1">
        <v>0.1</v>
      </c>
      <c r="F548" s="1">
        <v>26.17</v>
      </c>
      <c r="G548" s="1">
        <v>0</v>
      </c>
      <c r="H548" s="1">
        <v>1.61</v>
      </c>
      <c r="I548" s="2">
        <v>0</v>
      </c>
      <c r="J548" s="1">
        <v>0</v>
      </c>
      <c r="K548" s="2">
        <v>0</v>
      </c>
      <c r="L548" s="2">
        <v>9.93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1500</v>
      </c>
      <c r="S548" s="1">
        <v>0</v>
      </c>
      <c r="T548" s="1">
        <v>0</v>
      </c>
      <c r="U548" s="1">
        <v>0</v>
      </c>
      <c r="V548" s="1" t="s">
        <v>2691</v>
      </c>
      <c r="W548" s="1" t="s">
        <v>2728</v>
      </c>
    </row>
    <row r="549" spans="1:23" ht="12.4">
      <c r="A549" s="1">
        <v>548</v>
      </c>
      <c r="B549" s="1" t="s">
        <v>2729</v>
      </c>
      <c r="C549" s="1" t="s">
        <v>2730</v>
      </c>
      <c r="D549" s="1">
        <v>0.05</v>
      </c>
      <c r="E549" s="1">
        <v>0.09</v>
      </c>
      <c r="F549" s="1">
        <v>0</v>
      </c>
      <c r="G549" s="1">
        <v>0.11</v>
      </c>
      <c r="H549" s="1">
        <v>0</v>
      </c>
      <c r="I549" s="2">
        <v>0.28000000000000003</v>
      </c>
      <c r="J549" s="1">
        <v>0.15</v>
      </c>
      <c r="K549" s="2">
        <v>0.22</v>
      </c>
      <c r="L549" s="2">
        <v>53.33</v>
      </c>
      <c r="M549" s="1">
        <v>0</v>
      </c>
      <c r="N549" s="1">
        <v>0</v>
      </c>
      <c r="O549" s="1">
        <v>38.729999999999997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 t="s">
        <v>2691</v>
      </c>
      <c r="W549" s="1" t="s">
        <v>2731</v>
      </c>
    </row>
    <row r="550" spans="1:23" ht="12.4">
      <c r="A550" s="1">
        <v>549</v>
      </c>
      <c r="B550" s="1" t="s">
        <v>2732</v>
      </c>
      <c r="C550" s="1" t="s">
        <v>2733</v>
      </c>
      <c r="D550" s="1">
        <v>0.09</v>
      </c>
      <c r="E550" s="1">
        <v>0</v>
      </c>
      <c r="F550" s="1">
        <v>0</v>
      </c>
      <c r="G550" s="1">
        <v>0.02</v>
      </c>
      <c r="H550" s="1">
        <v>13.79</v>
      </c>
      <c r="I550" s="2">
        <v>32.869999999999997</v>
      </c>
      <c r="J550" s="1">
        <v>12.44</v>
      </c>
      <c r="K550" s="2">
        <v>0.12</v>
      </c>
      <c r="L550" s="2">
        <v>0</v>
      </c>
      <c r="M550" s="1">
        <v>0</v>
      </c>
      <c r="N550" s="1">
        <v>0</v>
      </c>
      <c r="O550" s="1">
        <v>38.869999999999997</v>
      </c>
      <c r="P550" s="1">
        <v>0</v>
      </c>
      <c r="Q550" s="1">
        <v>0</v>
      </c>
      <c r="R550" s="1">
        <v>300</v>
      </c>
      <c r="S550" s="1">
        <v>0</v>
      </c>
      <c r="T550" s="1">
        <v>0</v>
      </c>
      <c r="U550" s="1">
        <v>0</v>
      </c>
      <c r="V550" s="1" t="s">
        <v>2691</v>
      </c>
      <c r="W550" s="1" t="s">
        <v>2734</v>
      </c>
    </row>
    <row r="551" spans="1:23" ht="12.4">
      <c r="A551" s="1">
        <v>550</v>
      </c>
      <c r="B551" s="1" t="s">
        <v>2735</v>
      </c>
      <c r="C551" s="1" t="s">
        <v>1551</v>
      </c>
      <c r="D551" s="1">
        <v>55.47</v>
      </c>
      <c r="E551" s="1">
        <v>0.11</v>
      </c>
      <c r="F551" s="1">
        <v>27.17</v>
      </c>
      <c r="G551" s="1">
        <v>0.03</v>
      </c>
      <c r="H551" s="1">
        <v>0.54</v>
      </c>
      <c r="I551" s="2">
        <v>0</v>
      </c>
      <c r="J551" s="1">
        <v>0.02</v>
      </c>
      <c r="K551" s="2">
        <v>0.03</v>
      </c>
      <c r="L551" s="2">
        <v>10.3</v>
      </c>
      <c r="M551" s="1">
        <v>5.68</v>
      </c>
      <c r="N551" s="1">
        <v>0.32</v>
      </c>
      <c r="O551" s="1">
        <v>0</v>
      </c>
      <c r="P551" s="1">
        <v>0</v>
      </c>
      <c r="Q551" s="1">
        <v>0</v>
      </c>
      <c r="R551" s="1">
        <v>700</v>
      </c>
      <c r="S551" s="1">
        <v>300</v>
      </c>
      <c r="T551" s="1">
        <v>200</v>
      </c>
      <c r="U551" s="1">
        <v>200</v>
      </c>
      <c r="V551" s="1" t="s">
        <v>2691</v>
      </c>
      <c r="W551" s="1" t="s">
        <v>2736</v>
      </c>
    </row>
    <row r="552" spans="1:23" ht="12.4">
      <c r="A552" s="1">
        <v>551</v>
      </c>
      <c r="B552" s="1" t="s">
        <v>2737</v>
      </c>
      <c r="C552" s="1" t="s">
        <v>1551</v>
      </c>
      <c r="D552" s="1">
        <v>53.67</v>
      </c>
      <c r="E552" s="1">
        <v>0.13</v>
      </c>
      <c r="F552" s="1">
        <v>29.11</v>
      </c>
      <c r="G552" s="1">
        <v>0.02</v>
      </c>
      <c r="H552" s="1">
        <v>0.52</v>
      </c>
      <c r="I552" s="2">
        <v>0</v>
      </c>
      <c r="J552" s="1">
        <v>0.02</v>
      </c>
      <c r="K552" s="2">
        <v>0.03</v>
      </c>
      <c r="L552" s="2">
        <v>12.04</v>
      </c>
      <c r="M552" s="1">
        <v>4.6399999999999997</v>
      </c>
      <c r="N552" s="1">
        <v>0.28999999999999998</v>
      </c>
      <c r="O552" s="1">
        <v>0</v>
      </c>
      <c r="P552" s="1">
        <v>0</v>
      </c>
      <c r="Q552" s="1">
        <v>0</v>
      </c>
      <c r="R552" s="1">
        <v>600</v>
      </c>
      <c r="S552" s="1">
        <v>300</v>
      </c>
      <c r="T552" s="1">
        <v>100</v>
      </c>
      <c r="U552" s="1">
        <v>0</v>
      </c>
      <c r="V552" s="1" t="s">
        <v>2691</v>
      </c>
      <c r="W552" s="1" t="s">
        <v>2738</v>
      </c>
    </row>
    <row r="553" spans="1:23" ht="12.4">
      <c r="A553" s="1">
        <v>552</v>
      </c>
      <c r="B553" s="1" t="s">
        <v>2739</v>
      </c>
      <c r="C553" s="1" t="s">
        <v>1551</v>
      </c>
      <c r="D553" s="1">
        <v>65.34</v>
      </c>
      <c r="E553" s="1">
        <v>0.01</v>
      </c>
      <c r="F553" s="1">
        <v>21.79</v>
      </c>
      <c r="G553" s="1">
        <v>0.02</v>
      </c>
      <c r="H553" s="1">
        <v>0.12</v>
      </c>
      <c r="I553" s="2">
        <v>0</v>
      </c>
      <c r="J553" s="1">
        <v>0</v>
      </c>
      <c r="K553" s="2">
        <v>0</v>
      </c>
      <c r="L553" s="2">
        <v>2.4500000000000002</v>
      </c>
      <c r="M553" s="1">
        <v>10.41</v>
      </c>
      <c r="N553" s="1">
        <v>0.16</v>
      </c>
      <c r="O553" s="1">
        <v>0</v>
      </c>
      <c r="P553" s="1">
        <v>0</v>
      </c>
      <c r="Q553" s="1">
        <v>0</v>
      </c>
      <c r="R553" s="1">
        <v>600</v>
      </c>
      <c r="S553" s="1">
        <v>0</v>
      </c>
      <c r="T553" s="1">
        <v>0</v>
      </c>
      <c r="U553" s="1">
        <v>0</v>
      </c>
      <c r="V553" s="1" t="s">
        <v>2691</v>
      </c>
      <c r="W553" s="1" t="s">
        <v>2740</v>
      </c>
    </row>
    <row r="554" spans="1:23" ht="12.4">
      <c r="A554" s="1">
        <v>553</v>
      </c>
      <c r="B554" s="1" t="s">
        <v>2741</v>
      </c>
      <c r="C554" s="1" t="s">
        <v>1551</v>
      </c>
      <c r="D554" s="1">
        <v>46.55</v>
      </c>
      <c r="E554" s="1">
        <v>0</v>
      </c>
      <c r="F554" s="1">
        <v>27.21</v>
      </c>
      <c r="G554" s="1">
        <v>0.01</v>
      </c>
      <c r="H554" s="1">
        <v>0.1</v>
      </c>
      <c r="I554" s="2">
        <v>0</v>
      </c>
      <c r="J554" s="1">
        <v>0.01</v>
      </c>
      <c r="K554" s="2">
        <v>0</v>
      </c>
      <c r="L554" s="2">
        <v>17</v>
      </c>
      <c r="M554" s="1">
        <v>3.75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600</v>
      </c>
      <c r="T554" s="1">
        <v>0</v>
      </c>
      <c r="U554" s="1">
        <v>500</v>
      </c>
      <c r="V554" s="1" t="s">
        <v>2691</v>
      </c>
      <c r="W554" s="1" t="s">
        <v>2742</v>
      </c>
    </row>
    <row r="555" spans="1:23" ht="12.4">
      <c r="A555" s="1">
        <v>554</v>
      </c>
      <c r="B555" s="1" t="s">
        <v>2743</v>
      </c>
      <c r="C555" s="1" t="s">
        <v>2744</v>
      </c>
      <c r="D555" s="1">
        <v>39.76</v>
      </c>
      <c r="E555" s="1">
        <v>0.36</v>
      </c>
      <c r="F555" s="1">
        <v>18.100000000000001</v>
      </c>
      <c r="G555" s="1">
        <v>0.06</v>
      </c>
      <c r="H555" s="1">
        <v>4.9000000000000004</v>
      </c>
      <c r="I555" s="2">
        <v>1.77</v>
      </c>
      <c r="J555" s="1">
        <v>0.1</v>
      </c>
      <c r="K555" s="2">
        <v>0.84</v>
      </c>
      <c r="L555" s="2">
        <v>36.909999999999997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2200</v>
      </c>
      <c r="S555" s="1">
        <v>0</v>
      </c>
      <c r="T555" s="1">
        <v>0</v>
      </c>
      <c r="U555" s="1">
        <v>1500</v>
      </c>
      <c r="V555" s="1" t="s">
        <v>2691</v>
      </c>
      <c r="W555" s="1" t="s">
        <v>2745</v>
      </c>
    </row>
    <row r="556" spans="1:23" ht="12.4">
      <c r="A556" s="1">
        <v>555</v>
      </c>
      <c r="B556" s="1" t="s">
        <v>2746</v>
      </c>
      <c r="C556" s="1" t="s">
        <v>2747</v>
      </c>
      <c r="D556" s="1">
        <v>0</v>
      </c>
      <c r="E556" s="1">
        <v>0.02</v>
      </c>
      <c r="F556" s="1">
        <v>0</v>
      </c>
      <c r="G556" s="1">
        <v>0.04</v>
      </c>
      <c r="H556" s="1">
        <v>0</v>
      </c>
      <c r="I556" s="2">
        <v>31.23</v>
      </c>
      <c r="J556" s="1">
        <v>14.33</v>
      </c>
      <c r="K556" s="2">
        <v>1.54</v>
      </c>
      <c r="L556" s="2">
        <v>10.98</v>
      </c>
      <c r="M556" s="1">
        <v>0</v>
      </c>
      <c r="N556" s="1">
        <v>0</v>
      </c>
      <c r="O556" s="1">
        <v>40.29</v>
      </c>
      <c r="P556" s="1">
        <v>0</v>
      </c>
      <c r="Q556" s="1">
        <v>0</v>
      </c>
      <c r="R556" s="1">
        <v>200</v>
      </c>
      <c r="S556" s="1">
        <v>0</v>
      </c>
      <c r="T556" s="1">
        <v>2200</v>
      </c>
      <c r="U556" s="1">
        <v>0</v>
      </c>
      <c r="V556" s="1" t="s">
        <v>2691</v>
      </c>
      <c r="W556" s="1" t="s">
        <v>2748</v>
      </c>
    </row>
    <row r="557" spans="1:23" ht="12.4">
      <c r="A557" s="1">
        <v>556</v>
      </c>
      <c r="B557" s="1" t="s">
        <v>2749</v>
      </c>
      <c r="C557" s="1" t="s">
        <v>2750</v>
      </c>
      <c r="D557" s="1">
        <v>0.34</v>
      </c>
      <c r="E557" s="1">
        <v>0</v>
      </c>
      <c r="F557" s="1">
        <v>2.48</v>
      </c>
      <c r="G557" s="1">
        <v>0</v>
      </c>
      <c r="H557" s="1">
        <v>0</v>
      </c>
      <c r="I557" s="2">
        <v>29.49</v>
      </c>
      <c r="J557" s="1">
        <v>8.6999999999999993</v>
      </c>
      <c r="K557" s="2">
        <v>3.16</v>
      </c>
      <c r="L557" s="2">
        <v>3.54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 t="s">
        <v>2691</v>
      </c>
      <c r="W557" s="1" t="s">
        <v>2751</v>
      </c>
    </row>
    <row r="558" spans="1:23" ht="12.4">
      <c r="A558" s="1">
        <v>557</v>
      </c>
      <c r="B558" s="1" t="s">
        <v>2752</v>
      </c>
      <c r="C558" s="1" t="s">
        <v>1496</v>
      </c>
      <c r="D558" s="1">
        <v>44.84</v>
      </c>
      <c r="E558" s="1">
        <v>0.14000000000000001</v>
      </c>
      <c r="F558" s="1">
        <v>2.56</v>
      </c>
      <c r="G558" s="1">
        <v>0.62</v>
      </c>
      <c r="H558" s="1">
        <v>0</v>
      </c>
      <c r="I558" s="2">
        <v>20.95</v>
      </c>
      <c r="J558" s="1">
        <v>0.36</v>
      </c>
      <c r="K558" s="2">
        <v>27.86</v>
      </c>
      <c r="L558" s="2">
        <v>1.97</v>
      </c>
      <c r="M558" s="1">
        <v>0.01</v>
      </c>
      <c r="N558" s="1">
        <v>0.15</v>
      </c>
      <c r="O558" s="1">
        <v>0.48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/>
      <c r="W558" s="1" t="s">
        <v>2753</v>
      </c>
    </row>
    <row r="559" spans="1:23" ht="12.4">
      <c r="A559" s="1">
        <v>558</v>
      </c>
      <c r="B559" s="1" t="s">
        <v>2754</v>
      </c>
      <c r="C559" s="1" t="s">
        <v>2755</v>
      </c>
      <c r="D559" s="1">
        <v>40.71</v>
      </c>
      <c r="E559" s="1">
        <v>0.02</v>
      </c>
      <c r="F559" s="1">
        <v>0.48</v>
      </c>
      <c r="G559" s="1">
        <v>0.43</v>
      </c>
      <c r="H559" s="1">
        <v>0</v>
      </c>
      <c r="I559" s="2">
        <v>4.7300000000000004</v>
      </c>
      <c r="J559" s="1">
        <v>0.04</v>
      </c>
      <c r="K559" s="2">
        <v>39.67</v>
      </c>
      <c r="L559" s="2">
        <v>0.01</v>
      </c>
      <c r="M559" s="1">
        <v>0.01</v>
      </c>
      <c r="N559" s="1">
        <v>0.01</v>
      </c>
      <c r="O559" s="1">
        <v>0.03</v>
      </c>
      <c r="P559" s="1">
        <v>12.98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/>
      <c r="W559" s="1"/>
    </row>
    <row r="560" spans="1:23" ht="12.4">
      <c r="A560" s="1">
        <v>559</v>
      </c>
      <c r="B560" s="1" t="s">
        <v>2756</v>
      </c>
      <c r="C560" s="1" t="s">
        <v>2757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2">
        <v>0</v>
      </c>
      <c r="J560" s="1">
        <v>0</v>
      </c>
      <c r="K560" s="2">
        <v>0</v>
      </c>
      <c r="L560" s="2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/>
      <c r="W560" s="1" t="s">
        <v>2758</v>
      </c>
    </row>
    <row r="561" spans="1:23" ht="12.4">
      <c r="A561" s="1">
        <v>560</v>
      </c>
      <c r="B561" s="1" t="s">
        <v>2759</v>
      </c>
      <c r="C561" s="1" t="s">
        <v>1496</v>
      </c>
      <c r="D561" s="1">
        <v>39.24</v>
      </c>
      <c r="E561" s="1">
        <v>0.08</v>
      </c>
      <c r="F561" s="1">
        <v>1.43</v>
      </c>
      <c r="G561" s="1">
        <v>0.47</v>
      </c>
      <c r="H561" s="1">
        <v>0</v>
      </c>
      <c r="I561" s="2">
        <v>13.54</v>
      </c>
      <c r="J561" s="1">
        <v>0.2</v>
      </c>
      <c r="K561" s="2">
        <v>31.45</v>
      </c>
      <c r="L561" s="2">
        <v>1.93</v>
      </c>
      <c r="M561" s="1">
        <v>0.01</v>
      </c>
      <c r="N561" s="1">
        <v>0.04</v>
      </c>
      <c r="O561" s="1">
        <v>0.23</v>
      </c>
      <c r="P561" s="1">
        <v>10.92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/>
      <c r="W561" s="1"/>
    </row>
    <row r="562" spans="1:23" ht="37.35">
      <c r="A562" s="1">
        <v>561</v>
      </c>
      <c r="B562" s="1" t="s">
        <v>2760</v>
      </c>
      <c r="C562" s="1" t="s">
        <v>1496</v>
      </c>
      <c r="D562" s="1">
        <v>70.760000000000005</v>
      </c>
      <c r="E562" s="1">
        <v>0</v>
      </c>
      <c r="F562" s="1">
        <v>17.79</v>
      </c>
      <c r="G562" s="1">
        <v>0</v>
      </c>
      <c r="H562" s="1">
        <v>0.04</v>
      </c>
      <c r="I562" s="2">
        <v>0.04</v>
      </c>
      <c r="J562" s="1">
        <v>0</v>
      </c>
      <c r="K562" s="2">
        <v>1.1200000000000001</v>
      </c>
      <c r="L562" s="2">
        <v>0.27</v>
      </c>
      <c r="M562" s="1">
        <v>8.93</v>
      </c>
      <c r="N562" s="1">
        <v>0.28999999999999998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 t="s">
        <v>2761</v>
      </c>
      <c r="W562" s="1" t="s">
        <v>2762</v>
      </c>
    </row>
    <row r="563" spans="1:23" ht="49.7">
      <c r="A563" s="1">
        <v>562</v>
      </c>
      <c r="B563" s="1" t="s">
        <v>2763</v>
      </c>
      <c r="C563" s="1" t="s">
        <v>1496</v>
      </c>
      <c r="D563" s="1">
        <v>48.98</v>
      </c>
      <c r="E563" s="1">
        <v>0.15</v>
      </c>
      <c r="F563" s="1">
        <v>28.66</v>
      </c>
      <c r="G563" s="1">
        <v>0</v>
      </c>
      <c r="H563" s="1">
        <v>0</v>
      </c>
      <c r="I563" s="2">
        <v>2.81</v>
      </c>
      <c r="J563" s="1">
        <v>0.03</v>
      </c>
      <c r="K563" s="2">
        <v>1.37</v>
      </c>
      <c r="L563" s="2">
        <v>15.23</v>
      </c>
      <c r="M563" s="1">
        <v>2.4</v>
      </c>
      <c r="N563" s="1">
        <v>0.09</v>
      </c>
      <c r="O563" s="1">
        <v>0</v>
      </c>
      <c r="P563" s="1">
        <v>0.51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 t="s">
        <v>2764</v>
      </c>
      <c r="W563" s="1"/>
    </row>
    <row r="564" spans="1:23" ht="37.35">
      <c r="A564" s="1">
        <v>563</v>
      </c>
      <c r="B564" s="1" t="s">
        <v>505</v>
      </c>
      <c r="C564" s="1" t="s">
        <v>2159</v>
      </c>
      <c r="D564" s="1">
        <v>47.97</v>
      </c>
      <c r="E564" s="1">
        <v>0.56000000000000005</v>
      </c>
      <c r="F564" s="1">
        <v>0.89</v>
      </c>
      <c r="G564" s="1">
        <v>0.04</v>
      </c>
      <c r="H564" s="1">
        <v>0</v>
      </c>
      <c r="I564" s="2">
        <v>29.78</v>
      </c>
      <c r="J564" s="1">
        <v>0.81</v>
      </c>
      <c r="K564" s="2">
        <v>8.31</v>
      </c>
      <c r="L564" s="2">
        <v>12.9</v>
      </c>
      <c r="M564" s="1">
        <v>0.11</v>
      </c>
      <c r="N564" s="1">
        <v>0.05</v>
      </c>
      <c r="O564" s="1">
        <v>0.11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 t="s">
        <v>2765</v>
      </c>
      <c r="W564" s="1" t="s">
        <v>2766</v>
      </c>
    </row>
    <row r="565" spans="1:23" ht="24.95">
      <c r="A565" s="1">
        <v>564</v>
      </c>
      <c r="B565" s="1" t="s">
        <v>509</v>
      </c>
      <c r="C565" s="1" t="s">
        <v>1510</v>
      </c>
      <c r="D565" s="1">
        <v>51.1</v>
      </c>
      <c r="E565" s="1">
        <v>0.41</v>
      </c>
      <c r="F565" s="1">
        <v>0</v>
      </c>
      <c r="G565" s="1">
        <v>0.54</v>
      </c>
      <c r="H565" s="1">
        <v>0</v>
      </c>
      <c r="I565" s="2">
        <v>16.05</v>
      </c>
      <c r="J565" s="1">
        <v>0.57999999999999996</v>
      </c>
      <c r="K565" s="2">
        <v>0.87</v>
      </c>
      <c r="L565" s="2">
        <v>16.100000000000001</v>
      </c>
      <c r="M565" s="1">
        <v>14.35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 t="s">
        <v>2767</v>
      </c>
      <c r="W565" s="1"/>
    </row>
    <row r="566" spans="1:23" ht="12.4">
      <c r="A566" s="1">
        <v>565</v>
      </c>
      <c r="B566" s="1" t="s">
        <v>2768</v>
      </c>
      <c r="C566" s="1" t="s">
        <v>1496</v>
      </c>
      <c r="D566" s="1">
        <v>42.37</v>
      </c>
      <c r="E566" s="1">
        <v>2.0299999999999998</v>
      </c>
      <c r="F566" s="1">
        <v>11.5</v>
      </c>
      <c r="G566" s="1">
        <v>0</v>
      </c>
      <c r="H566" s="1">
        <v>13.31</v>
      </c>
      <c r="I566" s="2">
        <v>0</v>
      </c>
      <c r="J566" s="1">
        <v>0.4</v>
      </c>
      <c r="K566" s="2">
        <v>14.02</v>
      </c>
      <c r="L566" s="2">
        <v>10.32</v>
      </c>
      <c r="M566" s="1">
        <v>2.59</v>
      </c>
      <c r="N566" s="1">
        <v>1.0900000000000001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/>
      <c r="W566" s="1"/>
    </row>
    <row r="567" spans="1:23" ht="12.4">
      <c r="A567" s="1">
        <v>566</v>
      </c>
      <c r="B567" s="5" t="s">
        <v>2769</v>
      </c>
      <c r="C567" s="1" t="s">
        <v>1496</v>
      </c>
      <c r="D567" s="1">
        <v>48.19</v>
      </c>
      <c r="E567" s="1">
        <v>1.78</v>
      </c>
      <c r="F567" s="1">
        <v>17.45</v>
      </c>
      <c r="G567" s="1">
        <v>0</v>
      </c>
      <c r="H567" s="1">
        <v>11.83</v>
      </c>
      <c r="I567" s="2">
        <v>0</v>
      </c>
      <c r="J567" s="1">
        <v>0.17</v>
      </c>
      <c r="K567" s="2">
        <v>4.72</v>
      </c>
      <c r="L567" s="2">
        <v>10.18</v>
      </c>
      <c r="M567" s="1">
        <v>3.92</v>
      </c>
      <c r="N567" s="1">
        <v>0.79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/>
      <c r="W567" s="1"/>
    </row>
    <row r="568" spans="1:23" ht="12.4">
      <c r="A568" s="1">
        <v>567</v>
      </c>
      <c r="B568" s="5" t="s">
        <v>2770</v>
      </c>
      <c r="C568" s="1" t="s">
        <v>1496</v>
      </c>
      <c r="D568" s="1">
        <v>46.51</v>
      </c>
      <c r="E568" s="1">
        <v>0.61</v>
      </c>
      <c r="F568" s="1">
        <v>20.079999999999998</v>
      </c>
      <c r="G568" s="1">
        <v>0</v>
      </c>
      <c r="H568" s="1">
        <v>7.61</v>
      </c>
      <c r="I568" s="2">
        <v>0</v>
      </c>
      <c r="J568" s="1">
        <v>0.09</v>
      </c>
      <c r="K568" s="2">
        <v>2.78</v>
      </c>
      <c r="L568" s="2">
        <v>4.53</v>
      </c>
      <c r="M568" s="1">
        <v>2.0499999999999998</v>
      </c>
      <c r="N568" s="1">
        <v>4.28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/>
      <c r="W568" s="1"/>
    </row>
    <row r="569" spans="1:23" ht="12.4">
      <c r="A569" s="1">
        <v>568</v>
      </c>
      <c r="B569" s="5" t="s">
        <v>2771</v>
      </c>
      <c r="C569" s="1" t="s">
        <v>1496</v>
      </c>
      <c r="D569" s="1">
        <v>43.31</v>
      </c>
      <c r="E569" s="1">
        <v>2.37</v>
      </c>
      <c r="F569" s="1">
        <v>12.66</v>
      </c>
      <c r="G569" s="1">
        <v>0</v>
      </c>
      <c r="H569" s="1">
        <v>11.92</v>
      </c>
      <c r="I569" s="2">
        <v>0</v>
      </c>
      <c r="J569" s="1">
        <v>0.18</v>
      </c>
      <c r="K569" s="2">
        <v>13.48</v>
      </c>
      <c r="L569" s="2">
        <v>10.16</v>
      </c>
      <c r="M569" s="1">
        <v>3.15</v>
      </c>
      <c r="N569" s="1">
        <v>1.4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/>
      <c r="W569" s="1"/>
    </row>
    <row r="570" spans="1:23" ht="12.4">
      <c r="A570" s="1">
        <v>569</v>
      </c>
      <c r="B570" s="5" t="s">
        <v>2772</v>
      </c>
      <c r="C570" s="1" t="s">
        <v>1496</v>
      </c>
      <c r="D570" s="1">
        <v>47.76</v>
      </c>
      <c r="E570" s="1">
        <v>1.54</v>
      </c>
      <c r="F570" s="1">
        <v>18.350000000000001</v>
      </c>
      <c r="G570" s="1">
        <v>0</v>
      </c>
      <c r="H570" s="1">
        <v>11.47</v>
      </c>
      <c r="I570" s="2">
        <v>0</v>
      </c>
      <c r="J570" s="1">
        <v>0.15</v>
      </c>
      <c r="K570" s="2">
        <v>6.35</v>
      </c>
      <c r="L570" s="2">
        <v>9.69</v>
      </c>
      <c r="M570" s="1">
        <v>3.52</v>
      </c>
      <c r="N570" s="1">
        <v>0.65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/>
      <c r="W570" s="1"/>
    </row>
    <row r="571" spans="1:23" ht="12.4">
      <c r="A571" s="1">
        <v>570</v>
      </c>
      <c r="B571" s="1" t="s">
        <v>2773</v>
      </c>
      <c r="C571" s="1" t="s">
        <v>1496</v>
      </c>
      <c r="D571" s="1">
        <v>42.7</v>
      </c>
      <c r="E571" s="1">
        <v>1.89</v>
      </c>
      <c r="F571" s="1">
        <v>10.89</v>
      </c>
      <c r="G571" s="1">
        <v>0</v>
      </c>
      <c r="H571" s="1">
        <v>13.73</v>
      </c>
      <c r="I571" s="2">
        <v>0</v>
      </c>
      <c r="J571" s="1">
        <v>0.41</v>
      </c>
      <c r="K571" s="2">
        <v>16.66</v>
      </c>
      <c r="L571" s="2">
        <v>8.98</v>
      </c>
      <c r="M571" s="1">
        <v>2.5499999999999998</v>
      </c>
      <c r="N571" s="1">
        <v>1.1000000000000001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/>
      <c r="W571" s="1"/>
    </row>
    <row r="572" spans="1:23" ht="12.4">
      <c r="A572" s="1">
        <v>571</v>
      </c>
      <c r="B572" s="1" t="s">
        <v>2774</v>
      </c>
      <c r="C572" s="1" t="s">
        <v>1496</v>
      </c>
      <c r="D572" s="1">
        <v>42.78</v>
      </c>
      <c r="E572" s="1">
        <v>1.99</v>
      </c>
      <c r="F572" s="1">
        <v>10.93</v>
      </c>
      <c r="G572" s="1">
        <v>0</v>
      </c>
      <c r="H572" s="1">
        <v>12.75</v>
      </c>
      <c r="I572" s="2">
        <v>0</v>
      </c>
      <c r="J572" s="1">
        <v>0.3</v>
      </c>
      <c r="K572" s="2">
        <v>17.100000000000001</v>
      </c>
      <c r="L572" s="2">
        <v>8.85</v>
      </c>
      <c r="M572" s="1">
        <v>2.67</v>
      </c>
      <c r="N572" s="1">
        <v>1.18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/>
      <c r="W572" s="1"/>
    </row>
    <row r="573" spans="1:23" ht="12.4">
      <c r="A573" s="1">
        <v>572</v>
      </c>
      <c r="B573" s="5" t="s">
        <v>2775</v>
      </c>
      <c r="C573" s="1" t="s">
        <v>1496</v>
      </c>
      <c r="D573" s="1">
        <v>44.47</v>
      </c>
      <c r="E573" s="1">
        <v>0.56999999999999995</v>
      </c>
      <c r="F573" s="1">
        <v>17.96</v>
      </c>
      <c r="G573" s="1">
        <v>0</v>
      </c>
      <c r="H573" s="1">
        <v>6.62</v>
      </c>
      <c r="I573" s="2">
        <v>0</v>
      </c>
      <c r="J573" s="1">
        <v>0.18</v>
      </c>
      <c r="K573" s="2">
        <v>3.97</v>
      </c>
      <c r="L573" s="2">
        <v>7.38</v>
      </c>
      <c r="M573" s="1">
        <v>2.31</v>
      </c>
      <c r="N573" s="1">
        <v>3.57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/>
      <c r="W573" s="1"/>
    </row>
    <row r="574" spans="1:23" ht="12.4">
      <c r="A574" s="1">
        <v>573</v>
      </c>
      <c r="B574" s="5" t="s">
        <v>2776</v>
      </c>
      <c r="C574" s="1" t="s">
        <v>1496</v>
      </c>
      <c r="D574" s="1">
        <v>45.75</v>
      </c>
      <c r="E574" s="1">
        <v>0.61</v>
      </c>
      <c r="F574" s="1">
        <v>19.52</v>
      </c>
      <c r="G574" s="1">
        <v>0</v>
      </c>
      <c r="H574" s="1">
        <v>7.26</v>
      </c>
      <c r="I574" s="2">
        <v>0</v>
      </c>
      <c r="J574" s="1">
        <v>0.11</v>
      </c>
      <c r="K574" s="2">
        <v>3.16</v>
      </c>
      <c r="L574" s="2">
        <v>5.7</v>
      </c>
      <c r="M574" s="1">
        <v>2.1</v>
      </c>
      <c r="N574" s="1">
        <v>4.1100000000000003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/>
      <c r="W574" s="1"/>
    </row>
    <row r="575" spans="1:23" ht="12.4">
      <c r="A575" s="1">
        <v>574</v>
      </c>
      <c r="B575" s="5" t="s">
        <v>2777</v>
      </c>
      <c r="C575" s="1" t="s">
        <v>1496</v>
      </c>
      <c r="D575" s="1">
        <v>46.56</v>
      </c>
      <c r="E575" s="1">
        <v>0.61</v>
      </c>
      <c r="F575" s="1">
        <v>20.04</v>
      </c>
      <c r="G575" s="1">
        <v>0</v>
      </c>
      <c r="H575" s="1">
        <v>7.53</v>
      </c>
      <c r="I575" s="2">
        <v>0</v>
      </c>
      <c r="J575" s="1">
        <v>0.09</v>
      </c>
      <c r="K575" s="2">
        <v>2.75</v>
      </c>
      <c r="L575" s="2">
        <v>4.17</v>
      </c>
      <c r="M575" s="1">
        <v>2.19</v>
      </c>
      <c r="N575" s="1">
        <v>4.26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/>
      <c r="W575" s="1"/>
    </row>
    <row r="576" spans="1:23" ht="12.4">
      <c r="A576" s="1">
        <v>575</v>
      </c>
      <c r="B576" s="5" t="s">
        <v>2778</v>
      </c>
      <c r="C576" s="1" t="s">
        <v>1496</v>
      </c>
      <c r="D576" s="1">
        <v>48.17</v>
      </c>
      <c r="E576" s="1">
        <v>1.73</v>
      </c>
      <c r="F576" s="1">
        <v>17.71</v>
      </c>
      <c r="G576" s="1">
        <v>0</v>
      </c>
      <c r="H576" s="1">
        <v>11.87</v>
      </c>
      <c r="I576" s="2">
        <v>0</v>
      </c>
      <c r="J576" s="1">
        <v>0.17</v>
      </c>
      <c r="K576" s="2">
        <v>5.52</v>
      </c>
      <c r="L576" s="2">
        <v>9.5399999999999991</v>
      </c>
      <c r="M576" s="1">
        <v>3.83</v>
      </c>
      <c r="N576" s="1">
        <v>0.8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/>
      <c r="W576" s="1"/>
    </row>
    <row r="577" spans="1:23" ht="12.4">
      <c r="A577" s="1">
        <v>576</v>
      </c>
      <c r="B577" s="5" t="s">
        <v>2779</v>
      </c>
      <c r="C577" s="1" t="s">
        <v>1496</v>
      </c>
      <c r="D577" s="1">
        <v>47.81</v>
      </c>
      <c r="E577" s="1">
        <v>1.61</v>
      </c>
      <c r="F577" s="1">
        <v>17.920000000000002</v>
      </c>
      <c r="G577" s="1">
        <v>0</v>
      </c>
      <c r="H577" s="1">
        <v>12.02</v>
      </c>
      <c r="I577" s="2">
        <v>0</v>
      </c>
      <c r="J577" s="1">
        <v>0.17</v>
      </c>
      <c r="K577" s="2">
        <v>6.47</v>
      </c>
      <c r="L577" s="2">
        <v>9.4600000000000009</v>
      </c>
      <c r="M577" s="1">
        <v>3.62</v>
      </c>
      <c r="N577" s="1">
        <v>0.71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/>
      <c r="W577" s="1"/>
    </row>
    <row r="578" spans="1:23" ht="12.4">
      <c r="A578" s="1">
        <v>577</v>
      </c>
      <c r="B578" s="1" t="s">
        <v>2780</v>
      </c>
      <c r="C578" s="1" t="s">
        <v>2781</v>
      </c>
      <c r="D578" s="1">
        <v>53.38</v>
      </c>
      <c r="E578" s="1">
        <v>0.44</v>
      </c>
      <c r="F578" s="1">
        <v>26.26</v>
      </c>
      <c r="G578" s="1">
        <v>0.08</v>
      </c>
      <c r="H578" s="1">
        <v>1.5</v>
      </c>
      <c r="I578" s="2">
        <v>0</v>
      </c>
      <c r="J578" s="1">
        <v>0.03</v>
      </c>
      <c r="K578" s="2">
        <v>0.65</v>
      </c>
      <c r="L578" s="2">
        <v>9.6199999999999992</v>
      </c>
      <c r="M578" s="1">
        <v>4.9400000000000004</v>
      </c>
      <c r="N578" s="1">
        <v>1.2</v>
      </c>
      <c r="O578" s="1">
        <v>0.12</v>
      </c>
      <c r="P578" s="1">
        <v>1.1499999999999999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/>
      <c r="W578" s="1"/>
    </row>
    <row r="579" spans="1:23" ht="12.4">
      <c r="A579" s="1">
        <v>578</v>
      </c>
      <c r="B579" s="1" t="s">
        <v>2782</v>
      </c>
      <c r="C579" s="1" t="s">
        <v>2783</v>
      </c>
      <c r="D579" s="1">
        <v>53.36</v>
      </c>
      <c r="E579" s="1">
        <v>0.03</v>
      </c>
      <c r="F579" s="1">
        <v>0.85</v>
      </c>
      <c r="G579" s="1">
        <v>0.14000000000000001</v>
      </c>
      <c r="H579" s="1">
        <v>5.42</v>
      </c>
      <c r="I579" s="2">
        <v>0</v>
      </c>
      <c r="J579" s="1">
        <v>0.18</v>
      </c>
      <c r="K579" s="2">
        <v>15.81</v>
      </c>
      <c r="L579" s="2">
        <v>22.95</v>
      </c>
      <c r="M579" s="1">
        <v>1.42</v>
      </c>
      <c r="N579" s="1">
        <v>7.0000000000000007E-2</v>
      </c>
      <c r="O579" s="1">
        <v>0</v>
      </c>
      <c r="P579" s="1">
        <v>0.61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/>
      <c r="W579" s="1"/>
    </row>
    <row r="580" spans="1:23" ht="12.4">
      <c r="A580" s="1">
        <v>579</v>
      </c>
      <c r="B580" s="1" t="s">
        <v>2784</v>
      </c>
      <c r="C580" s="1" t="s">
        <v>2785</v>
      </c>
      <c r="D580" s="1">
        <v>38.47</v>
      </c>
      <c r="E580" s="1">
        <v>0.01</v>
      </c>
      <c r="F580" s="1">
        <v>0.09</v>
      </c>
      <c r="G580" s="1">
        <v>0.08</v>
      </c>
      <c r="H580" s="1">
        <v>0</v>
      </c>
      <c r="I580" s="2">
        <v>9.57</v>
      </c>
      <c r="J580" s="1">
        <v>0.13</v>
      </c>
      <c r="K580" s="2">
        <v>48.88</v>
      </c>
      <c r="L580" s="2">
        <v>0.14000000000000001</v>
      </c>
      <c r="M580" s="1">
        <v>0.03</v>
      </c>
      <c r="N580" s="1">
        <v>0.01</v>
      </c>
      <c r="O580" s="1">
        <v>0.01</v>
      </c>
      <c r="P580" s="1">
        <v>0.05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/>
      <c r="W580" s="1"/>
    </row>
    <row r="581" spans="1:23" ht="12.4">
      <c r="A581" s="1">
        <v>580</v>
      </c>
      <c r="B581" s="1" t="s">
        <v>2786</v>
      </c>
      <c r="C581" s="1" t="s">
        <v>2787</v>
      </c>
      <c r="D581" s="1">
        <v>56.37</v>
      </c>
      <c r="E581" s="1">
        <v>0.7</v>
      </c>
      <c r="F581" s="1">
        <v>24.57</v>
      </c>
      <c r="G581" s="1">
        <v>0.13</v>
      </c>
      <c r="H581" s="1">
        <v>0.06</v>
      </c>
      <c r="I581" s="2">
        <v>0</v>
      </c>
      <c r="J581" s="1">
        <v>7.0000000000000007E-2</v>
      </c>
      <c r="K581" s="2">
        <v>2.5099999999999998</v>
      </c>
      <c r="L581" s="2">
        <v>9.3800000000000008</v>
      </c>
      <c r="M581" s="1">
        <v>4.67</v>
      </c>
      <c r="N581" s="1">
        <v>0.76</v>
      </c>
      <c r="O581" s="1">
        <v>0.05</v>
      </c>
      <c r="P581" s="1">
        <v>1.06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/>
      <c r="W581" s="1"/>
    </row>
    <row r="582" spans="1:23" ht="12.4">
      <c r="A582" s="1">
        <v>581</v>
      </c>
      <c r="B582" s="1" t="s">
        <v>2788</v>
      </c>
      <c r="C582" s="1" t="s">
        <v>2789</v>
      </c>
      <c r="D582" s="1">
        <v>63.45</v>
      </c>
      <c r="E582" s="1">
        <v>0.01</v>
      </c>
      <c r="F582" s="1">
        <v>19.12</v>
      </c>
      <c r="G582" s="1">
        <v>0.01</v>
      </c>
      <c r="H582" s="1">
        <v>0</v>
      </c>
      <c r="I582" s="2">
        <v>0.13</v>
      </c>
      <c r="J582" s="1">
        <v>0.01</v>
      </c>
      <c r="K582" s="2">
        <v>0.01</v>
      </c>
      <c r="L582" s="2">
        <v>0.16</v>
      </c>
      <c r="M582" s="1">
        <v>2.77</v>
      </c>
      <c r="N582" s="1">
        <v>12.03</v>
      </c>
      <c r="O582" s="1">
        <v>0.56000000000000005</v>
      </c>
      <c r="P582" s="1">
        <v>0.1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/>
      <c r="W582" s="1"/>
    </row>
    <row r="583" spans="1:23" ht="12.4">
      <c r="A583" s="1">
        <v>582</v>
      </c>
      <c r="B583" s="1" t="s">
        <v>2790</v>
      </c>
      <c r="C583" s="1" t="s">
        <v>2791</v>
      </c>
      <c r="D583" s="1">
        <v>61.98</v>
      </c>
      <c r="E583" s="1">
        <v>0</v>
      </c>
      <c r="F583" s="1">
        <v>23.97</v>
      </c>
      <c r="G583" s="1">
        <v>0</v>
      </c>
      <c r="H583" s="1">
        <v>0</v>
      </c>
      <c r="I583" s="2">
        <v>0.04</v>
      </c>
      <c r="J583" s="1">
        <v>0</v>
      </c>
      <c r="K583" s="2">
        <v>0</v>
      </c>
      <c r="L583" s="2">
        <v>4.74</v>
      </c>
      <c r="M583" s="1">
        <v>9.0299999999999994</v>
      </c>
      <c r="N583" s="1">
        <v>0.5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/>
      <c r="W583" s="1"/>
    </row>
    <row r="584" spans="1:23" ht="12.4">
      <c r="A584" s="1">
        <v>583</v>
      </c>
      <c r="B584" s="1" t="s">
        <v>2792</v>
      </c>
      <c r="C584" s="1" t="s">
        <v>2793</v>
      </c>
      <c r="D584" s="1">
        <v>68.3</v>
      </c>
      <c r="E584" s="1">
        <v>0.03</v>
      </c>
      <c r="F584" s="1">
        <v>19.98</v>
      </c>
      <c r="G584" s="1">
        <v>0.02</v>
      </c>
      <c r="H584" s="1">
        <v>0.33</v>
      </c>
      <c r="I584" s="2">
        <v>0.01</v>
      </c>
      <c r="J584" s="1">
        <v>0.01</v>
      </c>
      <c r="K584" s="2">
        <v>0.04</v>
      </c>
      <c r="L584" s="2">
        <v>0.01</v>
      </c>
      <c r="M584" s="1">
        <v>11.54</v>
      </c>
      <c r="N584" s="1">
        <v>0.02</v>
      </c>
      <c r="O584" s="1">
        <v>0.03</v>
      </c>
      <c r="P584" s="1">
        <v>0.28999999999999998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/>
      <c r="W584" s="1"/>
    </row>
    <row r="585" spans="1:23" ht="12.4">
      <c r="A585" s="1">
        <v>584</v>
      </c>
      <c r="B585" s="1" t="s">
        <v>2794</v>
      </c>
      <c r="C585" s="1" t="s">
        <v>2781</v>
      </c>
      <c r="D585" s="1">
        <v>52.62</v>
      </c>
      <c r="E585" s="1">
        <v>0.11</v>
      </c>
      <c r="F585" s="1">
        <v>27.74</v>
      </c>
      <c r="G585" s="1">
        <v>0</v>
      </c>
      <c r="H585" s="1">
        <v>0</v>
      </c>
      <c r="I585" s="2">
        <v>2.5</v>
      </c>
      <c r="J585" s="1">
        <v>0.02</v>
      </c>
      <c r="K585" s="2">
        <v>0.14000000000000001</v>
      </c>
      <c r="L585" s="2">
        <v>10.9</v>
      </c>
      <c r="M585" s="1">
        <v>5.01</v>
      </c>
      <c r="N585" s="1">
        <v>0.42</v>
      </c>
      <c r="O585" s="1">
        <v>0.04</v>
      </c>
      <c r="P585" s="1">
        <v>0.49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/>
      <c r="W585" s="1"/>
    </row>
    <row r="586" spans="1:23" ht="12.4">
      <c r="A586" s="1">
        <v>585</v>
      </c>
      <c r="B586" s="1" t="s">
        <v>2795</v>
      </c>
      <c r="C586" s="1" t="s">
        <v>2785</v>
      </c>
      <c r="D586" s="1">
        <v>41.95</v>
      </c>
      <c r="E586" s="1">
        <v>0.01</v>
      </c>
      <c r="F586" s="1">
        <v>0.49</v>
      </c>
      <c r="G586" s="1">
        <v>0.56999999999999995</v>
      </c>
      <c r="H586" s="1">
        <v>0</v>
      </c>
      <c r="I586" s="2">
        <v>8.49</v>
      </c>
      <c r="J586" s="1">
        <v>0.13</v>
      </c>
      <c r="K586" s="2">
        <v>49.33</v>
      </c>
      <c r="L586" s="2">
        <v>0.38</v>
      </c>
      <c r="M586" s="1">
        <v>0.02</v>
      </c>
      <c r="N586" s="1">
        <v>0.12</v>
      </c>
      <c r="O586" s="1">
        <v>0.01</v>
      </c>
      <c r="P586" s="1">
        <v>0.05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/>
      <c r="W586" s="1"/>
    </row>
    <row r="587" spans="1:23" ht="12.4">
      <c r="A587" s="1">
        <v>586</v>
      </c>
      <c r="B587" s="1" t="s">
        <v>2796</v>
      </c>
      <c r="C587" s="1" t="s">
        <v>1496</v>
      </c>
      <c r="D587" s="1">
        <v>83</v>
      </c>
      <c r="E587" s="1">
        <v>9.4</v>
      </c>
      <c r="F587" s="1">
        <v>0</v>
      </c>
      <c r="G587" s="1">
        <v>0</v>
      </c>
      <c r="H587" s="1">
        <v>0</v>
      </c>
      <c r="I587" s="2">
        <v>6.5</v>
      </c>
      <c r="J587" s="1">
        <v>0</v>
      </c>
      <c r="K587" s="2">
        <v>0</v>
      </c>
      <c r="L587" s="2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 t="s">
        <v>2797</v>
      </c>
      <c r="W587" s="1" t="s">
        <v>2798</v>
      </c>
    </row>
    <row r="588" spans="1:23" ht="12.4">
      <c r="A588" s="1">
        <v>587</v>
      </c>
      <c r="B588" s="1" t="s">
        <v>2799</v>
      </c>
      <c r="C588" s="1" t="s">
        <v>1496</v>
      </c>
      <c r="D588" s="1">
        <v>93</v>
      </c>
      <c r="E588" s="1">
        <v>0</v>
      </c>
      <c r="F588" s="1">
        <v>0</v>
      </c>
      <c r="G588" s="1">
        <v>0</v>
      </c>
      <c r="H588" s="1">
        <v>0</v>
      </c>
      <c r="I588" s="2">
        <v>6</v>
      </c>
      <c r="J588" s="1">
        <v>0</v>
      </c>
      <c r="K588" s="2">
        <v>0</v>
      </c>
      <c r="L588" s="2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 t="s">
        <v>2797</v>
      </c>
      <c r="W588" s="1" t="s">
        <v>2798</v>
      </c>
    </row>
    <row r="589" spans="1:23" ht="12.4">
      <c r="A589" s="1">
        <v>588</v>
      </c>
      <c r="B589" s="1" t="s">
        <v>2800</v>
      </c>
      <c r="C589" s="1" t="s">
        <v>1496</v>
      </c>
      <c r="D589" s="1">
        <v>86</v>
      </c>
      <c r="E589" s="1">
        <v>0</v>
      </c>
      <c r="F589" s="1">
        <v>0</v>
      </c>
      <c r="G589" s="1">
        <v>0</v>
      </c>
      <c r="H589" s="1">
        <v>0</v>
      </c>
      <c r="I589" s="2">
        <v>10</v>
      </c>
      <c r="J589" s="1">
        <v>0</v>
      </c>
      <c r="K589" s="2">
        <v>0</v>
      </c>
      <c r="L589" s="2">
        <v>4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 t="s">
        <v>2797</v>
      </c>
      <c r="W589" s="1" t="s">
        <v>2798</v>
      </c>
    </row>
    <row r="590" spans="1:23" ht="12.4">
      <c r="A590" s="1">
        <v>589</v>
      </c>
      <c r="B590" s="1" t="s">
        <v>2801</v>
      </c>
      <c r="C590" s="1" t="s">
        <v>1496</v>
      </c>
      <c r="D590" s="1">
        <v>98</v>
      </c>
      <c r="E590" s="1">
        <v>0</v>
      </c>
      <c r="F590" s="1">
        <v>0</v>
      </c>
      <c r="G590" s="1">
        <v>0</v>
      </c>
      <c r="H590" s="1">
        <v>0</v>
      </c>
      <c r="I590" s="2">
        <v>0</v>
      </c>
      <c r="J590" s="1">
        <v>0</v>
      </c>
      <c r="K590" s="2">
        <v>0</v>
      </c>
      <c r="L590" s="2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 t="s">
        <v>2797</v>
      </c>
      <c r="W590" s="1" t="s">
        <v>2802</v>
      </c>
    </row>
    <row r="591" spans="1:23" ht="12.4">
      <c r="A591" s="1">
        <v>590</v>
      </c>
      <c r="B591" s="1" t="s">
        <v>2803</v>
      </c>
      <c r="C591" s="1" t="s">
        <v>1496</v>
      </c>
      <c r="D591" s="1">
        <v>98</v>
      </c>
      <c r="E591" s="1">
        <v>0</v>
      </c>
      <c r="F591" s="1">
        <v>0</v>
      </c>
      <c r="G591" s="1">
        <v>0</v>
      </c>
      <c r="H591" s="1">
        <v>0</v>
      </c>
      <c r="I591" s="2">
        <v>0.5</v>
      </c>
      <c r="J591" s="1">
        <v>0</v>
      </c>
      <c r="K591" s="2">
        <v>0</v>
      </c>
      <c r="L591" s="2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 t="s">
        <v>2797</v>
      </c>
      <c r="W591" s="1" t="s">
        <v>2804</v>
      </c>
    </row>
    <row r="592" spans="1:23" ht="12.4">
      <c r="A592" s="1">
        <v>591</v>
      </c>
      <c r="B592" s="1" t="s">
        <v>2805</v>
      </c>
      <c r="C592" s="1" t="s">
        <v>1496</v>
      </c>
      <c r="D592" s="1">
        <v>50</v>
      </c>
      <c r="E592" s="1">
        <v>1</v>
      </c>
      <c r="F592" s="1">
        <v>9</v>
      </c>
      <c r="G592" s="1">
        <v>0</v>
      </c>
      <c r="H592" s="1">
        <v>0</v>
      </c>
      <c r="I592" s="2">
        <v>20</v>
      </c>
      <c r="J592" s="1">
        <v>0.5</v>
      </c>
      <c r="K592" s="2">
        <v>8</v>
      </c>
      <c r="L592" s="2">
        <v>10</v>
      </c>
      <c r="M592" s="1">
        <v>0.7</v>
      </c>
      <c r="N592" s="1">
        <v>0.3</v>
      </c>
      <c r="O592" s="1">
        <v>0.7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/>
      <c r="W592" s="1" t="s">
        <v>2806</v>
      </c>
    </row>
    <row r="593" spans="1:23" ht="24.95">
      <c r="A593" s="1">
        <v>592</v>
      </c>
      <c r="B593" s="5" t="s">
        <v>2807</v>
      </c>
      <c r="C593" s="1" t="s">
        <v>2755</v>
      </c>
      <c r="D593" s="1">
        <v>44.7</v>
      </c>
      <c r="E593" s="1">
        <v>0.04</v>
      </c>
      <c r="F593" s="1">
        <v>1.71</v>
      </c>
      <c r="G593" s="1">
        <v>0</v>
      </c>
      <c r="H593" s="1">
        <v>9.5299999999999994</v>
      </c>
      <c r="I593" s="2">
        <v>0</v>
      </c>
      <c r="J593" s="1">
        <v>0.13</v>
      </c>
      <c r="K593" s="2">
        <v>41.83</v>
      </c>
      <c r="L593" s="2">
        <v>0.64</v>
      </c>
      <c r="M593" s="1">
        <v>1.41</v>
      </c>
      <c r="N593" s="1">
        <v>0.01</v>
      </c>
      <c r="O593" s="1">
        <v>0</v>
      </c>
      <c r="P593" s="1">
        <v>0</v>
      </c>
      <c r="Q593" s="1">
        <v>13</v>
      </c>
      <c r="R593" s="1">
        <v>1746</v>
      </c>
      <c r="S593" s="1">
        <v>58</v>
      </c>
      <c r="T593" s="1">
        <v>21</v>
      </c>
      <c r="U593" s="1">
        <v>26</v>
      </c>
      <c r="V593" s="1" t="s">
        <v>2808</v>
      </c>
      <c r="W593" s="1" t="s">
        <v>2809</v>
      </c>
    </row>
    <row r="594" spans="1:23" ht="12.4">
      <c r="A594" s="1">
        <v>593</v>
      </c>
      <c r="B594" s="5" t="s">
        <v>2810</v>
      </c>
      <c r="C594" s="1" t="s">
        <v>2755</v>
      </c>
      <c r="D594" s="1">
        <v>43.32</v>
      </c>
      <c r="E594" s="1">
        <v>0.08</v>
      </c>
      <c r="F594" s="1">
        <v>2.54</v>
      </c>
      <c r="G594" s="1">
        <v>0</v>
      </c>
      <c r="H594" s="1">
        <v>10.49</v>
      </c>
      <c r="I594" s="2">
        <v>0</v>
      </c>
      <c r="J594" s="1">
        <v>0.24</v>
      </c>
      <c r="K594" s="2">
        <v>38.99</v>
      </c>
      <c r="L594" s="2">
        <v>3.38</v>
      </c>
      <c r="M594" s="1">
        <v>0.91</v>
      </c>
      <c r="N594" s="1">
        <v>0.06</v>
      </c>
      <c r="O594" s="1">
        <v>0</v>
      </c>
      <c r="P594" s="1">
        <v>0</v>
      </c>
      <c r="Q594" s="1">
        <v>111</v>
      </c>
      <c r="R594" s="1">
        <v>2469</v>
      </c>
      <c r="S594" s="1">
        <v>67</v>
      </c>
      <c r="T594" s="1">
        <v>45</v>
      </c>
      <c r="U594" s="1">
        <v>40</v>
      </c>
      <c r="V594" s="1" t="s">
        <v>2808</v>
      </c>
      <c r="W594" s="1" t="s">
        <v>2811</v>
      </c>
    </row>
    <row r="595" spans="1:23" ht="12.4">
      <c r="A595" s="1">
        <v>594</v>
      </c>
      <c r="B595" s="1" t="s">
        <v>2812</v>
      </c>
      <c r="C595" s="1" t="s">
        <v>2755</v>
      </c>
      <c r="D595" s="1">
        <v>43.49</v>
      </c>
      <c r="E595" s="1">
        <v>0.1</v>
      </c>
      <c r="F595" s="1">
        <v>3.19</v>
      </c>
      <c r="G595" s="1">
        <v>0</v>
      </c>
      <c r="H595" s="1">
        <v>11.57</v>
      </c>
      <c r="I595" s="2">
        <v>0</v>
      </c>
      <c r="J595" s="1">
        <v>0.18</v>
      </c>
      <c r="K595" s="2">
        <v>36.56</v>
      </c>
      <c r="L595" s="2">
        <v>3.85</v>
      </c>
      <c r="M595" s="1">
        <v>0.98</v>
      </c>
      <c r="N595" s="1">
        <v>0.08</v>
      </c>
      <c r="O595" s="1">
        <v>0</v>
      </c>
      <c r="P595" s="1">
        <v>0</v>
      </c>
      <c r="Q595" s="1">
        <v>91</v>
      </c>
      <c r="R595" s="1">
        <v>2279</v>
      </c>
      <c r="S595" s="1">
        <v>70</v>
      </c>
      <c r="T595" s="1">
        <v>37</v>
      </c>
      <c r="U595" s="1">
        <v>50</v>
      </c>
      <c r="V595" s="1" t="s">
        <v>2808</v>
      </c>
      <c r="W595" s="1" t="s">
        <v>2813</v>
      </c>
    </row>
    <row r="596" spans="1:23" ht="12.4">
      <c r="A596" s="1">
        <v>595</v>
      </c>
      <c r="B596" s="1" t="s">
        <v>2814</v>
      </c>
      <c r="C596" s="1" t="s">
        <v>2755</v>
      </c>
      <c r="D596" s="1">
        <v>46.02</v>
      </c>
      <c r="E596" s="1">
        <v>0.06</v>
      </c>
      <c r="F596" s="1">
        <v>2.34</v>
      </c>
      <c r="G596" s="1">
        <v>0</v>
      </c>
      <c r="H596" s="1">
        <v>8.49</v>
      </c>
      <c r="I596" s="2">
        <v>0</v>
      </c>
      <c r="J596" s="1">
        <v>0.14000000000000001</v>
      </c>
      <c r="K596" s="2">
        <v>41.46</v>
      </c>
      <c r="L596" s="2">
        <v>0.28000000000000003</v>
      </c>
      <c r="M596" s="1">
        <v>1.2</v>
      </c>
      <c r="N596" s="1">
        <v>0.01</v>
      </c>
      <c r="O596" s="1">
        <v>0</v>
      </c>
      <c r="P596" s="1">
        <v>0</v>
      </c>
      <c r="Q596" s="1">
        <v>25</v>
      </c>
      <c r="R596" s="1">
        <v>1552</v>
      </c>
      <c r="S596" s="1">
        <v>49</v>
      </c>
      <c r="T596" s="1">
        <v>43</v>
      </c>
      <c r="U596" s="1">
        <v>23</v>
      </c>
      <c r="V596" s="1" t="s">
        <v>2808</v>
      </c>
      <c r="W596" s="1" t="s">
        <v>2815</v>
      </c>
    </row>
    <row r="597" spans="1:23" ht="12.4">
      <c r="A597" s="1">
        <v>596</v>
      </c>
      <c r="B597" s="1" t="s">
        <v>2816</v>
      </c>
      <c r="C597" s="1" t="s">
        <v>2755</v>
      </c>
      <c r="D597" s="1">
        <v>44.74</v>
      </c>
      <c r="E597" s="1">
        <v>0.01</v>
      </c>
      <c r="F597" s="1">
        <v>1.35</v>
      </c>
      <c r="G597" s="1">
        <v>0</v>
      </c>
      <c r="H597" s="1">
        <v>9.34</v>
      </c>
      <c r="I597" s="2">
        <v>0</v>
      </c>
      <c r="J597" s="1">
        <v>0.14000000000000001</v>
      </c>
      <c r="K597" s="2">
        <v>43.02</v>
      </c>
      <c r="L597" s="2">
        <v>0.21</v>
      </c>
      <c r="M597" s="1">
        <v>1.19</v>
      </c>
      <c r="N597" s="1">
        <v>0</v>
      </c>
      <c r="O597" s="1">
        <v>0</v>
      </c>
      <c r="P597" s="1">
        <v>0</v>
      </c>
      <c r="Q597" s="1">
        <v>23</v>
      </c>
      <c r="R597" s="1">
        <v>1840</v>
      </c>
      <c r="S597" s="1">
        <v>55</v>
      </c>
      <c r="T597" s="1">
        <v>26</v>
      </c>
      <c r="U597" s="1">
        <v>17</v>
      </c>
      <c r="V597" s="1" t="s">
        <v>2808</v>
      </c>
      <c r="W597" s="1" t="s">
        <v>2817</v>
      </c>
    </row>
    <row r="598" spans="1:23" ht="24.95">
      <c r="A598" s="1">
        <v>597</v>
      </c>
      <c r="B598" s="1" t="s">
        <v>2818</v>
      </c>
      <c r="C598" s="1" t="s">
        <v>2755</v>
      </c>
      <c r="D598" s="1">
        <v>46.64</v>
      </c>
      <c r="E598" s="1">
        <v>0.01</v>
      </c>
      <c r="F598" s="1">
        <v>1.1299999999999999</v>
      </c>
      <c r="G598" s="1">
        <v>0</v>
      </c>
      <c r="H598" s="1">
        <v>8.52</v>
      </c>
      <c r="I598" s="2">
        <v>0</v>
      </c>
      <c r="J598" s="1">
        <v>0.12</v>
      </c>
      <c r="K598" s="2">
        <v>42.1</v>
      </c>
      <c r="L598" s="2">
        <v>0.45</v>
      </c>
      <c r="M598" s="1">
        <v>1.03</v>
      </c>
      <c r="N598" s="1">
        <v>0</v>
      </c>
      <c r="O598" s="1">
        <v>0</v>
      </c>
      <c r="P598" s="1">
        <v>0</v>
      </c>
      <c r="Q598" s="1">
        <v>53</v>
      </c>
      <c r="R598" s="1">
        <v>1967</v>
      </c>
      <c r="S598" s="1">
        <v>47</v>
      </c>
      <c r="T598" s="1">
        <v>33</v>
      </c>
      <c r="U598" s="1">
        <v>18</v>
      </c>
      <c r="V598" s="1" t="s">
        <v>2808</v>
      </c>
      <c r="W598" s="1" t="s">
        <v>2819</v>
      </c>
    </row>
    <row r="599" spans="1:23" ht="12.4">
      <c r="A599" s="1">
        <v>598</v>
      </c>
      <c r="B599" s="1" t="s">
        <v>2820</v>
      </c>
      <c r="C599" s="1" t="s">
        <v>2755</v>
      </c>
      <c r="D599" s="1">
        <v>47.01</v>
      </c>
      <c r="E599" s="1">
        <v>0</v>
      </c>
      <c r="F599" s="1">
        <v>0.52</v>
      </c>
      <c r="G599" s="1">
        <v>0</v>
      </c>
      <c r="H599" s="1">
        <v>9.23</v>
      </c>
      <c r="I599" s="2">
        <v>0</v>
      </c>
      <c r="J599" s="1">
        <v>0.15</v>
      </c>
      <c r="K599" s="2">
        <v>42.1</v>
      </c>
      <c r="L599" s="2">
        <v>0.01</v>
      </c>
      <c r="M599" s="1">
        <v>0.98</v>
      </c>
      <c r="N599" s="1">
        <v>0</v>
      </c>
      <c r="O599" s="1">
        <v>0</v>
      </c>
      <c r="P599" s="1">
        <v>0</v>
      </c>
      <c r="Q599" s="1">
        <v>34</v>
      </c>
      <c r="R599" s="1">
        <v>2303</v>
      </c>
      <c r="S599" s="1">
        <v>53</v>
      </c>
      <c r="T599" s="1">
        <v>28</v>
      </c>
      <c r="U599" s="1">
        <v>5</v>
      </c>
      <c r="V599" s="1" t="s">
        <v>2808</v>
      </c>
      <c r="W599" s="1" t="s">
        <v>2821</v>
      </c>
    </row>
    <row r="600" spans="1:23" ht="24.95">
      <c r="A600" s="1">
        <v>599</v>
      </c>
      <c r="B600" s="1" t="s">
        <v>2822</v>
      </c>
      <c r="C600" s="1" t="s">
        <v>2755</v>
      </c>
      <c r="D600" s="1">
        <v>46.01</v>
      </c>
      <c r="E600" s="1">
        <v>0</v>
      </c>
      <c r="F600" s="1">
        <v>0.53</v>
      </c>
      <c r="G600" s="1">
        <v>0</v>
      </c>
      <c r="H600" s="1">
        <v>10.44</v>
      </c>
      <c r="I600" s="2">
        <v>0</v>
      </c>
      <c r="J600" s="1">
        <v>0.2</v>
      </c>
      <c r="K600" s="2">
        <v>41.74</v>
      </c>
      <c r="L600" s="2">
        <v>0.01</v>
      </c>
      <c r="M600" s="1">
        <v>1.07</v>
      </c>
      <c r="N600" s="1">
        <v>0</v>
      </c>
      <c r="O600" s="1">
        <v>0</v>
      </c>
      <c r="P600" s="1">
        <v>0</v>
      </c>
      <c r="Q600" s="1">
        <v>23</v>
      </c>
      <c r="R600" s="1">
        <v>2983</v>
      </c>
      <c r="S600" s="1">
        <v>69</v>
      </c>
      <c r="T600" s="1">
        <v>38</v>
      </c>
      <c r="U600" s="1">
        <v>4</v>
      </c>
      <c r="V600" s="1" t="s">
        <v>2808</v>
      </c>
      <c r="W600" s="1" t="s">
        <v>2823</v>
      </c>
    </row>
    <row r="601" spans="1:23" ht="12.4">
      <c r="A601" s="1">
        <v>600</v>
      </c>
      <c r="B601" s="1" t="s">
        <v>2824</v>
      </c>
      <c r="C601" s="1" t="s">
        <v>2755</v>
      </c>
      <c r="D601" s="1">
        <v>46.05</v>
      </c>
      <c r="E601" s="1">
        <v>0</v>
      </c>
      <c r="F601" s="1">
        <v>1.58</v>
      </c>
      <c r="G601" s="1">
        <v>0</v>
      </c>
      <c r="H601" s="1">
        <v>8.5299999999999994</v>
      </c>
      <c r="I601" s="2">
        <v>0</v>
      </c>
      <c r="J601" s="1">
        <v>0.16</v>
      </c>
      <c r="K601" s="2">
        <v>42.4</v>
      </c>
      <c r="L601" s="2">
        <v>0.02</v>
      </c>
      <c r="M601" s="1">
        <v>1.1599999999999999</v>
      </c>
      <c r="N601" s="1">
        <v>0</v>
      </c>
      <c r="O601" s="1">
        <v>0</v>
      </c>
      <c r="P601" s="1">
        <v>0</v>
      </c>
      <c r="Q601" s="1">
        <v>78</v>
      </c>
      <c r="R601" s="1">
        <v>2278</v>
      </c>
      <c r="S601" s="1">
        <v>55</v>
      </c>
      <c r="T601" s="1">
        <v>23</v>
      </c>
      <c r="U601" s="1">
        <v>3</v>
      </c>
      <c r="V601" s="1" t="s">
        <v>2808</v>
      </c>
      <c r="W601" s="1" t="s">
        <v>2825</v>
      </c>
    </row>
    <row r="602" spans="1:23" ht="12.4">
      <c r="A602" s="1">
        <v>601</v>
      </c>
      <c r="B602" s="1" t="s">
        <v>2826</v>
      </c>
      <c r="C602" s="1" t="s">
        <v>2755</v>
      </c>
      <c r="D602" s="1">
        <v>43.08</v>
      </c>
      <c r="E602" s="1">
        <v>0.04</v>
      </c>
      <c r="F602" s="1">
        <v>2.09</v>
      </c>
      <c r="G602" s="1">
        <v>0</v>
      </c>
      <c r="H602" s="1">
        <v>10.56</v>
      </c>
      <c r="I602" s="2">
        <v>0</v>
      </c>
      <c r="J602" s="1">
        <v>0.17</v>
      </c>
      <c r="K602" s="2">
        <v>42.63</v>
      </c>
      <c r="L602" s="2">
        <v>0.09</v>
      </c>
      <c r="M602" s="1">
        <v>1.34</v>
      </c>
      <c r="N602" s="1">
        <v>0</v>
      </c>
      <c r="O602" s="1">
        <v>0</v>
      </c>
      <c r="P602" s="1">
        <v>0</v>
      </c>
      <c r="Q602" s="1">
        <v>11</v>
      </c>
      <c r="R602" s="1">
        <v>2307</v>
      </c>
      <c r="S602" s="1">
        <v>64</v>
      </c>
      <c r="T602" s="1">
        <v>28</v>
      </c>
      <c r="U602" s="1">
        <v>18</v>
      </c>
      <c r="V602" s="1" t="s">
        <v>2808</v>
      </c>
      <c r="W602" s="1" t="s">
        <v>2827</v>
      </c>
    </row>
    <row r="603" spans="1:23" ht="12.4">
      <c r="A603" s="1">
        <v>602</v>
      </c>
      <c r="B603" s="1" t="s">
        <v>2828</v>
      </c>
      <c r="C603" s="1" t="s">
        <v>2755</v>
      </c>
      <c r="D603" s="1">
        <v>43.82</v>
      </c>
      <c r="E603" s="1">
        <v>0.02</v>
      </c>
      <c r="F603" s="1">
        <v>1.9</v>
      </c>
      <c r="G603" s="1">
        <v>0</v>
      </c>
      <c r="H603" s="1">
        <v>10.34</v>
      </c>
      <c r="I603" s="2">
        <v>0</v>
      </c>
      <c r="J603" s="1">
        <v>0.18</v>
      </c>
      <c r="K603" s="2">
        <v>39.75</v>
      </c>
      <c r="L603" s="2">
        <v>3.06</v>
      </c>
      <c r="M603" s="1">
        <v>0.87</v>
      </c>
      <c r="N603" s="1">
        <v>0.06</v>
      </c>
      <c r="O603" s="1">
        <v>0</v>
      </c>
      <c r="P603" s="1">
        <v>0</v>
      </c>
      <c r="Q603" s="1">
        <v>61</v>
      </c>
      <c r="R603" s="1">
        <v>1798</v>
      </c>
      <c r="S603" s="1">
        <v>63</v>
      </c>
      <c r="T603" s="1">
        <v>33</v>
      </c>
      <c r="U603" s="1">
        <v>33</v>
      </c>
      <c r="V603" s="1" t="s">
        <v>2808</v>
      </c>
      <c r="W603" s="1" t="s">
        <v>2829</v>
      </c>
    </row>
    <row r="604" spans="1:23" ht="12.4">
      <c r="A604" s="1">
        <v>603</v>
      </c>
      <c r="B604" s="1" t="s">
        <v>2830</v>
      </c>
      <c r="C604" s="1" t="s">
        <v>2755</v>
      </c>
      <c r="D604" s="1">
        <v>46.67</v>
      </c>
      <c r="E604" s="1">
        <v>0</v>
      </c>
      <c r="F604" s="1">
        <v>0.45</v>
      </c>
      <c r="G604" s="1">
        <v>0</v>
      </c>
      <c r="H604" s="1">
        <v>3.99</v>
      </c>
      <c r="I604" s="2">
        <v>0</v>
      </c>
      <c r="J604" s="1">
        <v>7.0000000000000007E-2</v>
      </c>
      <c r="K604" s="2">
        <v>47.74</v>
      </c>
      <c r="L604" s="2">
        <v>0.01</v>
      </c>
      <c r="M604" s="1">
        <v>1.08</v>
      </c>
      <c r="N604" s="1">
        <v>0</v>
      </c>
      <c r="O604" s="1">
        <v>0</v>
      </c>
      <c r="P604" s="1">
        <v>0</v>
      </c>
      <c r="Q604" s="1">
        <v>14</v>
      </c>
      <c r="R604" s="1">
        <v>806</v>
      </c>
      <c r="S604" s="1">
        <v>24</v>
      </c>
      <c r="T604" s="1">
        <v>27</v>
      </c>
      <c r="U604" s="1">
        <v>0</v>
      </c>
      <c r="V604" s="1" t="s">
        <v>2808</v>
      </c>
      <c r="W604" s="1" t="s">
        <v>2831</v>
      </c>
    </row>
    <row r="605" spans="1:23" ht="12.4">
      <c r="A605" s="1">
        <v>604</v>
      </c>
      <c r="B605" s="1" t="s">
        <v>2832</v>
      </c>
      <c r="C605" s="1" t="s">
        <v>2155</v>
      </c>
      <c r="D605" s="1">
        <v>55.4</v>
      </c>
      <c r="E605" s="1">
        <v>0.03</v>
      </c>
      <c r="F605" s="1">
        <v>3.84</v>
      </c>
      <c r="G605" s="1">
        <v>0.63</v>
      </c>
      <c r="H605" s="1">
        <v>0</v>
      </c>
      <c r="I605" s="2">
        <v>5.95</v>
      </c>
      <c r="J605" s="1">
        <v>0.15</v>
      </c>
      <c r="K605" s="2">
        <v>33.56</v>
      </c>
      <c r="L605" s="2">
        <v>0.76</v>
      </c>
      <c r="M605" s="1">
        <v>0.02</v>
      </c>
      <c r="N605" s="1">
        <v>0.01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 t="s">
        <v>2833</v>
      </c>
      <c r="W605" s="1"/>
    </row>
    <row r="606" spans="1:23" ht="12.4">
      <c r="A606" s="1">
        <v>605</v>
      </c>
      <c r="B606" s="1" t="s">
        <v>2834</v>
      </c>
      <c r="C606" s="1" t="s">
        <v>2171</v>
      </c>
      <c r="D606" s="1">
        <v>51.95</v>
      </c>
      <c r="E606" s="1">
        <v>0.08</v>
      </c>
      <c r="F606" s="1">
        <v>4.6500000000000004</v>
      </c>
      <c r="G606" s="1">
        <v>1.0900000000000001</v>
      </c>
      <c r="H606" s="1">
        <v>0</v>
      </c>
      <c r="I606" s="2">
        <v>2.39</v>
      </c>
      <c r="J606" s="1">
        <v>0.09</v>
      </c>
      <c r="K606" s="2">
        <v>16.5</v>
      </c>
      <c r="L606" s="2">
        <v>22.95</v>
      </c>
      <c r="M606" s="1">
        <v>0.53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 t="s">
        <v>2833</v>
      </c>
      <c r="W606" s="1"/>
    </row>
    <row r="607" spans="1:23" ht="12.4">
      <c r="A607" s="1">
        <v>606</v>
      </c>
      <c r="B607" s="1" t="s">
        <v>2835</v>
      </c>
      <c r="C607" s="1" t="s">
        <v>1502</v>
      </c>
      <c r="D607" s="1">
        <v>41.03</v>
      </c>
      <c r="E607" s="1">
        <v>0</v>
      </c>
      <c r="F607" s="1">
        <v>0</v>
      </c>
      <c r="G607" s="1">
        <v>0.01</v>
      </c>
      <c r="H607" s="1">
        <v>0</v>
      </c>
      <c r="I607" s="2">
        <v>8.9499999999999993</v>
      </c>
      <c r="J607" s="1">
        <v>0.14000000000000001</v>
      </c>
      <c r="K607" s="2">
        <v>50.04</v>
      </c>
      <c r="L607" s="2">
        <v>0.02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 t="s">
        <v>2833</v>
      </c>
      <c r="W607" s="1"/>
    </row>
    <row r="608" spans="1:23" ht="12.4">
      <c r="A608" s="1">
        <v>607</v>
      </c>
      <c r="B608" s="5" t="s">
        <v>2836</v>
      </c>
      <c r="C608" s="1" t="s">
        <v>2789</v>
      </c>
      <c r="D608" s="1">
        <v>64.22</v>
      </c>
      <c r="E608" s="1">
        <v>0.01</v>
      </c>
      <c r="F608" s="1">
        <v>19.05</v>
      </c>
      <c r="G608" s="1">
        <v>0.01</v>
      </c>
      <c r="H608" s="1">
        <v>0</v>
      </c>
      <c r="I608" s="2">
        <v>0.17</v>
      </c>
      <c r="J608" s="1">
        <v>0.01</v>
      </c>
      <c r="K608" s="2">
        <v>0.01</v>
      </c>
      <c r="L608" s="2">
        <v>0.02</v>
      </c>
      <c r="M608" s="1">
        <v>3.12</v>
      </c>
      <c r="N608" s="1">
        <v>12.97</v>
      </c>
      <c r="O608" s="1">
        <v>0.01</v>
      </c>
      <c r="P608" s="1">
        <v>0.57999999999999996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 t="s">
        <v>2837</v>
      </c>
      <c r="W608" s="1"/>
    </row>
    <row r="609" spans="1:23" ht="12.4">
      <c r="A609" s="1">
        <v>608</v>
      </c>
      <c r="B609" s="5" t="s">
        <v>2838</v>
      </c>
      <c r="C609" s="1" t="s">
        <v>2538</v>
      </c>
      <c r="D609" s="1">
        <v>0.31</v>
      </c>
      <c r="E609" s="1">
        <v>0.08</v>
      </c>
      <c r="F609" s="1">
        <v>0</v>
      </c>
      <c r="G609" s="1">
        <v>0</v>
      </c>
      <c r="H609" s="1">
        <v>0</v>
      </c>
      <c r="I609" s="2">
        <v>92.61</v>
      </c>
      <c r="J609" s="1">
        <v>0.04</v>
      </c>
      <c r="K609" s="2">
        <v>0.13</v>
      </c>
      <c r="L609" s="2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 t="s">
        <v>2837</v>
      </c>
      <c r="W609" s="1"/>
    </row>
    <row r="610" spans="1:23" ht="12.4">
      <c r="A610" s="1">
        <v>609</v>
      </c>
      <c r="B610" s="5" t="s">
        <v>2839</v>
      </c>
      <c r="C610" s="1" t="s">
        <v>2791</v>
      </c>
      <c r="D610" s="1">
        <v>63.49</v>
      </c>
      <c r="E610" s="1">
        <v>0.01</v>
      </c>
      <c r="F610" s="1">
        <v>22.5</v>
      </c>
      <c r="G610" s="1">
        <v>0.01</v>
      </c>
      <c r="H610" s="1">
        <v>0</v>
      </c>
      <c r="I610" s="2">
        <v>0.21</v>
      </c>
      <c r="J610" s="1">
        <v>0.01</v>
      </c>
      <c r="K610" s="2">
        <v>0.01</v>
      </c>
      <c r="L610" s="2">
        <v>3.36</v>
      </c>
      <c r="M610" s="1">
        <v>9.2100000000000009</v>
      </c>
      <c r="N610" s="1">
        <v>0.6</v>
      </c>
      <c r="O610" s="1">
        <v>0.05</v>
      </c>
      <c r="P610" s="1">
        <v>0.24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 t="s">
        <v>2837</v>
      </c>
      <c r="W610" s="1"/>
    </row>
    <row r="611" spans="1:23" ht="12.4">
      <c r="A611" s="1">
        <v>610</v>
      </c>
      <c r="B611" s="5" t="s">
        <v>2840</v>
      </c>
      <c r="C611" s="1" t="s">
        <v>2318</v>
      </c>
      <c r="D611" s="1">
        <v>39.03</v>
      </c>
      <c r="E611" s="1">
        <v>2.17</v>
      </c>
      <c r="F611" s="1">
        <v>11.2</v>
      </c>
      <c r="G611" s="1">
        <v>0.01</v>
      </c>
      <c r="H611" s="1">
        <v>0</v>
      </c>
      <c r="I611" s="2">
        <v>19.670000000000002</v>
      </c>
      <c r="J611" s="1">
        <v>0.8</v>
      </c>
      <c r="K611" s="2">
        <v>13.99</v>
      </c>
      <c r="L611" s="2">
        <v>0.51</v>
      </c>
      <c r="M611" s="1">
        <v>0.53</v>
      </c>
      <c r="N611" s="1">
        <v>8.8000000000000007</v>
      </c>
      <c r="O611" s="1">
        <v>0.01</v>
      </c>
      <c r="P611" s="1">
        <v>0.69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 t="s">
        <v>2837</v>
      </c>
      <c r="W611" s="1"/>
    </row>
    <row r="612" spans="1:23" ht="12.4">
      <c r="A612" s="1">
        <v>611</v>
      </c>
      <c r="B612" s="5" t="s">
        <v>2841</v>
      </c>
      <c r="C612" s="1" t="s">
        <v>2842</v>
      </c>
      <c r="D612" s="1">
        <v>60.08</v>
      </c>
      <c r="E612" s="1">
        <v>0.1</v>
      </c>
      <c r="F612" s="1">
        <v>0.84</v>
      </c>
      <c r="G612" s="1">
        <v>7.0000000000000007E-2</v>
      </c>
      <c r="H612" s="1">
        <v>2.63</v>
      </c>
      <c r="I612" s="2">
        <v>0</v>
      </c>
      <c r="J612" s="1">
        <v>0.43</v>
      </c>
      <c r="K612" s="2">
        <v>27.32</v>
      </c>
      <c r="L612" s="2">
        <v>3.5</v>
      </c>
      <c r="M612" s="1">
        <v>0.9</v>
      </c>
      <c r="N612" s="1">
        <v>0.17</v>
      </c>
      <c r="O612" s="1">
        <v>0</v>
      </c>
      <c r="P612" s="1">
        <v>3.27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 t="s">
        <v>2837</v>
      </c>
      <c r="W612" s="1"/>
    </row>
    <row r="613" spans="1:23" ht="12.4">
      <c r="A613" s="1">
        <v>612</v>
      </c>
      <c r="B613" s="5" t="s">
        <v>2843</v>
      </c>
      <c r="C613" s="1" t="s">
        <v>1554</v>
      </c>
      <c r="D613" s="1">
        <v>0.01</v>
      </c>
      <c r="E613" s="1">
        <v>47.81</v>
      </c>
      <c r="F613" s="1">
        <v>0.01</v>
      </c>
      <c r="G613" s="1">
        <v>0</v>
      </c>
      <c r="H613" s="1">
        <v>0</v>
      </c>
      <c r="I613" s="2">
        <v>48.05</v>
      </c>
      <c r="J613" s="1">
        <v>0.21</v>
      </c>
      <c r="K613" s="2">
        <v>3.13</v>
      </c>
      <c r="L613" s="2">
        <v>0.01</v>
      </c>
      <c r="M613" s="1">
        <v>0</v>
      </c>
      <c r="N613" s="1">
        <v>0.01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 t="s">
        <v>2837</v>
      </c>
      <c r="W613" s="1"/>
    </row>
    <row r="614" spans="1:23" ht="12.4">
      <c r="A614" s="1">
        <v>613</v>
      </c>
      <c r="B614" s="5" t="s">
        <v>2844</v>
      </c>
      <c r="C614" s="1" t="s">
        <v>2845</v>
      </c>
      <c r="D614" s="1">
        <v>28.73</v>
      </c>
      <c r="E614" s="1">
        <v>0.47</v>
      </c>
      <c r="F614" s="1">
        <v>17.48</v>
      </c>
      <c r="G614" s="1">
        <v>0.17</v>
      </c>
      <c r="H614" s="1">
        <v>0</v>
      </c>
      <c r="I614" s="2">
        <v>8.0299999999999994</v>
      </c>
      <c r="J614" s="1">
        <v>0.15</v>
      </c>
      <c r="K614" s="2">
        <v>30.95</v>
      </c>
      <c r="L614" s="2">
        <v>0.01</v>
      </c>
      <c r="M614" s="1">
        <v>0.01</v>
      </c>
      <c r="N614" s="1">
        <v>0.01</v>
      </c>
      <c r="O614" s="1">
        <v>0.03</v>
      </c>
      <c r="P614" s="1">
        <v>11.97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 t="s">
        <v>2837</v>
      </c>
      <c r="W614" s="1"/>
    </row>
    <row r="615" spans="1:23" ht="12.4">
      <c r="A615" s="1">
        <v>614</v>
      </c>
      <c r="B615" s="5" t="s">
        <v>2846</v>
      </c>
      <c r="C615" s="1" t="s">
        <v>2787</v>
      </c>
      <c r="D615" s="1">
        <v>53.85</v>
      </c>
      <c r="E615" s="1">
        <v>0.12</v>
      </c>
      <c r="F615" s="1">
        <v>27.09</v>
      </c>
      <c r="G615" s="1">
        <v>0.02</v>
      </c>
      <c r="H615" s="1">
        <v>0</v>
      </c>
      <c r="I615" s="2">
        <v>0.53</v>
      </c>
      <c r="J615" s="1">
        <v>0.01</v>
      </c>
      <c r="K615" s="2">
        <v>7.0000000000000007E-2</v>
      </c>
      <c r="L615" s="2">
        <v>9.51</v>
      </c>
      <c r="M615" s="1">
        <v>5.55</v>
      </c>
      <c r="N615" s="1">
        <v>0.34</v>
      </c>
      <c r="O615" s="1">
        <v>0.1</v>
      </c>
      <c r="P615" s="1">
        <v>1.22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 t="s">
        <v>2837</v>
      </c>
      <c r="W615" s="1"/>
    </row>
    <row r="616" spans="1:23" ht="12.4">
      <c r="A616" s="1">
        <v>615</v>
      </c>
      <c r="B616" s="5" t="s">
        <v>2847</v>
      </c>
      <c r="C616" s="1" t="s">
        <v>2848</v>
      </c>
      <c r="D616" s="1">
        <v>102.17</v>
      </c>
      <c r="E616" s="1">
        <v>0</v>
      </c>
      <c r="F616" s="1">
        <v>0</v>
      </c>
      <c r="G616" s="1">
        <v>0</v>
      </c>
      <c r="H616" s="1">
        <v>0</v>
      </c>
      <c r="I616" s="2">
        <v>0</v>
      </c>
      <c r="J616" s="1">
        <v>0</v>
      </c>
      <c r="K616" s="2">
        <v>0</v>
      </c>
      <c r="L616" s="2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 t="s">
        <v>2837</v>
      </c>
      <c r="W616" s="1"/>
    </row>
    <row r="617" spans="1:23" ht="12.4">
      <c r="A617" s="1">
        <v>616</v>
      </c>
      <c r="B617" s="5" t="s">
        <v>2849</v>
      </c>
      <c r="C617" s="1" t="s">
        <v>2791</v>
      </c>
      <c r="D617" s="1">
        <v>60.79</v>
      </c>
      <c r="E617" s="1">
        <v>0.02</v>
      </c>
      <c r="F617" s="1">
        <v>22.05</v>
      </c>
      <c r="G617" s="1">
        <v>0.1</v>
      </c>
      <c r="H617" s="1">
        <v>0</v>
      </c>
      <c r="I617" s="2">
        <v>0</v>
      </c>
      <c r="J617" s="1">
        <v>0.02</v>
      </c>
      <c r="K617" s="2">
        <v>0.85</v>
      </c>
      <c r="L617" s="2">
        <v>5.37</v>
      </c>
      <c r="M617" s="1">
        <v>6.71</v>
      </c>
      <c r="N617" s="1">
        <v>0.91</v>
      </c>
      <c r="O617" s="1">
        <v>0.02</v>
      </c>
      <c r="P617" s="1">
        <v>1.06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 t="s">
        <v>2837</v>
      </c>
      <c r="W617" s="1"/>
    </row>
    <row r="618" spans="1:23" ht="12.4">
      <c r="A618" s="1">
        <v>617</v>
      </c>
      <c r="B618" s="5" t="s">
        <v>2850</v>
      </c>
      <c r="C618" s="1" t="s">
        <v>2851</v>
      </c>
      <c r="D618" s="1">
        <v>45.12</v>
      </c>
      <c r="E618" s="1">
        <v>0.24</v>
      </c>
      <c r="F618" s="1">
        <v>9.94</v>
      </c>
      <c r="G618" s="1">
        <v>0.16</v>
      </c>
      <c r="H618" s="1">
        <v>8.31</v>
      </c>
      <c r="I618" s="2">
        <v>0</v>
      </c>
      <c r="J618" s="1">
        <v>0</v>
      </c>
      <c r="K618" s="2">
        <v>18.690000000000001</v>
      </c>
      <c r="L618" s="2">
        <v>11.73</v>
      </c>
      <c r="M618" s="1">
        <v>2.2000000000000002</v>
      </c>
      <c r="N618" s="1">
        <v>0.78</v>
      </c>
      <c r="O618" s="1">
        <v>0</v>
      </c>
      <c r="P618" s="1">
        <v>1.42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 t="s">
        <v>2837</v>
      </c>
      <c r="W618" s="1"/>
    </row>
    <row r="619" spans="1:23" ht="12.4">
      <c r="A619" s="1">
        <v>618</v>
      </c>
      <c r="B619" s="5" t="s">
        <v>2852</v>
      </c>
      <c r="C619" s="1" t="s">
        <v>2755</v>
      </c>
      <c r="D619" s="1">
        <v>42.28</v>
      </c>
      <c r="E619" s="1">
        <v>0.02</v>
      </c>
      <c r="F619" s="1">
        <v>1.21</v>
      </c>
      <c r="G619" s="1">
        <v>0</v>
      </c>
      <c r="H619" s="1">
        <v>0</v>
      </c>
      <c r="I619" s="2">
        <v>3.79</v>
      </c>
      <c r="J619" s="1">
        <v>0.06</v>
      </c>
      <c r="K619" s="2">
        <v>38.5</v>
      </c>
      <c r="L619" s="2">
        <v>0.04</v>
      </c>
      <c r="M619" s="1">
        <v>0.02</v>
      </c>
      <c r="N619" s="1">
        <v>0.02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 t="s">
        <v>2837</v>
      </c>
      <c r="W619" s="1"/>
    </row>
    <row r="620" spans="1:23" ht="12.4">
      <c r="A620" s="1">
        <v>619</v>
      </c>
      <c r="B620" s="5" t="s">
        <v>2853</v>
      </c>
      <c r="C620" s="1" t="s">
        <v>2854</v>
      </c>
      <c r="D620" s="1">
        <v>37.5</v>
      </c>
      <c r="E620" s="1">
        <v>0</v>
      </c>
      <c r="F620" s="1">
        <v>20.73</v>
      </c>
      <c r="G620" s="1">
        <v>0</v>
      </c>
      <c r="H620" s="1">
        <v>0</v>
      </c>
      <c r="I620" s="2">
        <v>38.97</v>
      </c>
      <c r="J620" s="1">
        <v>0.84</v>
      </c>
      <c r="K620" s="2">
        <v>1.67</v>
      </c>
      <c r="L620" s="2">
        <v>1.8</v>
      </c>
      <c r="M620" s="1">
        <v>0.03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 t="s">
        <v>2837</v>
      </c>
      <c r="W620" s="1"/>
    </row>
    <row r="621" spans="1:23" ht="12.4">
      <c r="A621" s="1">
        <v>620</v>
      </c>
      <c r="B621" s="5" t="s">
        <v>2855</v>
      </c>
      <c r="C621" s="1" t="s">
        <v>2856</v>
      </c>
      <c r="D621" s="1">
        <v>62.86</v>
      </c>
      <c r="E621" s="1">
        <v>0.15</v>
      </c>
      <c r="F621" s="1">
        <v>19.899999999999999</v>
      </c>
      <c r="G621" s="1">
        <v>0.2</v>
      </c>
      <c r="H621" s="1">
        <v>0</v>
      </c>
      <c r="I621" s="2">
        <v>0.3</v>
      </c>
      <c r="J621" s="1">
        <v>0.04</v>
      </c>
      <c r="K621" s="2">
        <v>1.01</v>
      </c>
      <c r="L621" s="2">
        <v>2.64</v>
      </c>
      <c r="M621" s="1">
        <v>5.17</v>
      </c>
      <c r="N621" s="1">
        <v>4.32</v>
      </c>
      <c r="O621" s="1">
        <v>0.06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 t="s">
        <v>2837</v>
      </c>
      <c r="W621" s="1"/>
    </row>
    <row r="622" spans="1:23" ht="12.4">
      <c r="A622" s="1">
        <v>621</v>
      </c>
      <c r="B622" s="5" t="s">
        <v>2857</v>
      </c>
      <c r="C622" s="1" t="s">
        <v>2858</v>
      </c>
      <c r="D622" s="1">
        <v>46.18</v>
      </c>
      <c r="E622" s="1">
        <v>0</v>
      </c>
      <c r="F622" s="1">
        <v>0.11</v>
      </c>
      <c r="G622" s="1">
        <v>0</v>
      </c>
      <c r="H622" s="1">
        <v>0</v>
      </c>
      <c r="I622" s="2">
        <v>0.11</v>
      </c>
      <c r="J622" s="1">
        <v>50.59</v>
      </c>
      <c r="K622" s="2">
        <v>0.4</v>
      </c>
      <c r="L622" s="2">
        <v>1.75</v>
      </c>
      <c r="M622" s="1">
        <v>0.01</v>
      </c>
      <c r="N622" s="1">
        <v>0.01</v>
      </c>
      <c r="O622" s="1">
        <v>0.01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 t="s">
        <v>2837</v>
      </c>
      <c r="W622" s="1"/>
    </row>
    <row r="623" spans="1:23" ht="12.4">
      <c r="A623" s="1">
        <v>622</v>
      </c>
      <c r="B623" s="5" t="s">
        <v>2859</v>
      </c>
      <c r="C623" s="1" t="s">
        <v>2860</v>
      </c>
      <c r="D623" s="1">
        <v>28.65</v>
      </c>
      <c r="E623" s="1">
        <v>0.05</v>
      </c>
      <c r="F623" s="1">
        <v>19.309999999999999</v>
      </c>
      <c r="G623" s="1">
        <v>0</v>
      </c>
      <c r="H623" s="1">
        <v>0</v>
      </c>
      <c r="I623" s="2">
        <v>7.2</v>
      </c>
      <c r="J623" s="1">
        <v>0.14000000000000001</v>
      </c>
      <c r="K623" s="2">
        <v>30.48</v>
      </c>
      <c r="L623" s="2">
        <v>0.01</v>
      </c>
      <c r="M623" s="1">
        <v>0.01</v>
      </c>
      <c r="N623" s="1">
        <v>0.01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 t="s">
        <v>2837</v>
      </c>
      <c r="W623" s="1"/>
    </row>
    <row r="624" spans="1:23" ht="12.4">
      <c r="A624" s="1">
        <v>623</v>
      </c>
      <c r="B624" s="5" t="s">
        <v>2861</v>
      </c>
      <c r="C624" s="1" t="s">
        <v>2791</v>
      </c>
      <c r="D624" s="1">
        <v>60.41</v>
      </c>
      <c r="E624" s="1">
        <v>0.01</v>
      </c>
      <c r="F624" s="1">
        <v>21.88</v>
      </c>
      <c r="G624" s="1">
        <v>0</v>
      </c>
      <c r="H624" s="1">
        <v>0</v>
      </c>
      <c r="I624" s="2">
        <v>4.16</v>
      </c>
      <c r="J624" s="1">
        <v>0.08</v>
      </c>
      <c r="K624" s="2">
        <v>0.06</v>
      </c>
      <c r="L624" s="2">
        <v>3.24</v>
      </c>
      <c r="M624" s="1">
        <v>9.3699999999999992</v>
      </c>
      <c r="N624" s="1">
        <v>0.79</v>
      </c>
      <c r="O624" s="1">
        <v>0.01</v>
      </c>
      <c r="P624" s="1">
        <v>0.15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 t="s">
        <v>2837</v>
      </c>
      <c r="W624" s="1"/>
    </row>
    <row r="625" spans="1:23" ht="12.4">
      <c r="A625" s="1">
        <v>624</v>
      </c>
      <c r="B625" s="5" t="s">
        <v>2862</v>
      </c>
      <c r="C625" s="1" t="s">
        <v>2863</v>
      </c>
      <c r="D625" s="1">
        <v>52.14</v>
      </c>
      <c r="E625" s="1">
        <v>0.05</v>
      </c>
      <c r="F625" s="1">
        <v>0.68</v>
      </c>
      <c r="G625" s="1">
        <v>0</v>
      </c>
      <c r="H625" s="1">
        <v>0</v>
      </c>
      <c r="I625" s="2">
        <v>0.45</v>
      </c>
      <c r="J625" s="1">
        <v>0.05</v>
      </c>
      <c r="K625" s="2">
        <v>2.91</v>
      </c>
      <c r="L625" s="2">
        <v>43.48</v>
      </c>
      <c r="M625" s="1">
        <v>0.01</v>
      </c>
      <c r="N625" s="1">
        <v>0.01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 t="s">
        <v>2837</v>
      </c>
      <c r="W625" s="1"/>
    </row>
    <row r="626" spans="1:23" ht="12.4">
      <c r="A626" s="1">
        <v>625</v>
      </c>
      <c r="B626" s="5" t="s">
        <v>2864</v>
      </c>
      <c r="C626" s="1" t="s">
        <v>2865</v>
      </c>
      <c r="D626" s="1">
        <v>43.77</v>
      </c>
      <c r="E626" s="1">
        <v>0.16</v>
      </c>
      <c r="F626" s="1">
        <v>33.409999999999997</v>
      </c>
      <c r="G626" s="1">
        <v>0</v>
      </c>
      <c r="H626" s="1">
        <v>0</v>
      </c>
      <c r="I626" s="2">
        <v>2.36</v>
      </c>
      <c r="J626" s="1">
        <v>0.06</v>
      </c>
      <c r="K626" s="2">
        <v>0.22</v>
      </c>
      <c r="L626" s="2">
        <v>0.01</v>
      </c>
      <c r="M626" s="1">
        <v>0.69</v>
      </c>
      <c r="N626" s="1">
        <v>9.3000000000000007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 t="s">
        <v>2837</v>
      </c>
      <c r="W626" s="1"/>
    </row>
    <row r="627" spans="1:23" ht="12.4">
      <c r="A627" s="1">
        <v>626</v>
      </c>
      <c r="B627" s="5" t="s">
        <v>2866</v>
      </c>
      <c r="C627" s="1" t="s">
        <v>2858</v>
      </c>
      <c r="D627" s="1">
        <v>45.36</v>
      </c>
      <c r="E627" s="1">
        <v>0</v>
      </c>
      <c r="F627" s="1">
        <v>0.19</v>
      </c>
      <c r="G627" s="1">
        <v>0</v>
      </c>
      <c r="H627" s="1">
        <v>0</v>
      </c>
      <c r="I627" s="2">
        <v>0.32</v>
      </c>
      <c r="J627" s="1">
        <v>51.21</v>
      </c>
      <c r="K627" s="2">
        <v>0.38</v>
      </c>
      <c r="L627" s="2">
        <v>0.92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 t="s">
        <v>2837</v>
      </c>
      <c r="W627" s="1"/>
    </row>
    <row r="628" spans="1:23" ht="12.4">
      <c r="A628" s="1">
        <v>627</v>
      </c>
      <c r="B628" s="5" t="s">
        <v>2867</v>
      </c>
      <c r="C628" s="1" t="s">
        <v>2863</v>
      </c>
      <c r="D628" s="1">
        <v>50.78</v>
      </c>
      <c r="E628" s="1">
        <v>0.01</v>
      </c>
      <c r="F628" s="1">
        <v>0.11</v>
      </c>
      <c r="G628" s="1">
        <v>0</v>
      </c>
      <c r="H628" s="1">
        <v>0</v>
      </c>
      <c r="I628" s="2">
        <v>0.16</v>
      </c>
      <c r="J628" s="1">
        <v>0.02</v>
      </c>
      <c r="K628" s="2">
        <v>0.45</v>
      </c>
      <c r="L628" s="2">
        <v>48.93</v>
      </c>
      <c r="M628" s="1">
        <v>0.01</v>
      </c>
      <c r="N628" s="1">
        <v>0.01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 t="s">
        <v>2837</v>
      </c>
      <c r="W628" s="1" t="s">
        <v>2868</v>
      </c>
    </row>
    <row r="629" spans="1:23" ht="12.4">
      <c r="A629" s="1">
        <v>628</v>
      </c>
      <c r="B629" s="1" t="s">
        <v>2869</v>
      </c>
      <c r="C629" s="1" t="s">
        <v>1551</v>
      </c>
      <c r="D629" s="1">
        <v>45.69</v>
      </c>
      <c r="E629" s="1">
        <v>0</v>
      </c>
      <c r="F629" s="1">
        <v>32.97</v>
      </c>
      <c r="G629" s="1">
        <v>0</v>
      </c>
      <c r="H629" s="1">
        <v>0</v>
      </c>
      <c r="I629" s="2">
        <v>0.59</v>
      </c>
      <c r="J629" s="1">
        <v>0</v>
      </c>
      <c r="K629" s="2">
        <v>0</v>
      </c>
      <c r="L629" s="2">
        <v>17.850000000000001</v>
      </c>
      <c r="M629" s="1">
        <v>1.19</v>
      </c>
      <c r="N629" s="1">
        <v>7.0000000000000007E-2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 t="s">
        <v>2870</v>
      </c>
      <c r="W629" s="1"/>
    </row>
    <row r="630" spans="1:23" ht="12.4">
      <c r="A630" s="1">
        <v>629</v>
      </c>
      <c r="B630" s="1" t="s">
        <v>2869</v>
      </c>
      <c r="C630" s="1" t="s">
        <v>1510</v>
      </c>
      <c r="D630" s="1">
        <v>48.28</v>
      </c>
      <c r="E630" s="1">
        <v>0.57999999999999996</v>
      </c>
      <c r="F630" s="1">
        <v>0.77</v>
      </c>
      <c r="G630" s="1">
        <v>0.22</v>
      </c>
      <c r="H630" s="1">
        <v>0</v>
      </c>
      <c r="I630" s="2">
        <v>32.049999999999997</v>
      </c>
      <c r="J630" s="1">
        <v>0.99</v>
      </c>
      <c r="K630" s="2">
        <v>9.7799999999999994</v>
      </c>
      <c r="L630" s="2">
        <v>5.83</v>
      </c>
      <c r="M630" s="1">
        <v>0.02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 t="s">
        <v>2870</v>
      </c>
      <c r="W630" s="1"/>
    </row>
    <row r="631" spans="1:23" ht="12.4">
      <c r="A631" s="1">
        <v>630</v>
      </c>
      <c r="B631" s="1" t="s">
        <v>2869</v>
      </c>
      <c r="C631" s="1" t="s">
        <v>2871</v>
      </c>
      <c r="D631" s="1">
        <v>30.32</v>
      </c>
      <c r="E631" s="1">
        <v>0.13</v>
      </c>
      <c r="F631" s="1">
        <v>0.24</v>
      </c>
      <c r="G631" s="1">
        <v>0.05</v>
      </c>
      <c r="H631" s="1">
        <v>0</v>
      </c>
      <c r="I631" s="2">
        <v>61.37</v>
      </c>
      <c r="J631" s="1">
        <v>1.31</v>
      </c>
      <c r="K631" s="2">
        <v>4.33</v>
      </c>
      <c r="L631" s="2">
        <v>0.63</v>
      </c>
      <c r="M631" s="1">
        <v>0.02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 t="s">
        <v>2870</v>
      </c>
      <c r="W631" s="1"/>
    </row>
    <row r="632" spans="1:23" ht="12.4">
      <c r="A632" s="1">
        <v>631</v>
      </c>
      <c r="B632" s="1" t="s">
        <v>2872</v>
      </c>
      <c r="C632" s="1" t="s">
        <v>1496</v>
      </c>
      <c r="D632" s="1">
        <v>50</v>
      </c>
      <c r="E632" s="1">
        <v>0.9</v>
      </c>
      <c r="F632" s="1">
        <v>14</v>
      </c>
      <c r="G632" s="1">
        <v>0.39</v>
      </c>
      <c r="H632" s="1">
        <v>0</v>
      </c>
      <c r="I632" s="2">
        <v>17</v>
      </c>
      <c r="J632" s="1">
        <v>0.57999999999999996</v>
      </c>
      <c r="K632" s="2">
        <v>6.8</v>
      </c>
      <c r="L632" s="2">
        <v>10.6</v>
      </c>
      <c r="M632" s="1">
        <v>0.18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 t="s">
        <v>2870</v>
      </c>
      <c r="W632" s="1"/>
    </row>
    <row r="633" spans="1:23" ht="12.4">
      <c r="A633" s="1">
        <v>632</v>
      </c>
      <c r="B633" s="1" t="s">
        <v>2873</v>
      </c>
      <c r="C633" s="1" t="s">
        <v>1496</v>
      </c>
      <c r="D633" s="1">
        <v>50.55</v>
      </c>
      <c r="E633" s="1">
        <v>1.05</v>
      </c>
      <c r="F633" s="1">
        <v>15.71</v>
      </c>
      <c r="G633" s="1">
        <v>0</v>
      </c>
      <c r="H633" s="1">
        <v>0</v>
      </c>
      <c r="I633" s="2">
        <v>6.1</v>
      </c>
      <c r="J633" s="1">
        <v>0.42</v>
      </c>
      <c r="K633" s="2">
        <v>0.67</v>
      </c>
      <c r="L633" s="2">
        <v>13.44</v>
      </c>
      <c r="M633" s="1">
        <v>0.1</v>
      </c>
      <c r="N633" s="1">
        <v>11.79</v>
      </c>
      <c r="O633" s="1">
        <v>0.17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 t="s">
        <v>2874</v>
      </c>
      <c r="W633" s="1"/>
    </row>
    <row r="634" spans="1:23" ht="12.4">
      <c r="A634" s="1">
        <v>633</v>
      </c>
      <c r="B634" s="1" t="s">
        <v>2875</v>
      </c>
      <c r="C634" s="1" t="s">
        <v>1496</v>
      </c>
      <c r="D634" s="1">
        <v>49.71</v>
      </c>
      <c r="E634" s="1">
        <v>1.04</v>
      </c>
      <c r="F634" s="1">
        <v>15.97</v>
      </c>
      <c r="G634" s="1">
        <v>0</v>
      </c>
      <c r="H634" s="1">
        <v>0</v>
      </c>
      <c r="I634" s="2">
        <v>5.36</v>
      </c>
      <c r="J634" s="1">
        <v>0.33</v>
      </c>
      <c r="K634" s="2">
        <v>0.68</v>
      </c>
      <c r="L634" s="2">
        <v>14.87</v>
      </c>
      <c r="M634" s="1">
        <v>0.08</v>
      </c>
      <c r="N634" s="1">
        <v>11.8</v>
      </c>
      <c r="O634" s="1">
        <v>0.16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 t="s">
        <v>2874</v>
      </c>
      <c r="W634" s="1"/>
    </row>
    <row r="635" spans="1:23" ht="12.4">
      <c r="A635" s="1">
        <v>634</v>
      </c>
      <c r="B635" s="1" t="s">
        <v>1072</v>
      </c>
      <c r="C635" s="1" t="s">
        <v>1502</v>
      </c>
      <c r="D635" s="1">
        <v>40.81</v>
      </c>
      <c r="E635" s="1">
        <v>0</v>
      </c>
      <c r="F635" s="1">
        <v>0</v>
      </c>
      <c r="G635" s="1">
        <v>0</v>
      </c>
      <c r="H635" s="1">
        <v>0</v>
      </c>
      <c r="I635" s="2">
        <v>9.5500000000000007</v>
      </c>
      <c r="J635" s="1">
        <v>0.14000000000000001</v>
      </c>
      <c r="K635" s="2">
        <v>49.42</v>
      </c>
      <c r="L635" s="2">
        <v>0.05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 t="s">
        <v>2876</v>
      </c>
      <c r="W635" s="1" t="s">
        <v>2877</v>
      </c>
    </row>
    <row r="636" spans="1:23" ht="12.4">
      <c r="A636" s="1">
        <v>635</v>
      </c>
      <c r="B636" s="1" t="s">
        <v>799</v>
      </c>
      <c r="C636" s="1" t="s">
        <v>2878</v>
      </c>
      <c r="D636" s="1">
        <v>54.09</v>
      </c>
      <c r="E636" s="1">
        <v>0.16</v>
      </c>
      <c r="F636" s="1">
        <v>1.23</v>
      </c>
      <c r="G636" s="1">
        <v>0.75</v>
      </c>
      <c r="H636" s="1">
        <v>0</v>
      </c>
      <c r="I636" s="2">
        <v>15.22</v>
      </c>
      <c r="J636" s="1">
        <v>0.49</v>
      </c>
      <c r="K636" s="2">
        <v>26.79</v>
      </c>
      <c r="L636" s="2">
        <v>1.52</v>
      </c>
      <c r="M636" s="1">
        <v>0.05</v>
      </c>
      <c r="N636" s="1">
        <v>0.05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 t="s">
        <v>2876</v>
      </c>
      <c r="W636" s="1" t="s">
        <v>2879</v>
      </c>
    </row>
    <row r="637" spans="1:23" ht="12.4">
      <c r="A637" s="1">
        <v>636</v>
      </c>
      <c r="B637" s="1" t="s">
        <v>478</v>
      </c>
      <c r="C637" s="1" t="s">
        <v>2159</v>
      </c>
      <c r="D637" s="1">
        <v>50.73</v>
      </c>
      <c r="E637" s="1">
        <v>0.74</v>
      </c>
      <c r="F637" s="1">
        <v>8.73</v>
      </c>
      <c r="G637" s="1">
        <v>0</v>
      </c>
      <c r="H637" s="1">
        <v>1.08</v>
      </c>
      <c r="I637" s="2">
        <v>5.37</v>
      </c>
      <c r="J637" s="1">
        <v>0.13</v>
      </c>
      <c r="K637" s="2">
        <v>16.649999999999999</v>
      </c>
      <c r="L637" s="2">
        <v>15.82</v>
      </c>
      <c r="M637" s="1">
        <v>1.27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 t="s">
        <v>2876</v>
      </c>
      <c r="W637" s="1" t="s">
        <v>2880</v>
      </c>
    </row>
    <row r="638" spans="1:23" ht="12.4">
      <c r="A638" s="1">
        <v>637</v>
      </c>
      <c r="B638" s="1" t="s">
        <v>2881</v>
      </c>
      <c r="C638" s="1" t="s">
        <v>2781</v>
      </c>
      <c r="D638" s="1">
        <v>51.25</v>
      </c>
      <c r="E638" s="1">
        <v>0.05</v>
      </c>
      <c r="F638" s="1">
        <v>30.91</v>
      </c>
      <c r="G638" s="1">
        <v>0</v>
      </c>
      <c r="H638" s="1">
        <v>0.34</v>
      </c>
      <c r="I638" s="2">
        <v>0.15</v>
      </c>
      <c r="J638" s="1">
        <v>0.01</v>
      </c>
      <c r="K638" s="2">
        <v>0.14000000000000001</v>
      </c>
      <c r="L638" s="2">
        <v>13.64</v>
      </c>
      <c r="M638" s="1">
        <v>3.45</v>
      </c>
      <c r="N638" s="1">
        <v>0.18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 t="s">
        <v>2876</v>
      </c>
      <c r="W638" s="1" t="s">
        <v>2882</v>
      </c>
    </row>
    <row r="639" spans="1:23" ht="12.4">
      <c r="A639" s="1">
        <v>638</v>
      </c>
      <c r="B639" s="1" t="s">
        <v>2883</v>
      </c>
      <c r="C639" s="1" t="s">
        <v>1502</v>
      </c>
      <c r="D639" s="1">
        <v>31</v>
      </c>
      <c r="E639" s="1">
        <v>0</v>
      </c>
      <c r="F639" s="1">
        <v>0</v>
      </c>
      <c r="G639" s="1">
        <v>0</v>
      </c>
      <c r="H639" s="1">
        <v>44.24</v>
      </c>
      <c r="I639" s="2">
        <v>23.64</v>
      </c>
      <c r="J639" s="1">
        <v>0</v>
      </c>
      <c r="K639" s="2">
        <v>0.87</v>
      </c>
      <c r="L639" s="2">
        <v>0.21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 t="s">
        <v>2884</v>
      </c>
      <c r="W639" s="1"/>
    </row>
    <row r="640" spans="1:23" ht="12.4">
      <c r="A640" s="1">
        <v>639</v>
      </c>
      <c r="B640" s="1" t="s">
        <v>2885</v>
      </c>
      <c r="C640" s="1" t="s">
        <v>1502</v>
      </c>
      <c r="D640" s="1">
        <v>30.43</v>
      </c>
      <c r="E640" s="1">
        <v>0.01</v>
      </c>
      <c r="F640" s="1">
        <v>0.01</v>
      </c>
      <c r="G640" s="1">
        <v>0</v>
      </c>
      <c r="H640" s="1">
        <v>22.36</v>
      </c>
      <c r="I640" s="2">
        <v>41.67</v>
      </c>
      <c r="J640" s="1">
        <v>3.14</v>
      </c>
      <c r="K640" s="2">
        <v>0.38</v>
      </c>
      <c r="L640" s="2">
        <v>0.06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 t="s">
        <v>2884</v>
      </c>
      <c r="W640" s="1"/>
    </row>
    <row r="641" spans="1:23" ht="12.4">
      <c r="A641" s="1">
        <v>640</v>
      </c>
      <c r="B641" s="1" t="s">
        <v>2886</v>
      </c>
      <c r="C641" s="1" t="s">
        <v>1502</v>
      </c>
      <c r="D641" s="1">
        <v>29</v>
      </c>
      <c r="E641" s="1">
        <v>0</v>
      </c>
      <c r="F641" s="1">
        <v>0</v>
      </c>
      <c r="G641" s="1">
        <v>0</v>
      </c>
      <c r="H641" s="1">
        <v>33.53</v>
      </c>
      <c r="I641" s="2">
        <v>35.92</v>
      </c>
      <c r="J641" s="1">
        <v>4.09</v>
      </c>
      <c r="K641" s="2">
        <v>0</v>
      </c>
      <c r="L641" s="2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 t="s">
        <v>2884</v>
      </c>
      <c r="W641" s="1"/>
    </row>
    <row r="642" spans="1:23" ht="12.4">
      <c r="A642" s="1">
        <v>641</v>
      </c>
      <c r="B642" s="1" t="s">
        <v>2887</v>
      </c>
      <c r="C642" s="1" t="s">
        <v>2888</v>
      </c>
      <c r="D642" s="1">
        <v>47.85</v>
      </c>
      <c r="E642" s="1">
        <v>0</v>
      </c>
      <c r="F642" s="1">
        <v>4.79</v>
      </c>
      <c r="G642" s="1">
        <v>0</v>
      </c>
      <c r="H642" s="1">
        <v>0.15</v>
      </c>
      <c r="I642" s="2">
        <v>0</v>
      </c>
      <c r="J642" s="1">
        <v>0</v>
      </c>
      <c r="K642" s="2">
        <v>0.4</v>
      </c>
      <c r="L642" s="2">
        <v>0.63</v>
      </c>
      <c r="M642" s="1">
        <v>0</v>
      </c>
      <c r="N642" s="1">
        <v>0.09</v>
      </c>
      <c r="O642" s="1">
        <v>0.05</v>
      </c>
      <c r="P642" s="1">
        <v>12.56</v>
      </c>
      <c r="Q642" s="1">
        <v>398000</v>
      </c>
      <c r="R642" s="1">
        <v>125</v>
      </c>
      <c r="S642" s="1">
        <v>0</v>
      </c>
      <c r="T642" s="1">
        <v>0</v>
      </c>
      <c r="U642" s="1">
        <v>10</v>
      </c>
      <c r="V642" s="1" t="s">
        <v>2889</v>
      </c>
      <c r="W642" s="1" t="s">
        <v>2890</v>
      </c>
    </row>
    <row r="643" spans="1:23" ht="12.4">
      <c r="A643" s="1">
        <v>642</v>
      </c>
      <c r="B643" s="5" t="s">
        <v>2891</v>
      </c>
      <c r="C643" s="1" t="s">
        <v>2892</v>
      </c>
      <c r="D643" s="1">
        <v>57.51</v>
      </c>
      <c r="E643" s="1">
        <v>0</v>
      </c>
      <c r="F643" s="1">
        <v>2.5299999999999998</v>
      </c>
      <c r="G643" s="1">
        <v>0</v>
      </c>
      <c r="H643" s="1">
        <v>18.190000000000001</v>
      </c>
      <c r="I643" s="2">
        <v>3.57</v>
      </c>
      <c r="J643" s="1">
        <v>0.02</v>
      </c>
      <c r="K643" s="2">
        <v>3.91</v>
      </c>
      <c r="L643" s="2">
        <v>0.2</v>
      </c>
      <c r="M643" s="1">
        <v>0.22</v>
      </c>
      <c r="N643" s="1">
        <v>10.28</v>
      </c>
      <c r="O643" s="1">
        <v>0.01</v>
      </c>
      <c r="P643" s="1">
        <v>5.37</v>
      </c>
      <c r="Q643" s="1">
        <v>0</v>
      </c>
      <c r="R643" s="1">
        <v>0</v>
      </c>
      <c r="S643" s="1">
        <v>0</v>
      </c>
      <c r="T643" s="1">
        <v>0</v>
      </c>
      <c r="U643" s="1">
        <v>315</v>
      </c>
      <c r="V643" s="1" t="s">
        <v>2889</v>
      </c>
      <c r="W643" s="1" t="s">
        <v>2893</v>
      </c>
    </row>
    <row r="644" spans="1:23" ht="12.4">
      <c r="A644" s="1">
        <v>643</v>
      </c>
      <c r="B644" s="1" t="s">
        <v>2894</v>
      </c>
      <c r="C644" s="1" t="s">
        <v>2895</v>
      </c>
      <c r="D644" s="1">
        <v>27.38</v>
      </c>
      <c r="E644" s="1">
        <v>0.42</v>
      </c>
      <c r="F644" s="1">
        <v>6.97</v>
      </c>
      <c r="G644" s="1">
        <v>0</v>
      </c>
      <c r="H644" s="1">
        <v>57.05</v>
      </c>
      <c r="I644" s="2">
        <v>0</v>
      </c>
      <c r="J644" s="1">
        <v>0.15</v>
      </c>
      <c r="K644" s="2">
        <v>3.59</v>
      </c>
      <c r="L644" s="2">
        <v>3.36</v>
      </c>
      <c r="M644" s="1">
        <v>0.27</v>
      </c>
      <c r="N644" s="1">
        <v>0.05</v>
      </c>
      <c r="O644" s="1">
        <v>0</v>
      </c>
      <c r="P644" s="1">
        <v>12.58</v>
      </c>
      <c r="Q644" s="1">
        <v>0</v>
      </c>
      <c r="R644" s="1">
        <v>0</v>
      </c>
      <c r="S644" s="1">
        <v>0</v>
      </c>
      <c r="T644" s="1">
        <v>0</v>
      </c>
      <c r="U644" s="1">
        <v>920</v>
      </c>
      <c r="V644" s="1" t="s">
        <v>2889</v>
      </c>
      <c r="W644" s="1" t="s">
        <v>2896</v>
      </c>
    </row>
    <row r="645" spans="1:23" ht="12.4">
      <c r="A645" s="1">
        <v>644</v>
      </c>
      <c r="B645" s="5" t="s">
        <v>2897</v>
      </c>
      <c r="C645" s="1" t="s">
        <v>2898</v>
      </c>
      <c r="D645" s="1">
        <v>21.15</v>
      </c>
      <c r="E645" s="1">
        <v>0</v>
      </c>
      <c r="F645" s="1">
        <v>44.7</v>
      </c>
      <c r="G645" s="1">
        <v>0</v>
      </c>
      <c r="H645" s="1">
        <v>0.16</v>
      </c>
      <c r="I645" s="2">
        <v>0</v>
      </c>
      <c r="J645" s="1">
        <v>0.06</v>
      </c>
      <c r="K645" s="2">
        <v>0.2</v>
      </c>
      <c r="L645" s="2">
        <v>0.92</v>
      </c>
      <c r="M645" s="1">
        <v>0.37</v>
      </c>
      <c r="N645" s="1">
        <v>0.03</v>
      </c>
      <c r="O645" s="1">
        <v>0.06</v>
      </c>
      <c r="P645" s="1">
        <v>26.58</v>
      </c>
      <c r="Q645" s="1">
        <v>0</v>
      </c>
      <c r="R645" s="1">
        <v>0</v>
      </c>
      <c r="S645" s="1">
        <v>0</v>
      </c>
      <c r="T645" s="1">
        <v>0</v>
      </c>
      <c r="U645" s="1">
        <v>45</v>
      </c>
      <c r="V645" s="1" t="s">
        <v>2889</v>
      </c>
      <c r="W645" s="1" t="s">
        <v>2899</v>
      </c>
    </row>
    <row r="646" spans="1:23" ht="12.4">
      <c r="A646" s="1">
        <v>645</v>
      </c>
      <c r="B646" s="5" t="s">
        <v>2900</v>
      </c>
      <c r="C646" s="1" t="s">
        <v>2845</v>
      </c>
      <c r="D646" s="1">
        <v>33.78</v>
      </c>
      <c r="E646" s="1">
        <v>0.22</v>
      </c>
      <c r="F646" s="1">
        <v>21.63</v>
      </c>
      <c r="G646" s="1">
        <v>0</v>
      </c>
      <c r="H646" s="1">
        <v>4.2300000000000004</v>
      </c>
      <c r="I646" s="2">
        <v>5.96</v>
      </c>
      <c r="J646" s="1">
        <v>0.2</v>
      </c>
      <c r="K646" s="2">
        <v>32.18</v>
      </c>
      <c r="L646" s="2">
        <v>7.0000000000000007E-2</v>
      </c>
      <c r="M646" s="1">
        <v>0.11</v>
      </c>
      <c r="N646" s="1">
        <v>0</v>
      </c>
      <c r="O646" s="1">
        <v>0.02</v>
      </c>
      <c r="P646" s="1">
        <v>11.89</v>
      </c>
      <c r="Q646" s="1">
        <v>260</v>
      </c>
      <c r="R646" s="1">
        <v>1120</v>
      </c>
      <c r="S646" s="1">
        <v>80</v>
      </c>
      <c r="T646" s="1">
        <v>0</v>
      </c>
      <c r="U646" s="1">
        <v>140</v>
      </c>
      <c r="V646" s="1" t="s">
        <v>2889</v>
      </c>
      <c r="W646" s="1" t="s">
        <v>2901</v>
      </c>
    </row>
    <row r="647" spans="1:23" ht="12.4">
      <c r="A647" s="1">
        <v>646</v>
      </c>
      <c r="B647" s="1" t="s">
        <v>2902</v>
      </c>
      <c r="C647" s="1" t="s">
        <v>2903</v>
      </c>
      <c r="D647" s="1">
        <v>53.18</v>
      </c>
      <c r="E647" s="1">
        <v>0</v>
      </c>
      <c r="F647" s="1">
        <v>45.46</v>
      </c>
      <c r="G647" s="1">
        <v>0</v>
      </c>
      <c r="H647" s="1">
        <v>0.44</v>
      </c>
      <c r="I647" s="2">
        <v>0</v>
      </c>
      <c r="J647" s="1">
        <v>0.01</v>
      </c>
      <c r="K647" s="2">
        <v>0.11</v>
      </c>
      <c r="L647" s="2">
        <v>0.15</v>
      </c>
      <c r="M647" s="1">
        <v>7.0000000000000007E-2</v>
      </c>
      <c r="N647" s="1">
        <v>0.05</v>
      </c>
      <c r="O647" s="1">
        <v>0.14000000000000001</v>
      </c>
      <c r="P647" s="1">
        <v>16.29</v>
      </c>
      <c r="Q647" s="1">
        <v>50</v>
      </c>
      <c r="R647" s="1">
        <v>125</v>
      </c>
      <c r="S647" s="1">
        <v>2</v>
      </c>
      <c r="T647" s="1">
        <v>0</v>
      </c>
      <c r="U647" s="1">
        <v>10</v>
      </c>
      <c r="V647" s="1" t="s">
        <v>2889</v>
      </c>
      <c r="W647" s="1" t="s">
        <v>2904</v>
      </c>
    </row>
    <row r="648" spans="1:23" ht="12.4">
      <c r="A648" s="1">
        <v>647</v>
      </c>
      <c r="B648" s="1" t="s">
        <v>2905</v>
      </c>
      <c r="C648" s="1" t="s">
        <v>2906</v>
      </c>
      <c r="D648" s="1">
        <v>44.53</v>
      </c>
      <c r="E648" s="1">
        <v>0.34</v>
      </c>
      <c r="F648" s="1">
        <v>13.23</v>
      </c>
      <c r="G648" s="1">
        <v>0</v>
      </c>
      <c r="H648" s="1">
        <v>1.1499999999999999</v>
      </c>
      <c r="I648" s="2">
        <v>2.65</v>
      </c>
      <c r="J648" s="1">
        <v>0.08</v>
      </c>
      <c r="K648" s="2">
        <v>25.78</v>
      </c>
      <c r="L648" s="2">
        <v>0.11</v>
      </c>
      <c r="M648" s="1">
        <v>0.26</v>
      </c>
      <c r="N648" s="1">
        <v>10.87</v>
      </c>
      <c r="O648" s="1">
        <v>0.02</v>
      </c>
      <c r="P648" s="1">
        <v>0.43</v>
      </c>
      <c r="Q648" s="1">
        <v>0</v>
      </c>
      <c r="R648" s="1">
        <v>0</v>
      </c>
      <c r="S648" s="1">
        <v>0</v>
      </c>
      <c r="T648" s="1">
        <v>0</v>
      </c>
      <c r="U648" s="1">
        <v>45</v>
      </c>
      <c r="V648" s="1" t="s">
        <v>2889</v>
      </c>
      <c r="W648" s="1" t="s">
        <v>2907</v>
      </c>
    </row>
    <row r="649" spans="1:23" ht="12.4">
      <c r="A649" s="1">
        <v>648</v>
      </c>
      <c r="B649" s="1" t="s">
        <v>2908</v>
      </c>
      <c r="C649" s="1" t="s">
        <v>2909</v>
      </c>
      <c r="D649" s="1">
        <v>46.92</v>
      </c>
      <c r="E649" s="1">
        <v>0.3</v>
      </c>
      <c r="F649" s="1">
        <v>9.86</v>
      </c>
      <c r="G649" s="1">
        <v>0</v>
      </c>
      <c r="H649" s="1">
        <v>14.25</v>
      </c>
      <c r="I649" s="2">
        <v>3.94</v>
      </c>
      <c r="J649" s="1">
        <v>0.39</v>
      </c>
      <c r="K649" s="2">
        <v>17.52</v>
      </c>
      <c r="L649" s="2">
        <v>4.29</v>
      </c>
      <c r="M649" s="1">
        <v>0.73</v>
      </c>
      <c r="N649" s="1">
        <v>7.0000000000000007E-2</v>
      </c>
      <c r="O649" s="1">
        <v>0.04</v>
      </c>
      <c r="P649" s="1">
        <v>17.25</v>
      </c>
      <c r="Q649" s="1">
        <v>0</v>
      </c>
      <c r="R649" s="1">
        <v>0</v>
      </c>
      <c r="S649" s="1">
        <v>0</v>
      </c>
      <c r="T649" s="1">
        <v>0</v>
      </c>
      <c r="U649" s="1">
        <v>80</v>
      </c>
      <c r="V649" s="1" t="s">
        <v>2889</v>
      </c>
      <c r="W649" s="1" t="s">
        <v>2910</v>
      </c>
    </row>
    <row r="650" spans="1:23" ht="12.4">
      <c r="A650" s="1">
        <v>649</v>
      </c>
      <c r="B650" s="1" t="s">
        <v>2911</v>
      </c>
      <c r="C650" s="1" t="s">
        <v>2912</v>
      </c>
      <c r="D650" s="1">
        <v>63.23</v>
      </c>
      <c r="E650" s="1">
        <v>0.03</v>
      </c>
      <c r="F650" s="1">
        <v>1.46</v>
      </c>
      <c r="G650" s="1">
        <v>0</v>
      </c>
      <c r="H650" s="1">
        <v>0.55000000000000004</v>
      </c>
      <c r="I650" s="2">
        <v>0.43</v>
      </c>
      <c r="J650" s="1">
        <v>0.01</v>
      </c>
      <c r="K650" s="2">
        <v>32.46</v>
      </c>
      <c r="L650" s="2">
        <v>0.28999999999999998</v>
      </c>
      <c r="M650" s="1">
        <v>0.12</v>
      </c>
      <c r="N650" s="1">
        <v>0</v>
      </c>
      <c r="O650" s="1">
        <v>0.11</v>
      </c>
      <c r="P650" s="1">
        <v>3.72</v>
      </c>
      <c r="Q650" s="1">
        <v>25</v>
      </c>
      <c r="R650" s="1">
        <v>20</v>
      </c>
      <c r="S650" s="1">
        <v>3</v>
      </c>
      <c r="T650" s="1">
        <v>0</v>
      </c>
      <c r="U650" s="1">
        <v>41</v>
      </c>
      <c r="V650" s="1" t="s">
        <v>2889</v>
      </c>
      <c r="W650" s="1" t="s">
        <v>2913</v>
      </c>
    </row>
    <row r="651" spans="1:23" ht="24.95">
      <c r="A651" s="1">
        <v>650</v>
      </c>
      <c r="B651" s="1" t="s">
        <v>2914</v>
      </c>
      <c r="C651" s="1" t="s">
        <v>2915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2">
        <v>0</v>
      </c>
      <c r="J651" s="1">
        <v>0</v>
      </c>
      <c r="K651" s="2">
        <v>0</v>
      </c>
      <c r="L651" s="2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/>
      <c r="W651" s="1" t="s">
        <v>2916</v>
      </c>
    </row>
    <row r="652" spans="1:23" ht="12.4">
      <c r="A652" s="1">
        <v>651</v>
      </c>
      <c r="B652" s="1" t="s">
        <v>2917</v>
      </c>
      <c r="C652" s="1" t="s">
        <v>1510</v>
      </c>
      <c r="D652" s="1">
        <v>47.55</v>
      </c>
      <c r="E652" s="1">
        <v>1.27</v>
      </c>
      <c r="F652" s="1">
        <v>9.1</v>
      </c>
      <c r="G652" s="1">
        <v>0.01</v>
      </c>
      <c r="H652" s="1">
        <v>1.22</v>
      </c>
      <c r="I652" s="2">
        <v>2.2599999999999998</v>
      </c>
      <c r="J652" s="1">
        <v>0.04</v>
      </c>
      <c r="K652" s="2">
        <v>12.21</v>
      </c>
      <c r="L652" s="2">
        <v>24.72</v>
      </c>
      <c r="M652" s="1">
        <v>0.46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 t="s">
        <v>2918</v>
      </c>
      <c r="W652" s="1"/>
    </row>
    <row r="653" spans="1:23" ht="12.4">
      <c r="A653" s="1">
        <v>652</v>
      </c>
      <c r="B653" s="1" t="s">
        <v>2919</v>
      </c>
      <c r="C653" s="1" t="s">
        <v>2159</v>
      </c>
      <c r="D653" s="1">
        <v>48.94</v>
      </c>
      <c r="E653" s="1">
        <v>0.22</v>
      </c>
      <c r="F653" s="1">
        <v>3.23</v>
      </c>
      <c r="G653" s="1">
        <v>0.08</v>
      </c>
      <c r="H653" s="1">
        <v>13.43</v>
      </c>
      <c r="I653" s="2">
        <v>0</v>
      </c>
      <c r="J653" s="1">
        <v>0.3</v>
      </c>
      <c r="K653" s="2">
        <v>9.82</v>
      </c>
      <c r="L653" s="2">
        <v>18.59</v>
      </c>
      <c r="M653" s="1">
        <v>2.46</v>
      </c>
      <c r="N653" s="1">
        <v>0.36</v>
      </c>
      <c r="O653" s="1">
        <v>0</v>
      </c>
      <c r="P653" s="1">
        <v>0.64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/>
      <c r="W653" s="1"/>
    </row>
    <row r="654" spans="1:23" ht="12.4">
      <c r="A654" s="1">
        <v>653</v>
      </c>
      <c r="B654" s="1" t="s">
        <v>2919</v>
      </c>
      <c r="C654" s="1" t="s">
        <v>2920</v>
      </c>
      <c r="D654" s="1">
        <v>100</v>
      </c>
      <c r="E654" s="1">
        <v>0</v>
      </c>
      <c r="F654" s="1">
        <v>0</v>
      </c>
      <c r="G654" s="1">
        <v>0</v>
      </c>
      <c r="H654" s="1">
        <v>0</v>
      </c>
      <c r="I654" s="2">
        <v>0</v>
      </c>
      <c r="J654" s="1">
        <v>0</v>
      </c>
      <c r="K654" s="2">
        <v>0</v>
      </c>
      <c r="L654" s="2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/>
      <c r="W654" s="1"/>
    </row>
    <row r="655" spans="1:23" ht="12.4">
      <c r="A655" s="1">
        <v>654</v>
      </c>
      <c r="B655" s="1" t="s">
        <v>2921</v>
      </c>
      <c r="C655" s="1" t="s">
        <v>2485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2">
        <v>0</v>
      </c>
      <c r="J655" s="1">
        <v>0</v>
      </c>
      <c r="K655" s="2">
        <v>0</v>
      </c>
      <c r="L655" s="2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/>
      <c r="W655" s="1" t="s">
        <v>2922</v>
      </c>
    </row>
    <row r="656" spans="1:23" ht="12.4">
      <c r="A656" s="1">
        <v>655</v>
      </c>
      <c r="B656" s="1" t="s">
        <v>2923</v>
      </c>
      <c r="C656" s="1" t="s">
        <v>2059</v>
      </c>
      <c r="D656" s="1">
        <v>33.32</v>
      </c>
      <c r="E656" s="1">
        <v>17.14</v>
      </c>
      <c r="F656" s="1">
        <v>7.78</v>
      </c>
      <c r="G656" s="1">
        <v>0.38</v>
      </c>
      <c r="H656" s="1">
        <v>0</v>
      </c>
      <c r="I656" s="2">
        <v>21.02</v>
      </c>
      <c r="J656" s="1">
        <v>0.28999999999999998</v>
      </c>
      <c r="K656" s="2">
        <v>11.12</v>
      </c>
      <c r="L656" s="2">
        <v>7.73</v>
      </c>
      <c r="M656" s="1">
        <v>0.3</v>
      </c>
      <c r="N656" s="1">
        <v>0.12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 t="s">
        <v>2924</v>
      </c>
      <c r="W656" s="1"/>
    </row>
    <row r="657" spans="1:23" ht="12.4">
      <c r="A657" s="1">
        <v>656</v>
      </c>
      <c r="B657" s="1" t="s">
        <v>2925</v>
      </c>
      <c r="C657" s="1" t="s">
        <v>1554</v>
      </c>
      <c r="D657" s="1">
        <v>1.7</v>
      </c>
      <c r="E657" s="1">
        <v>53.64</v>
      </c>
      <c r="F657" s="1">
        <v>1.27</v>
      </c>
      <c r="G657" s="1">
        <v>0.1</v>
      </c>
      <c r="H657" s="1">
        <v>17.36</v>
      </c>
      <c r="I657" s="2">
        <v>20.8</v>
      </c>
      <c r="J657" s="1">
        <v>1.65</v>
      </c>
      <c r="K657" s="2">
        <v>0.62</v>
      </c>
      <c r="L657" s="2">
        <v>0.02</v>
      </c>
      <c r="M657" s="1">
        <v>0</v>
      </c>
      <c r="N657" s="1">
        <v>0.01</v>
      </c>
      <c r="O657" s="1">
        <v>0.04</v>
      </c>
      <c r="P657" s="1">
        <v>0</v>
      </c>
      <c r="Q657" s="1">
        <v>0</v>
      </c>
      <c r="R657" s="1">
        <v>150</v>
      </c>
      <c r="S657" s="1">
        <v>0</v>
      </c>
      <c r="T657" s="1">
        <v>340</v>
      </c>
      <c r="U657" s="1">
        <v>0</v>
      </c>
      <c r="V657" s="1"/>
      <c r="W657" s="1" t="s">
        <v>2926</v>
      </c>
    </row>
    <row r="658" spans="1:23" ht="24.95">
      <c r="A658" s="1">
        <v>657</v>
      </c>
      <c r="B658" s="1" t="s">
        <v>2927</v>
      </c>
      <c r="C658" s="1" t="s">
        <v>1496</v>
      </c>
      <c r="D658" s="1">
        <v>45.89</v>
      </c>
      <c r="E658" s="1">
        <v>1.58</v>
      </c>
      <c r="F658" s="1">
        <v>16.95</v>
      </c>
      <c r="G658" s="1">
        <v>0</v>
      </c>
      <c r="H658" s="1">
        <v>14.25</v>
      </c>
      <c r="I658" s="2">
        <v>0</v>
      </c>
      <c r="J658" s="1">
        <v>0.21</v>
      </c>
      <c r="K658" s="2">
        <v>5.97</v>
      </c>
      <c r="L658" s="2">
        <v>11.99</v>
      </c>
      <c r="M658" s="1">
        <v>2.21</v>
      </c>
      <c r="N658" s="1">
        <v>0.16</v>
      </c>
      <c r="O658" s="1">
        <v>0.16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 t="s">
        <v>2928</v>
      </c>
      <c r="W658" s="1"/>
    </row>
    <row r="659" spans="1:23" ht="24.95">
      <c r="A659" s="1">
        <v>658</v>
      </c>
      <c r="B659" s="1" t="s">
        <v>2929</v>
      </c>
      <c r="C659" s="1" t="s">
        <v>1496</v>
      </c>
      <c r="D659" s="1">
        <v>49.57</v>
      </c>
      <c r="E659" s="1">
        <v>2.82</v>
      </c>
      <c r="F659" s="1">
        <v>15.13</v>
      </c>
      <c r="G659" s="1">
        <v>0</v>
      </c>
      <c r="H659" s="1">
        <v>14.59</v>
      </c>
      <c r="I659" s="2">
        <v>0</v>
      </c>
      <c r="J659" s="1">
        <v>0.2</v>
      </c>
      <c r="K659" s="2">
        <v>4.3099999999999996</v>
      </c>
      <c r="L659" s="2">
        <v>8.49</v>
      </c>
      <c r="M659" s="1">
        <v>2.98</v>
      </c>
      <c r="N659" s="1">
        <v>1.05</v>
      </c>
      <c r="O659" s="1">
        <v>0.35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 t="s">
        <v>2928</v>
      </c>
      <c r="W659" s="1"/>
    </row>
    <row r="660" spans="1:23" ht="24.95">
      <c r="A660" s="1">
        <v>659</v>
      </c>
      <c r="B660" s="1" t="s">
        <v>2930</v>
      </c>
      <c r="C660" s="1" t="s">
        <v>1496</v>
      </c>
      <c r="D660" s="1"/>
      <c r="E660" s="1">
        <v>3.88</v>
      </c>
      <c r="F660" s="1">
        <v>15.46</v>
      </c>
      <c r="G660" s="1">
        <v>0</v>
      </c>
      <c r="H660" s="1">
        <v>16.25</v>
      </c>
      <c r="I660" s="2">
        <v>0</v>
      </c>
      <c r="J660" s="1">
        <v>0.22</v>
      </c>
      <c r="K660" s="2">
        <v>4.79</v>
      </c>
      <c r="L660" s="2">
        <v>8.6</v>
      </c>
      <c r="M660" s="1">
        <v>2.77</v>
      </c>
      <c r="N660" s="1">
        <v>1.34</v>
      </c>
      <c r="O660" s="1">
        <v>0.32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 t="s">
        <v>2928</v>
      </c>
      <c r="W660" s="1"/>
    </row>
    <row r="661" spans="1:23" ht="24.95">
      <c r="A661" s="1">
        <v>660</v>
      </c>
      <c r="B661" s="1" t="s">
        <v>2931</v>
      </c>
      <c r="C661" s="1" t="s">
        <v>1496</v>
      </c>
      <c r="D661" s="1">
        <v>45.15</v>
      </c>
      <c r="E661" s="1">
        <v>3.65</v>
      </c>
      <c r="F661" s="1">
        <v>16.03</v>
      </c>
      <c r="G661" s="1">
        <v>0</v>
      </c>
      <c r="H661" s="1">
        <v>15.74</v>
      </c>
      <c r="I661" s="2">
        <v>0</v>
      </c>
      <c r="J661" s="1">
        <v>0.2</v>
      </c>
      <c r="K661" s="2">
        <v>5.22</v>
      </c>
      <c r="L661" s="2">
        <v>8.7799999999999994</v>
      </c>
      <c r="M661" s="1">
        <v>2.84</v>
      </c>
      <c r="N661" s="1">
        <v>1.49</v>
      </c>
      <c r="O661" s="1">
        <v>0.52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 t="s">
        <v>2928</v>
      </c>
      <c r="W661" s="1"/>
    </row>
    <row r="662" spans="1:23" ht="24.95">
      <c r="A662" s="1">
        <v>661</v>
      </c>
      <c r="B662" s="1" t="s">
        <v>2932</v>
      </c>
      <c r="C662" s="1" t="s">
        <v>1496</v>
      </c>
      <c r="D662" s="1">
        <v>45.25</v>
      </c>
      <c r="E662" s="1">
        <v>3.77</v>
      </c>
      <c r="F662" s="1">
        <v>15.58</v>
      </c>
      <c r="G662" s="1">
        <v>0</v>
      </c>
      <c r="H662" s="1">
        <v>15.88</v>
      </c>
      <c r="I662" s="2">
        <v>0</v>
      </c>
      <c r="J662" s="1">
        <v>0.2</v>
      </c>
      <c r="K662" s="2">
        <v>5.22</v>
      </c>
      <c r="L662" s="2">
        <v>8.2100000000000009</v>
      </c>
      <c r="M662" s="1">
        <v>2.91</v>
      </c>
      <c r="N662" s="1">
        <v>1.68</v>
      </c>
      <c r="O662" s="1">
        <v>0.52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 t="s">
        <v>2928</v>
      </c>
      <c r="W662" s="1"/>
    </row>
    <row r="663" spans="1:23" ht="12.4">
      <c r="A663" s="1">
        <v>662</v>
      </c>
      <c r="B663" s="1" t="s">
        <v>2933</v>
      </c>
      <c r="C663" s="1" t="s">
        <v>1496</v>
      </c>
      <c r="D663" s="1">
        <v>34.19</v>
      </c>
      <c r="E663" s="1">
        <v>0.16</v>
      </c>
      <c r="F663" s="1">
        <v>3.28</v>
      </c>
      <c r="G663" s="1">
        <v>0.53</v>
      </c>
      <c r="H663" s="1">
        <v>0</v>
      </c>
      <c r="I663" s="2">
        <v>26.84</v>
      </c>
      <c r="J663" s="1">
        <v>0.2</v>
      </c>
      <c r="K663" s="2">
        <v>24.62</v>
      </c>
      <c r="L663" s="2">
        <v>2.64</v>
      </c>
      <c r="M663" s="1">
        <v>0.43</v>
      </c>
      <c r="N663" s="1">
        <v>0.03</v>
      </c>
      <c r="O663" s="1">
        <v>0.25</v>
      </c>
      <c r="P663" s="1">
        <v>0</v>
      </c>
      <c r="Q663" s="1">
        <v>0</v>
      </c>
      <c r="R663" s="1">
        <v>2900</v>
      </c>
      <c r="S663" s="1">
        <v>100</v>
      </c>
      <c r="T663" s="1">
        <v>0</v>
      </c>
      <c r="U663" s="1">
        <v>0</v>
      </c>
      <c r="V663" s="1"/>
      <c r="W663" s="1"/>
    </row>
    <row r="664" spans="1:23" ht="12.4">
      <c r="A664" s="1">
        <v>663</v>
      </c>
      <c r="B664" s="1" t="s">
        <v>2934</v>
      </c>
      <c r="C664" s="1" t="s">
        <v>2159</v>
      </c>
      <c r="D664" s="1">
        <v>51.06</v>
      </c>
      <c r="E664" s="1">
        <v>0.79</v>
      </c>
      <c r="F664" s="1">
        <v>2.73</v>
      </c>
      <c r="G664" s="1">
        <v>0.95</v>
      </c>
      <c r="H664" s="1">
        <v>0</v>
      </c>
      <c r="I664" s="2">
        <v>13.69</v>
      </c>
      <c r="J664" s="1">
        <v>0.23</v>
      </c>
      <c r="K664" s="2">
        <v>14.83</v>
      </c>
      <c r="L664" s="2">
        <v>16.309999999999999</v>
      </c>
      <c r="M664" s="1">
        <v>0.02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 t="s">
        <v>2935</v>
      </c>
      <c r="W664" s="1"/>
    </row>
    <row r="665" spans="1:23" ht="12.4">
      <c r="A665" s="1">
        <v>664</v>
      </c>
      <c r="B665" s="1" t="s">
        <v>2936</v>
      </c>
      <c r="C665" s="1" t="s">
        <v>1510</v>
      </c>
      <c r="D665" s="1">
        <v>52.59</v>
      </c>
      <c r="E665" s="1">
        <v>0.35</v>
      </c>
      <c r="F665" s="1">
        <v>1.33</v>
      </c>
      <c r="G665" s="1">
        <v>0.77</v>
      </c>
      <c r="H665" s="1">
        <v>0</v>
      </c>
      <c r="I665" s="2">
        <v>19.09</v>
      </c>
      <c r="J665" s="1">
        <v>0.33</v>
      </c>
      <c r="K665" s="2">
        <v>21.15</v>
      </c>
      <c r="L665" s="2">
        <v>4.8</v>
      </c>
      <c r="M665" s="1">
        <v>0.02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 t="s">
        <v>2937</v>
      </c>
      <c r="W665" s="1"/>
    </row>
    <row r="666" spans="1:23" ht="12.4">
      <c r="A666" s="1">
        <v>665</v>
      </c>
      <c r="B666" s="5" t="s">
        <v>2938</v>
      </c>
      <c r="C666" s="1" t="s">
        <v>1551</v>
      </c>
      <c r="D666" s="1">
        <v>45.62</v>
      </c>
      <c r="E666" s="1">
        <v>0</v>
      </c>
      <c r="F666" s="1">
        <v>33.32</v>
      </c>
      <c r="G666" s="1">
        <v>0</v>
      </c>
      <c r="H666" s="1">
        <v>0</v>
      </c>
      <c r="I666" s="2">
        <v>0.56999999999999995</v>
      </c>
      <c r="J666" s="1">
        <v>0</v>
      </c>
      <c r="K666" s="2">
        <v>0.19</v>
      </c>
      <c r="L666" s="2">
        <v>18.600000000000001</v>
      </c>
      <c r="M666" s="1">
        <v>0.92</v>
      </c>
      <c r="N666" s="1">
        <v>0.05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 t="s">
        <v>2939</v>
      </c>
      <c r="W666" s="1"/>
    </row>
    <row r="667" spans="1:23" ht="12.4">
      <c r="A667" s="1">
        <v>666</v>
      </c>
      <c r="B667" s="5" t="s">
        <v>2940</v>
      </c>
      <c r="C667" s="1" t="s">
        <v>2159</v>
      </c>
      <c r="D667" s="1">
        <v>48.21</v>
      </c>
      <c r="E667" s="1">
        <v>3.51</v>
      </c>
      <c r="F667" s="1">
        <v>4.13</v>
      </c>
      <c r="G667" s="1">
        <v>0.89</v>
      </c>
      <c r="H667" s="1">
        <v>0</v>
      </c>
      <c r="I667" s="2">
        <v>8.25</v>
      </c>
      <c r="J667" s="1">
        <v>0.16</v>
      </c>
      <c r="K667" s="2">
        <v>14.58</v>
      </c>
      <c r="L667" s="2">
        <v>19.84</v>
      </c>
      <c r="M667" s="1">
        <v>0.1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 t="s">
        <v>2939</v>
      </c>
      <c r="W667" s="1"/>
    </row>
    <row r="668" spans="1:23" ht="12.4">
      <c r="A668" s="1">
        <v>667</v>
      </c>
      <c r="B668" s="5" t="s">
        <v>2941</v>
      </c>
      <c r="C668" s="1" t="s">
        <v>2151</v>
      </c>
      <c r="D668" s="1">
        <v>52.86</v>
      </c>
      <c r="E668" s="1">
        <v>0.83</v>
      </c>
      <c r="F668" s="1">
        <v>1.02</v>
      </c>
      <c r="G668" s="1">
        <v>0.38</v>
      </c>
      <c r="H668" s="1">
        <v>0</v>
      </c>
      <c r="I668" s="2">
        <v>17.3</v>
      </c>
      <c r="J668" s="1">
        <v>0.35</v>
      </c>
      <c r="K668" s="2">
        <v>23.33</v>
      </c>
      <c r="L668" s="2">
        <v>3.74</v>
      </c>
      <c r="M668" s="1">
        <v>0.01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 t="s">
        <v>2939</v>
      </c>
      <c r="W668" s="1"/>
    </row>
    <row r="669" spans="1:23" ht="12.4">
      <c r="A669" s="1">
        <v>668</v>
      </c>
      <c r="B669" s="5" t="s">
        <v>2942</v>
      </c>
      <c r="C669" s="1" t="s">
        <v>1551</v>
      </c>
      <c r="D669" s="1">
        <v>46.64</v>
      </c>
      <c r="E669" s="1">
        <v>0</v>
      </c>
      <c r="F669" s="1">
        <v>32.89</v>
      </c>
      <c r="G669" s="1">
        <v>0</v>
      </c>
      <c r="H669" s="1">
        <v>0</v>
      </c>
      <c r="I669" s="2">
        <v>0.34</v>
      </c>
      <c r="J669" s="1">
        <v>0</v>
      </c>
      <c r="K669" s="2">
        <v>0.21</v>
      </c>
      <c r="L669" s="2">
        <v>17.670000000000002</v>
      </c>
      <c r="M669" s="1">
        <v>1.4</v>
      </c>
      <c r="N669" s="1">
        <v>7.0000000000000007E-2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 t="s">
        <v>2939</v>
      </c>
      <c r="W669" s="1"/>
    </row>
    <row r="670" spans="1:23" ht="12.4">
      <c r="A670" s="1">
        <v>669</v>
      </c>
      <c r="B670" s="5" t="s">
        <v>2943</v>
      </c>
      <c r="C670" s="1" t="s">
        <v>1554</v>
      </c>
      <c r="D670" s="1">
        <v>0.01</v>
      </c>
      <c r="E670" s="1">
        <v>54.2</v>
      </c>
      <c r="F670" s="1">
        <v>0.02</v>
      </c>
      <c r="G670" s="1">
        <v>0.74</v>
      </c>
      <c r="H670" s="1">
        <v>0</v>
      </c>
      <c r="I670" s="2">
        <v>39.6</v>
      </c>
      <c r="J670" s="1">
        <v>0.36</v>
      </c>
      <c r="K670" s="2">
        <v>4.55</v>
      </c>
      <c r="L670" s="2">
        <v>0.04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 t="s">
        <v>2939</v>
      </c>
      <c r="W670" s="1"/>
    </row>
    <row r="671" spans="1:23" ht="12.4">
      <c r="A671" s="1">
        <v>670</v>
      </c>
      <c r="B671" s="1" t="s">
        <v>2944</v>
      </c>
      <c r="C671" s="1" t="s">
        <v>1551</v>
      </c>
      <c r="D671" s="1">
        <v>44.1</v>
      </c>
      <c r="E671" s="1">
        <v>0</v>
      </c>
      <c r="F671" s="1">
        <v>35.299999999999997</v>
      </c>
      <c r="G671" s="1">
        <v>0</v>
      </c>
      <c r="H671" s="1">
        <v>0</v>
      </c>
      <c r="I671" s="2">
        <v>0.12</v>
      </c>
      <c r="J671" s="1">
        <v>0</v>
      </c>
      <c r="K671" s="2">
        <v>0</v>
      </c>
      <c r="L671" s="2">
        <v>19.2</v>
      </c>
      <c r="M671" s="1">
        <v>0.49</v>
      </c>
      <c r="N671" s="1">
        <v>0.03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 t="s">
        <v>2939</v>
      </c>
      <c r="W671" s="1"/>
    </row>
    <row r="672" spans="1:23" ht="12.4">
      <c r="A672" s="1">
        <v>671</v>
      </c>
      <c r="B672" s="1" t="s">
        <v>2945</v>
      </c>
      <c r="C672" s="1" t="s">
        <v>1496</v>
      </c>
      <c r="D672" s="1">
        <v>47.81</v>
      </c>
      <c r="E672" s="1">
        <v>1.77</v>
      </c>
      <c r="F672" s="1">
        <v>8.8699999999999992</v>
      </c>
      <c r="G672" s="1">
        <v>0</v>
      </c>
      <c r="H672" s="1">
        <v>0</v>
      </c>
      <c r="I672" s="2">
        <v>19.97</v>
      </c>
      <c r="J672" s="1">
        <v>0</v>
      </c>
      <c r="K672" s="2">
        <v>9.07</v>
      </c>
      <c r="L672" s="2">
        <v>10.32</v>
      </c>
      <c r="M672" s="1">
        <v>0.28000000000000003</v>
      </c>
      <c r="N672" s="1">
        <v>0.03</v>
      </c>
      <c r="O672" s="1">
        <v>0.08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 t="s">
        <v>2939</v>
      </c>
      <c r="W672" s="1"/>
    </row>
    <row r="673" spans="1:23" ht="12.4">
      <c r="A673" s="1">
        <v>672</v>
      </c>
      <c r="B673" s="5" t="s">
        <v>2946</v>
      </c>
      <c r="C673" s="1" t="s">
        <v>2159</v>
      </c>
      <c r="D673" s="1">
        <v>48.3</v>
      </c>
      <c r="E673" s="1">
        <v>1.1499999999999999</v>
      </c>
      <c r="F673" s="1">
        <v>1.52</v>
      </c>
      <c r="G673" s="1">
        <v>0.28999999999999998</v>
      </c>
      <c r="H673" s="1">
        <v>0</v>
      </c>
      <c r="I673" s="2">
        <v>25.4</v>
      </c>
      <c r="J673" s="1">
        <v>0.38</v>
      </c>
      <c r="K673" s="2">
        <v>11</v>
      </c>
      <c r="L673" s="2">
        <v>10.8</v>
      </c>
      <c r="M673" s="1">
        <v>0.03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 t="s">
        <v>2939</v>
      </c>
      <c r="W673" s="1"/>
    </row>
    <row r="674" spans="1:23" ht="12.4">
      <c r="A674" s="1">
        <v>673</v>
      </c>
      <c r="B674" s="1" t="s">
        <v>2947</v>
      </c>
      <c r="C674" s="1" t="s">
        <v>2159</v>
      </c>
      <c r="D674" s="1">
        <v>51</v>
      </c>
      <c r="E674" s="1">
        <v>0.61</v>
      </c>
      <c r="F674" s="1">
        <v>1.35</v>
      </c>
      <c r="G674" s="1">
        <v>0.55000000000000004</v>
      </c>
      <c r="H674" s="1">
        <v>0</v>
      </c>
      <c r="I674" s="2">
        <v>20.3</v>
      </c>
      <c r="J674" s="1">
        <v>0.35</v>
      </c>
      <c r="K674" s="2">
        <v>18.3</v>
      </c>
      <c r="L674" s="2">
        <v>6.8</v>
      </c>
      <c r="M674" s="1">
        <v>0.03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 t="s">
        <v>2939</v>
      </c>
      <c r="W674" s="1"/>
    </row>
    <row r="675" spans="1:23" ht="12.4">
      <c r="A675" s="1">
        <v>674</v>
      </c>
      <c r="B675" s="1" t="s">
        <v>2948</v>
      </c>
      <c r="C675" s="1" t="s">
        <v>1502</v>
      </c>
      <c r="D675" s="1">
        <v>34.200000000000003</v>
      </c>
      <c r="E675" s="1">
        <v>0</v>
      </c>
      <c r="F675" s="1">
        <v>0.03</v>
      </c>
      <c r="G675" s="1">
        <v>0.14000000000000001</v>
      </c>
      <c r="H675" s="1">
        <v>0</v>
      </c>
      <c r="I675" s="2">
        <v>42</v>
      </c>
      <c r="J675" s="1">
        <v>0.4</v>
      </c>
      <c r="K675" s="2">
        <v>22.4</v>
      </c>
      <c r="L675" s="2">
        <v>0.37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 t="s">
        <v>2939</v>
      </c>
      <c r="W675" s="1"/>
    </row>
    <row r="676" spans="1:23" ht="12.4">
      <c r="A676" s="1">
        <v>675</v>
      </c>
      <c r="B676" s="5" t="s">
        <v>2949</v>
      </c>
      <c r="C676" s="1" t="s">
        <v>1551</v>
      </c>
      <c r="D676" s="1">
        <v>45.8</v>
      </c>
      <c r="E676" s="1">
        <v>0</v>
      </c>
      <c r="F676" s="1">
        <v>33.200000000000003</v>
      </c>
      <c r="G676" s="1">
        <v>0</v>
      </c>
      <c r="H676" s="1">
        <v>0</v>
      </c>
      <c r="I676" s="2">
        <v>0.51</v>
      </c>
      <c r="J676" s="1">
        <v>0</v>
      </c>
      <c r="K676" s="2">
        <v>0.24</v>
      </c>
      <c r="L676" s="2">
        <v>18.100000000000001</v>
      </c>
      <c r="M676" s="1">
        <v>0.98</v>
      </c>
      <c r="N676" s="1">
        <v>0.03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 t="s">
        <v>2939</v>
      </c>
      <c r="W676" s="1"/>
    </row>
    <row r="677" spans="1:23" ht="12.4">
      <c r="A677" s="1">
        <v>676</v>
      </c>
      <c r="B677" s="1" t="s">
        <v>2950</v>
      </c>
      <c r="C677" s="1" t="s">
        <v>2159</v>
      </c>
      <c r="D677" s="1">
        <v>49.2</v>
      </c>
      <c r="E677" s="1">
        <v>2.0699999999999998</v>
      </c>
      <c r="F677" s="1">
        <v>2.4700000000000002</v>
      </c>
      <c r="G677" s="1">
        <v>0.57999999999999996</v>
      </c>
      <c r="H677" s="1">
        <v>0</v>
      </c>
      <c r="I677" s="2">
        <v>14.5</v>
      </c>
      <c r="J677" s="1">
        <v>0.3</v>
      </c>
      <c r="K677" s="2">
        <v>14.8</v>
      </c>
      <c r="L677" s="2">
        <v>15.2</v>
      </c>
      <c r="M677" s="1">
        <v>0.08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 t="s">
        <v>2939</v>
      </c>
      <c r="W677" s="1"/>
    </row>
    <row r="678" spans="1:23" ht="12.4">
      <c r="A678" s="1">
        <v>677</v>
      </c>
      <c r="B678" s="5" t="s">
        <v>2951</v>
      </c>
      <c r="C678" s="1" t="s">
        <v>2151</v>
      </c>
      <c r="D678" s="1">
        <v>51.2</v>
      </c>
      <c r="E678" s="1">
        <v>1.07</v>
      </c>
      <c r="F678" s="1">
        <v>1.2</v>
      </c>
      <c r="G678" s="1">
        <v>0.36</v>
      </c>
      <c r="H678" s="1">
        <v>0</v>
      </c>
      <c r="I678" s="2">
        <v>20.100000000000001</v>
      </c>
      <c r="J678" s="1">
        <v>0.37</v>
      </c>
      <c r="K678" s="2">
        <v>19.7</v>
      </c>
      <c r="L678" s="2">
        <v>6.17</v>
      </c>
      <c r="M678" s="1">
        <v>0.03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 t="s">
        <v>2939</v>
      </c>
      <c r="W678" s="1"/>
    </row>
    <row r="679" spans="1:23" ht="12.4">
      <c r="A679" s="1">
        <v>678</v>
      </c>
      <c r="B679" s="5" t="s">
        <v>2952</v>
      </c>
      <c r="C679" s="1" t="s">
        <v>1551</v>
      </c>
      <c r="D679" s="1">
        <v>46.8</v>
      </c>
      <c r="E679" s="1">
        <v>0</v>
      </c>
      <c r="F679" s="1">
        <v>32.700000000000003</v>
      </c>
      <c r="G679" s="1">
        <v>0</v>
      </c>
      <c r="H679" s="1">
        <v>0</v>
      </c>
      <c r="I679" s="2">
        <v>0.36</v>
      </c>
      <c r="J679" s="1">
        <v>0</v>
      </c>
      <c r="K679" s="2">
        <v>0.2</v>
      </c>
      <c r="L679" s="2">
        <v>17.3</v>
      </c>
      <c r="M679" s="1">
        <v>1.43</v>
      </c>
      <c r="N679" s="1">
        <v>0.06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 t="s">
        <v>2939</v>
      </c>
      <c r="W679" s="1"/>
    </row>
    <row r="680" spans="1:23" ht="12.4">
      <c r="A680" s="1">
        <v>679</v>
      </c>
      <c r="B680" s="5" t="s">
        <v>2953</v>
      </c>
      <c r="C680" s="1" t="s">
        <v>1554</v>
      </c>
      <c r="D680" s="1">
        <v>0.03</v>
      </c>
      <c r="E680" s="1">
        <v>53.7</v>
      </c>
      <c r="F680" s="1">
        <v>0.21</v>
      </c>
      <c r="G680" s="1">
        <v>1.04</v>
      </c>
      <c r="H680" s="1">
        <v>0</v>
      </c>
      <c r="I680" s="2">
        <v>41.4</v>
      </c>
      <c r="J680" s="1">
        <v>0.36</v>
      </c>
      <c r="K680" s="2">
        <v>3.06</v>
      </c>
      <c r="L680" s="2">
        <v>0.03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 t="s">
        <v>2939</v>
      </c>
      <c r="W680" s="1"/>
    </row>
    <row r="681" spans="1:23" ht="12.4">
      <c r="A681" s="1">
        <v>680</v>
      </c>
      <c r="B681" s="1" t="s">
        <v>2954</v>
      </c>
      <c r="C681" s="1" t="s">
        <v>1496</v>
      </c>
      <c r="D681" s="1">
        <v>44.24</v>
      </c>
      <c r="E681" s="1">
        <v>2.2599999999999998</v>
      </c>
      <c r="F681" s="1">
        <v>8.48</v>
      </c>
      <c r="G681" s="1">
        <v>0</v>
      </c>
      <c r="H681" s="1">
        <v>0</v>
      </c>
      <c r="I681" s="2">
        <v>22.47</v>
      </c>
      <c r="J681" s="1">
        <v>0</v>
      </c>
      <c r="K681" s="2">
        <v>11.19</v>
      </c>
      <c r="L681" s="2">
        <v>9.4499999999999993</v>
      </c>
      <c r="M681" s="1">
        <v>0.24</v>
      </c>
      <c r="N681" s="1">
        <v>0.03</v>
      </c>
      <c r="O681" s="1">
        <v>0.06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 t="s">
        <v>2939</v>
      </c>
      <c r="W681" s="1"/>
    </row>
    <row r="682" spans="1:23" ht="12.4">
      <c r="A682" s="1">
        <v>681</v>
      </c>
      <c r="B682" s="1" t="s">
        <v>2955</v>
      </c>
      <c r="C682" s="1" t="s">
        <v>1496</v>
      </c>
      <c r="D682" s="1">
        <v>38.369999999999997</v>
      </c>
      <c r="E682" s="1">
        <v>12.83</v>
      </c>
      <c r="F682" s="1">
        <v>8.7799999999999994</v>
      </c>
      <c r="G682" s="1">
        <v>0.57999999999999996</v>
      </c>
      <c r="H682" s="1">
        <v>0</v>
      </c>
      <c r="I682" s="2">
        <v>18.71</v>
      </c>
      <c r="J682" s="1">
        <v>0.25</v>
      </c>
      <c r="K682" s="2">
        <v>9.41</v>
      </c>
      <c r="L682" s="2">
        <v>10.43</v>
      </c>
      <c r="M682" s="1">
        <v>0.43</v>
      </c>
      <c r="N682" s="1">
        <v>0.05</v>
      </c>
      <c r="O682" s="1">
        <v>0.05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 t="s">
        <v>2939</v>
      </c>
      <c r="W682" s="1" t="s">
        <v>2956</v>
      </c>
    </row>
    <row r="683" spans="1:23" ht="12.4">
      <c r="A683" s="1">
        <v>682</v>
      </c>
      <c r="B683" s="1" t="s">
        <v>2957</v>
      </c>
      <c r="C683" s="1" t="s">
        <v>1496</v>
      </c>
      <c r="D683" s="1">
        <v>37.840000000000003</v>
      </c>
      <c r="E683" s="1">
        <v>12.97</v>
      </c>
      <c r="F683" s="1">
        <v>8.85</v>
      </c>
      <c r="G683" s="1">
        <v>0.61</v>
      </c>
      <c r="H683" s="1">
        <v>0</v>
      </c>
      <c r="I683" s="2">
        <v>18.46</v>
      </c>
      <c r="J683" s="1">
        <v>0.28000000000000003</v>
      </c>
      <c r="K683" s="2">
        <v>9.89</v>
      </c>
      <c r="L683" s="2">
        <v>10.07</v>
      </c>
      <c r="M683" s="1">
        <v>0.35</v>
      </c>
      <c r="N683" s="1">
        <v>0.06</v>
      </c>
      <c r="O683" s="1">
        <v>0.05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 t="s">
        <v>2939</v>
      </c>
      <c r="W683" s="1" t="s">
        <v>2958</v>
      </c>
    </row>
    <row r="684" spans="1:23" ht="12.4">
      <c r="A684" s="1">
        <v>683</v>
      </c>
      <c r="B684" s="5" t="s">
        <v>2959</v>
      </c>
      <c r="C684" s="1" t="s">
        <v>1496</v>
      </c>
      <c r="D684" s="1">
        <v>38.79</v>
      </c>
      <c r="E684" s="1">
        <v>0.09</v>
      </c>
      <c r="F684" s="1">
        <v>2.3199999999999998</v>
      </c>
      <c r="G684" s="1">
        <v>0.45</v>
      </c>
      <c r="H684" s="1">
        <v>0</v>
      </c>
      <c r="I684" s="2">
        <v>14.96</v>
      </c>
      <c r="J684" s="1">
        <v>0.3</v>
      </c>
      <c r="K684" s="2">
        <v>24.28</v>
      </c>
      <c r="L684" s="2">
        <v>1.83</v>
      </c>
      <c r="M684" s="1">
        <v>0.96</v>
      </c>
      <c r="N684" s="1">
        <v>0.1</v>
      </c>
      <c r="O684" s="1">
        <v>0.28999999999999998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 t="s">
        <v>2960</v>
      </c>
      <c r="W684" s="1"/>
    </row>
    <row r="685" spans="1:23" ht="12.4">
      <c r="A685" s="1">
        <v>684</v>
      </c>
      <c r="B685" s="5" t="s">
        <v>147</v>
      </c>
      <c r="C685" s="1" t="s">
        <v>1496</v>
      </c>
      <c r="D685" s="1">
        <v>41.27</v>
      </c>
      <c r="E685" s="1">
        <v>0.12</v>
      </c>
      <c r="F685" s="1">
        <v>2.3199999999999998</v>
      </c>
      <c r="G685" s="1">
        <v>0.56999999999999995</v>
      </c>
      <c r="H685" s="1">
        <v>0</v>
      </c>
      <c r="I685" s="2">
        <v>18.190000000000001</v>
      </c>
      <c r="J685" s="1">
        <v>0.36</v>
      </c>
      <c r="K685" s="2">
        <v>25.64</v>
      </c>
      <c r="L685" s="2">
        <v>1.9</v>
      </c>
      <c r="M685" s="1">
        <v>0.95</v>
      </c>
      <c r="N685" s="1">
        <v>0.1</v>
      </c>
      <c r="O685" s="1">
        <v>0.25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 t="s">
        <v>2960</v>
      </c>
      <c r="W685" s="1"/>
    </row>
    <row r="686" spans="1:23" ht="12.4">
      <c r="A686" s="1">
        <v>685</v>
      </c>
      <c r="B686" s="1" t="s">
        <v>2961</v>
      </c>
      <c r="C686" s="1" t="s">
        <v>2962</v>
      </c>
      <c r="D686" s="1">
        <v>52.9</v>
      </c>
      <c r="E686" s="1">
        <v>1.2</v>
      </c>
      <c r="F686" s="1">
        <v>14.1</v>
      </c>
      <c r="G686" s="1">
        <v>0</v>
      </c>
      <c r="H686" s="1">
        <v>23.9</v>
      </c>
      <c r="I686" s="2">
        <v>0</v>
      </c>
      <c r="J686" s="1">
        <v>0</v>
      </c>
      <c r="K686" s="2">
        <v>0</v>
      </c>
      <c r="L686" s="2">
        <v>2.6</v>
      </c>
      <c r="M686" s="1">
        <v>0.5</v>
      </c>
      <c r="N686" s="1">
        <v>0.5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/>
      <c r="W686" s="1" t="s">
        <v>2963</v>
      </c>
    </row>
    <row r="687" spans="1:23" ht="12.4">
      <c r="A687" s="1">
        <v>686</v>
      </c>
      <c r="B687" s="1" t="s">
        <v>2964</v>
      </c>
      <c r="C687" s="1" t="s">
        <v>1502</v>
      </c>
      <c r="D687" s="1">
        <v>40.619999999999997</v>
      </c>
      <c r="E687" s="1">
        <v>0</v>
      </c>
      <c r="F687" s="1">
        <v>0</v>
      </c>
      <c r="G687" s="1">
        <v>0</v>
      </c>
      <c r="H687" s="1">
        <v>0</v>
      </c>
      <c r="I687" s="2">
        <v>8.82</v>
      </c>
      <c r="J687" s="1">
        <v>0.12</v>
      </c>
      <c r="K687" s="2">
        <v>48.99</v>
      </c>
      <c r="L687" s="2">
        <v>7.0000000000000007E-2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/>
      <c r="W687" s="1"/>
    </row>
    <row r="688" spans="1:23" ht="12.4">
      <c r="A688" s="1">
        <v>687</v>
      </c>
      <c r="B688" s="5" t="s">
        <v>2965</v>
      </c>
      <c r="C688" s="1" t="s">
        <v>2159</v>
      </c>
      <c r="D688" s="1">
        <v>53.88</v>
      </c>
      <c r="E688" s="1">
        <v>0.06</v>
      </c>
      <c r="F688" s="1">
        <v>1.19</v>
      </c>
      <c r="G688" s="1">
        <v>0</v>
      </c>
      <c r="H688" s="1">
        <v>0</v>
      </c>
      <c r="I688" s="2">
        <v>1.58</v>
      </c>
      <c r="J688" s="1">
        <v>0.08</v>
      </c>
      <c r="K688" s="2">
        <v>18.12</v>
      </c>
      <c r="L688" s="2">
        <v>24.76</v>
      </c>
      <c r="M688" s="1">
        <v>0.41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/>
      <c r="W688" s="1"/>
    </row>
    <row r="689" spans="1:23" ht="12.4">
      <c r="A689" s="1">
        <v>688</v>
      </c>
      <c r="B689" s="5" t="s">
        <v>2966</v>
      </c>
      <c r="C689" s="1" t="s">
        <v>2787</v>
      </c>
      <c r="D689" s="1">
        <v>55</v>
      </c>
      <c r="E689" s="1">
        <v>0</v>
      </c>
      <c r="F689" s="1">
        <v>28.68</v>
      </c>
      <c r="G689" s="1">
        <v>0</v>
      </c>
      <c r="H689" s="1">
        <v>0</v>
      </c>
      <c r="I689" s="2">
        <v>0</v>
      </c>
      <c r="J689" s="1">
        <v>0.01</v>
      </c>
      <c r="K689" s="2">
        <v>0</v>
      </c>
      <c r="L689" s="2">
        <v>9.8699999999999992</v>
      </c>
      <c r="M689" s="1">
        <v>6.03</v>
      </c>
      <c r="N689" s="1">
        <v>0.13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/>
      <c r="W689" s="1"/>
    </row>
    <row r="690" spans="1:23" ht="24.95">
      <c r="A690" s="1">
        <v>689</v>
      </c>
      <c r="B690" s="5" t="s">
        <v>2967</v>
      </c>
      <c r="C690" s="1" t="s">
        <v>2485</v>
      </c>
      <c r="D690" s="1">
        <v>62.9</v>
      </c>
      <c r="E690" s="1">
        <v>0.16</v>
      </c>
      <c r="F690" s="1">
        <v>19.3</v>
      </c>
      <c r="G690" s="1">
        <v>0</v>
      </c>
      <c r="H690" s="1">
        <v>3.85</v>
      </c>
      <c r="I690" s="2">
        <v>0.12</v>
      </c>
      <c r="J690" s="1">
        <v>0.01</v>
      </c>
      <c r="K690" s="2">
        <v>2.8</v>
      </c>
      <c r="L690" s="2">
        <v>1.8</v>
      </c>
      <c r="M690" s="1">
        <v>1.54</v>
      </c>
      <c r="N690" s="1">
        <v>0.56000000000000005</v>
      </c>
      <c r="O690" s="1">
        <v>0.06</v>
      </c>
      <c r="P690" s="1">
        <v>5.0999999999999996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 t="s">
        <v>2968</v>
      </c>
      <c r="W690" s="1" t="s">
        <v>2969</v>
      </c>
    </row>
    <row r="691" spans="1:23" ht="12.4">
      <c r="A691" s="1">
        <v>690</v>
      </c>
      <c r="B691" s="5" t="s">
        <v>2970</v>
      </c>
      <c r="C691" s="1" t="s">
        <v>2971</v>
      </c>
      <c r="D691" s="1">
        <v>100</v>
      </c>
      <c r="E691" s="1">
        <v>0</v>
      </c>
      <c r="F691" s="1">
        <v>0</v>
      </c>
      <c r="G691" s="1">
        <v>0</v>
      </c>
      <c r="H691" s="1">
        <v>0</v>
      </c>
      <c r="I691" s="2">
        <v>0</v>
      </c>
      <c r="J691" s="1">
        <v>0</v>
      </c>
      <c r="K691" s="2">
        <v>0</v>
      </c>
      <c r="L691" s="2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/>
      <c r="W691" s="1"/>
    </row>
    <row r="692" spans="1:23" ht="12.4">
      <c r="A692" s="1">
        <v>691</v>
      </c>
      <c r="B692" s="1" t="s">
        <v>2972</v>
      </c>
      <c r="C692" s="1" t="s">
        <v>1551</v>
      </c>
      <c r="D692" s="1">
        <v>67.900000000000006</v>
      </c>
      <c r="E692" s="1">
        <v>0</v>
      </c>
      <c r="F692" s="1">
        <v>19.899999999999999</v>
      </c>
      <c r="G692" s="1">
        <v>0</v>
      </c>
      <c r="H692" s="1">
        <v>0</v>
      </c>
      <c r="I692" s="2">
        <v>0</v>
      </c>
      <c r="J692" s="1">
        <v>0.02</v>
      </c>
      <c r="K692" s="2">
        <v>0.02</v>
      </c>
      <c r="L692" s="2">
        <v>0.63</v>
      </c>
      <c r="M692" s="1">
        <v>9.7100000000000009</v>
      </c>
      <c r="N692" s="1">
        <v>0.27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 t="s">
        <v>2973</v>
      </c>
      <c r="W692" s="1" t="s">
        <v>2974</v>
      </c>
    </row>
    <row r="693" spans="1:23" ht="12.4">
      <c r="A693" s="1">
        <v>692</v>
      </c>
      <c r="B693" s="1" t="s">
        <v>2975</v>
      </c>
      <c r="C693" s="1" t="s">
        <v>1551</v>
      </c>
      <c r="D693" s="1">
        <v>54.2</v>
      </c>
      <c r="E693" s="1">
        <v>0</v>
      </c>
      <c r="F693" s="1">
        <v>24.4</v>
      </c>
      <c r="G693" s="1">
        <v>0</v>
      </c>
      <c r="H693" s="1">
        <v>2.16</v>
      </c>
      <c r="I693" s="2">
        <v>0</v>
      </c>
      <c r="J693" s="1">
        <v>0.05</v>
      </c>
      <c r="K693" s="2">
        <v>1.32</v>
      </c>
      <c r="L693" s="2">
        <v>9.8000000000000007</v>
      </c>
      <c r="M693" s="1">
        <v>4.34</v>
      </c>
      <c r="N693" s="1">
        <v>1.3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 t="s">
        <v>2973</v>
      </c>
      <c r="W693" s="1" t="s">
        <v>2976</v>
      </c>
    </row>
    <row r="694" spans="1:23" ht="12.4">
      <c r="A694" s="1">
        <v>693</v>
      </c>
      <c r="B694" s="1" t="s">
        <v>2977</v>
      </c>
      <c r="C694" s="1" t="s">
        <v>1551</v>
      </c>
      <c r="D694" s="1">
        <v>54.8</v>
      </c>
      <c r="E694" s="1">
        <v>0</v>
      </c>
      <c r="F694" s="1">
        <v>26.5</v>
      </c>
      <c r="G694" s="1">
        <v>0</v>
      </c>
      <c r="H694" s="1">
        <v>1.1000000000000001</v>
      </c>
      <c r="I694" s="2">
        <v>0</v>
      </c>
      <c r="J694" s="1">
        <v>0.03</v>
      </c>
      <c r="K694" s="2">
        <v>0.24</v>
      </c>
      <c r="L694" s="2">
        <v>10.4</v>
      </c>
      <c r="M694" s="1">
        <v>4.0199999999999996</v>
      </c>
      <c r="N694" s="1">
        <v>0.47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 t="s">
        <v>2973</v>
      </c>
      <c r="W694" s="1" t="s">
        <v>2978</v>
      </c>
    </row>
    <row r="695" spans="1:23" ht="12.4">
      <c r="A695" s="1">
        <v>694</v>
      </c>
      <c r="B695" s="1" t="s">
        <v>2979</v>
      </c>
      <c r="C695" s="1" t="s">
        <v>1551</v>
      </c>
      <c r="D695" s="1">
        <v>50.9</v>
      </c>
      <c r="E695" s="1">
        <v>0</v>
      </c>
      <c r="F695" s="1">
        <v>29.8</v>
      </c>
      <c r="G695" s="1">
        <v>0</v>
      </c>
      <c r="H695" s="1">
        <v>0.3</v>
      </c>
      <c r="I695" s="2">
        <v>0</v>
      </c>
      <c r="J695" s="1">
        <v>0.02</v>
      </c>
      <c r="K695" s="2">
        <v>0.15</v>
      </c>
      <c r="L695" s="2">
        <v>13.4</v>
      </c>
      <c r="M695" s="1">
        <v>3.42</v>
      </c>
      <c r="N695" s="1">
        <v>0.14000000000000001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 t="s">
        <v>2973</v>
      </c>
      <c r="W695" s="1" t="s">
        <v>2980</v>
      </c>
    </row>
    <row r="696" spans="1:23" ht="12.4">
      <c r="A696" s="1">
        <v>695</v>
      </c>
      <c r="B696" s="1" t="s">
        <v>2981</v>
      </c>
      <c r="C696" s="1" t="s">
        <v>1551</v>
      </c>
      <c r="D696" s="1">
        <v>49.1</v>
      </c>
      <c r="E696" s="1">
        <v>0</v>
      </c>
      <c r="F696" s="1">
        <v>30.4</v>
      </c>
      <c r="G696" s="1">
        <v>0</v>
      </c>
      <c r="H696" s="1">
        <v>0.5</v>
      </c>
      <c r="I696" s="2">
        <v>0</v>
      </c>
      <c r="J696" s="1">
        <v>0.04</v>
      </c>
      <c r="K696" s="2">
        <v>0.45</v>
      </c>
      <c r="L696" s="2">
        <v>14.5</v>
      </c>
      <c r="M696" s="1">
        <v>2.86</v>
      </c>
      <c r="N696" s="1">
        <v>0.2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 t="s">
        <v>2973</v>
      </c>
      <c r="W696" s="1" t="s">
        <v>2982</v>
      </c>
    </row>
    <row r="697" spans="1:23" ht="12.4">
      <c r="A697" s="1">
        <v>696</v>
      </c>
      <c r="B697" s="1" t="s">
        <v>2983</v>
      </c>
      <c r="C697" s="1" t="s">
        <v>1551</v>
      </c>
      <c r="D697" s="1">
        <v>56.04</v>
      </c>
      <c r="E697" s="1">
        <v>0.12</v>
      </c>
      <c r="F697" s="1">
        <v>25.38</v>
      </c>
      <c r="G697" s="1">
        <v>0</v>
      </c>
      <c r="H697" s="1">
        <v>0.32</v>
      </c>
      <c r="I697" s="2">
        <v>1.33</v>
      </c>
      <c r="J697" s="1">
        <v>0.03</v>
      </c>
      <c r="K697" s="2">
        <v>1.04</v>
      </c>
      <c r="L697" s="2">
        <v>10.48</v>
      </c>
      <c r="M697" s="1">
        <v>4.0199999999999996</v>
      </c>
      <c r="N697" s="1">
        <v>1.1000000000000001</v>
      </c>
      <c r="O697" s="1">
        <v>0.04</v>
      </c>
      <c r="P697" s="1">
        <v>0.43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 t="s">
        <v>2984</v>
      </c>
      <c r="W697" s="1" t="s">
        <v>2985</v>
      </c>
    </row>
    <row r="698" spans="1:23" ht="12.4">
      <c r="A698" s="1">
        <v>697</v>
      </c>
      <c r="B698" s="1" t="s">
        <v>2986</v>
      </c>
      <c r="C698" s="1" t="s">
        <v>1551</v>
      </c>
      <c r="D698" s="1">
        <v>55.55</v>
      </c>
      <c r="E698" s="1">
        <v>7.0000000000000007E-2</v>
      </c>
      <c r="F698" s="1">
        <v>27.27</v>
      </c>
      <c r="G698" s="1">
        <v>0</v>
      </c>
      <c r="H698" s="1">
        <v>0.25</v>
      </c>
      <c r="I698" s="2">
        <v>0.55000000000000004</v>
      </c>
      <c r="J698" s="1">
        <v>0.01</v>
      </c>
      <c r="K698" s="2">
        <v>0.26</v>
      </c>
      <c r="L698" s="2">
        <v>10.91</v>
      </c>
      <c r="M698" s="1">
        <v>4.16</v>
      </c>
      <c r="N698" s="1">
        <v>0.92</v>
      </c>
      <c r="O698" s="1">
        <v>0.02</v>
      </c>
      <c r="P698" s="1">
        <v>0.25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 t="s">
        <v>2984</v>
      </c>
      <c r="W698" s="1" t="s">
        <v>2985</v>
      </c>
    </row>
    <row r="699" spans="1:23" ht="12.4">
      <c r="A699" s="1">
        <v>698</v>
      </c>
      <c r="B699" s="1" t="s">
        <v>2987</v>
      </c>
      <c r="C699" s="1" t="s">
        <v>1551</v>
      </c>
      <c r="D699" s="1">
        <v>53.75</v>
      </c>
      <c r="E699" s="1">
        <v>7.0000000000000007E-2</v>
      </c>
      <c r="F699" s="1">
        <v>28.86</v>
      </c>
      <c r="G699" s="1">
        <v>0</v>
      </c>
      <c r="H699" s="1">
        <v>0.06</v>
      </c>
      <c r="I699" s="2">
        <v>0.62</v>
      </c>
      <c r="J699" s="1">
        <v>0.01</v>
      </c>
      <c r="K699" s="2">
        <v>0.21</v>
      </c>
      <c r="L699" s="2">
        <v>11.51</v>
      </c>
      <c r="M699" s="1">
        <v>4.58</v>
      </c>
      <c r="N699" s="1">
        <v>0.55000000000000004</v>
      </c>
      <c r="O699" s="1">
        <v>0.02</v>
      </c>
      <c r="P699" s="1">
        <v>0.21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 t="s">
        <v>2984</v>
      </c>
      <c r="W699" s="1" t="s">
        <v>2988</v>
      </c>
    </row>
    <row r="700" spans="1:23" ht="12.4">
      <c r="A700" s="1">
        <v>699</v>
      </c>
      <c r="B700" s="1" t="s">
        <v>2989</v>
      </c>
      <c r="C700" s="1" t="s">
        <v>1551</v>
      </c>
      <c r="D700" s="1">
        <v>55.12</v>
      </c>
      <c r="E700" s="1">
        <v>0.08</v>
      </c>
      <c r="F700" s="1">
        <v>27.95</v>
      </c>
      <c r="G700" s="1">
        <v>0</v>
      </c>
      <c r="H700" s="1">
        <v>0.02</v>
      </c>
      <c r="I700" s="2">
        <v>0.56000000000000005</v>
      </c>
      <c r="J700" s="1">
        <v>0.01</v>
      </c>
      <c r="K700" s="2">
        <v>0.3</v>
      </c>
      <c r="L700" s="2">
        <v>10.75</v>
      </c>
      <c r="M700" s="1">
        <v>4.87</v>
      </c>
      <c r="N700" s="1">
        <v>0.61</v>
      </c>
      <c r="O700" s="1">
        <v>0.03</v>
      </c>
      <c r="P700" s="1">
        <v>0.21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 t="s">
        <v>2984</v>
      </c>
      <c r="W700" s="1" t="s">
        <v>2990</v>
      </c>
    </row>
    <row r="701" spans="1:23" ht="12.4">
      <c r="A701" s="1">
        <v>700</v>
      </c>
      <c r="B701" s="1" t="s">
        <v>2991</v>
      </c>
      <c r="C701" s="1" t="s">
        <v>1551</v>
      </c>
      <c r="D701" s="1">
        <v>56.03</v>
      </c>
      <c r="E701" s="1">
        <v>0.1</v>
      </c>
      <c r="F701" s="1">
        <v>26.58</v>
      </c>
      <c r="G701" s="1">
        <v>0</v>
      </c>
      <c r="H701" s="1">
        <v>0.17</v>
      </c>
      <c r="I701" s="2">
        <v>0.99</v>
      </c>
      <c r="J701" s="1">
        <v>0.02</v>
      </c>
      <c r="K701" s="2">
        <v>0.39</v>
      </c>
      <c r="L701" s="2">
        <v>10.29</v>
      </c>
      <c r="M701" s="1">
        <v>4.6100000000000003</v>
      </c>
      <c r="N701" s="1">
        <v>0.88</v>
      </c>
      <c r="O701" s="1">
        <v>0.04</v>
      </c>
      <c r="P701" s="1">
        <v>0.26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 t="s">
        <v>2984</v>
      </c>
      <c r="W701" s="1" t="s">
        <v>2992</v>
      </c>
    </row>
    <row r="702" spans="1:23" ht="12.4">
      <c r="A702" s="1">
        <v>701</v>
      </c>
      <c r="B702" s="1" t="s">
        <v>2993</v>
      </c>
      <c r="C702" s="1" t="s">
        <v>1551</v>
      </c>
      <c r="D702" s="1">
        <v>51.65</v>
      </c>
      <c r="E702" s="1">
        <v>0.03</v>
      </c>
      <c r="F702" s="1">
        <v>30.02</v>
      </c>
      <c r="G702" s="1">
        <v>0</v>
      </c>
      <c r="H702" s="1">
        <v>0.1</v>
      </c>
      <c r="I702" s="2">
        <v>0.49</v>
      </c>
      <c r="J702" s="1">
        <v>0.02</v>
      </c>
      <c r="K702" s="2">
        <v>0.51</v>
      </c>
      <c r="L702" s="2">
        <v>13.55</v>
      </c>
      <c r="M702" s="1">
        <v>3.72</v>
      </c>
      <c r="N702" s="1">
        <v>0.25</v>
      </c>
      <c r="O702" s="1">
        <v>0.01</v>
      </c>
      <c r="P702" s="1">
        <v>0.39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 t="s">
        <v>2984</v>
      </c>
      <c r="W702" s="1" t="s">
        <v>2994</v>
      </c>
    </row>
    <row r="703" spans="1:23" ht="12.4">
      <c r="A703" s="1">
        <v>702</v>
      </c>
      <c r="B703" s="1" t="s">
        <v>2995</v>
      </c>
      <c r="C703" s="1" t="s">
        <v>1551</v>
      </c>
      <c r="D703" s="1">
        <v>53.02</v>
      </c>
      <c r="E703" s="1">
        <v>0.04</v>
      </c>
      <c r="F703" s="1">
        <v>29.56</v>
      </c>
      <c r="G703" s="1">
        <v>0</v>
      </c>
      <c r="H703" s="1">
        <v>0.13</v>
      </c>
      <c r="I703" s="2">
        <v>0.32</v>
      </c>
      <c r="J703" s="1">
        <v>0.01</v>
      </c>
      <c r="K703" s="2">
        <v>0.3</v>
      </c>
      <c r="L703" s="2">
        <v>12.67</v>
      </c>
      <c r="M703" s="1">
        <v>4.18</v>
      </c>
      <c r="N703" s="1">
        <v>0.27</v>
      </c>
      <c r="O703" s="1">
        <v>0.01</v>
      </c>
      <c r="P703" s="1">
        <v>0.16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 t="s">
        <v>2984</v>
      </c>
      <c r="W703" s="1" t="s">
        <v>2996</v>
      </c>
    </row>
    <row r="704" spans="1:23" ht="12.4">
      <c r="A704" s="1">
        <v>703</v>
      </c>
      <c r="B704" s="1" t="s">
        <v>2997</v>
      </c>
      <c r="C704" s="1" t="s">
        <v>2998</v>
      </c>
      <c r="D704" s="1">
        <v>36.69</v>
      </c>
      <c r="E704" s="1">
        <v>0</v>
      </c>
      <c r="F704" s="1">
        <v>10.4</v>
      </c>
      <c r="G704" s="1">
        <v>0</v>
      </c>
      <c r="H704" s="1">
        <v>0</v>
      </c>
      <c r="I704" s="2">
        <v>43.94</v>
      </c>
      <c r="J704" s="1">
        <v>0</v>
      </c>
      <c r="K704" s="2">
        <v>0</v>
      </c>
      <c r="L704" s="2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 t="s">
        <v>2999</v>
      </c>
      <c r="W704" s="1" t="s">
        <v>3000</v>
      </c>
    </row>
    <row r="705" spans="1:23" ht="12.4">
      <c r="A705" s="1">
        <v>704</v>
      </c>
      <c r="B705" s="1" t="s">
        <v>3001</v>
      </c>
      <c r="C705" s="1" t="s">
        <v>2998</v>
      </c>
      <c r="D705" s="1">
        <v>24.51</v>
      </c>
      <c r="E705" s="1">
        <v>0</v>
      </c>
      <c r="F705" s="1">
        <v>20.83</v>
      </c>
      <c r="G705" s="1">
        <v>0</v>
      </c>
      <c r="H705" s="1">
        <v>16.309999999999999</v>
      </c>
      <c r="I705" s="2">
        <v>29.35</v>
      </c>
      <c r="J705" s="1">
        <v>0</v>
      </c>
      <c r="K705" s="2">
        <v>0</v>
      </c>
      <c r="L705" s="2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 t="s">
        <v>3002</v>
      </c>
      <c r="W705" s="1" t="s">
        <v>3000</v>
      </c>
    </row>
    <row r="706" spans="1:23" ht="24.95">
      <c r="A706" s="1">
        <v>705</v>
      </c>
      <c r="B706" s="1" t="s">
        <v>3003</v>
      </c>
      <c r="C706" s="1" t="s">
        <v>2998</v>
      </c>
      <c r="D706" s="1">
        <v>32.43</v>
      </c>
      <c r="E706" s="1">
        <v>0</v>
      </c>
      <c r="F706" s="1">
        <v>14.04</v>
      </c>
      <c r="G706" s="1">
        <v>0</v>
      </c>
      <c r="H706" s="1">
        <v>5.7</v>
      </c>
      <c r="I706" s="2">
        <v>38.840000000000003</v>
      </c>
      <c r="J706" s="1">
        <v>0</v>
      </c>
      <c r="K706" s="2">
        <v>0</v>
      </c>
      <c r="L706" s="2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 t="s">
        <v>3004</v>
      </c>
      <c r="W706" s="1" t="s">
        <v>3005</v>
      </c>
    </row>
    <row r="707" spans="1:23" ht="12.4">
      <c r="A707" s="1">
        <v>706</v>
      </c>
      <c r="B707" s="1" t="s">
        <v>3006</v>
      </c>
      <c r="C707" s="1" t="s">
        <v>2998</v>
      </c>
      <c r="D707" s="1">
        <v>24.17</v>
      </c>
      <c r="E707" s="1">
        <v>0</v>
      </c>
      <c r="F707" s="1">
        <v>30.82</v>
      </c>
      <c r="G707" s="1">
        <v>0</v>
      </c>
      <c r="H707" s="1">
        <v>0</v>
      </c>
      <c r="I707" s="2">
        <v>0</v>
      </c>
      <c r="J707" s="1">
        <v>0</v>
      </c>
      <c r="K707" s="2">
        <v>0</v>
      </c>
      <c r="L707" s="2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 t="s">
        <v>3007</v>
      </c>
      <c r="W707" s="1" t="s">
        <v>3008</v>
      </c>
    </row>
    <row r="708" spans="1:23" ht="12.4">
      <c r="A708" s="1">
        <v>707</v>
      </c>
      <c r="B708" s="1" t="s">
        <v>3009</v>
      </c>
      <c r="C708" s="1" t="s">
        <v>1496</v>
      </c>
      <c r="D708" s="1">
        <v>54.46</v>
      </c>
      <c r="E708" s="1">
        <v>0.88</v>
      </c>
      <c r="F708" s="1">
        <v>13.85</v>
      </c>
      <c r="G708" s="1">
        <v>0</v>
      </c>
      <c r="H708" s="1">
        <v>12.45</v>
      </c>
      <c r="I708" s="2">
        <v>0</v>
      </c>
      <c r="J708" s="1">
        <v>0.18</v>
      </c>
      <c r="K708" s="2">
        <v>4.05</v>
      </c>
      <c r="L708" s="2">
        <v>9.16</v>
      </c>
      <c r="M708" s="1">
        <v>2</v>
      </c>
      <c r="N708" s="1">
        <v>1.1299999999999999</v>
      </c>
      <c r="O708" s="1">
        <v>0.12</v>
      </c>
      <c r="P708" s="1">
        <v>0.82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/>
      <c r="W708" s="1" t="s">
        <v>3010</v>
      </c>
    </row>
    <row r="709" spans="1:23" ht="12.4">
      <c r="A709" s="1">
        <v>708</v>
      </c>
      <c r="B709" s="1" t="s">
        <v>3011</v>
      </c>
      <c r="C709" s="1" t="s">
        <v>1496</v>
      </c>
      <c r="D709" s="1">
        <v>50.12</v>
      </c>
      <c r="E709" s="1">
        <v>1.98</v>
      </c>
      <c r="F709" s="1">
        <v>13.93</v>
      </c>
      <c r="G709" s="1">
        <v>0</v>
      </c>
      <c r="H709" s="1">
        <v>13.42</v>
      </c>
      <c r="I709" s="2">
        <v>0</v>
      </c>
      <c r="J709" s="1">
        <v>0.22</v>
      </c>
      <c r="K709" s="2">
        <v>6.32</v>
      </c>
      <c r="L709" s="2">
        <v>10.81</v>
      </c>
      <c r="M709" s="1">
        <v>2.5499999999999998</v>
      </c>
      <c r="N709" s="1">
        <v>0.3</v>
      </c>
      <c r="O709" s="1">
        <v>0.21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/>
      <c r="W709" s="1"/>
    </row>
    <row r="710" spans="1:23" ht="12.4">
      <c r="A710" s="1">
        <v>709</v>
      </c>
      <c r="B710" s="1" t="s">
        <v>3012</v>
      </c>
      <c r="C710" s="1" t="s">
        <v>1496</v>
      </c>
      <c r="D710" s="1">
        <v>50.22</v>
      </c>
      <c r="E710" s="1">
        <v>1.98</v>
      </c>
      <c r="F710" s="1">
        <v>14.05</v>
      </c>
      <c r="G710" s="1">
        <v>0</v>
      </c>
      <c r="H710" s="1">
        <v>13.44</v>
      </c>
      <c r="I710" s="2">
        <v>0</v>
      </c>
      <c r="J710" s="1">
        <v>0.22</v>
      </c>
      <c r="K710" s="2">
        <v>6.39</v>
      </c>
      <c r="L710" s="2">
        <v>10.92</v>
      </c>
      <c r="M710" s="1">
        <v>2.52</v>
      </c>
      <c r="N710" s="1">
        <v>0.28999999999999998</v>
      </c>
      <c r="O710" s="1">
        <v>0.21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/>
      <c r="W710" s="1"/>
    </row>
    <row r="711" spans="1:23" ht="12.4">
      <c r="A711" s="1">
        <v>710</v>
      </c>
      <c r="B711" s="1" t="s">
        <v>3013</v>
      </c>
      <c r="C711" s="1" t="s">
        <v>1496</v>
      </c>
      <c r="D711" s="1">
        <v>70.75</v>
      </c>
      <c r="E711" s="1">
        <v>0.91</v>
      </c>
      <c r="F711" s="1">
        <v>12.65</v>
      </c>
      <c r="G711" s="1">
        <v>0</v>
      </c>
      <c r="H711" s="1">
        <v>4.78</v>
      </c>
      <c r="I711" s="2">
        <v>0</v>
      </c>
      <c r="J711" s="1">
        <v>0.12</v>
      </c>
      <c r="K711" s="2">
        <v>1.1200000000000001</v>
      </c>
      <c r="L711" s="2">
        <v>2.94</v>
      </c>
      <c r="M711" s="1">
        <v>3.83</v>
      </c>
      <c r="N711" s="1">
        <v>2.2400000000000002</v>
      </c>
      <c r="O711" s="1">
        <v>0.18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/>
      <c r="W711" s="1"/>
    </row>
    <row r="712" spans="1:23" ht="12.4">
      <c r="A712" s="1">
        <v>711</v>
      </c>
      <c r="B712" s="1" t="s">
        <v>3014</v>
      </c>
      <c r="C712" s="1" t="s">
        <v>1496</v>
      </c>
      <c r="D712" s="1">
        <v>49.35</v>
      </c>
      <c r="E712" s="1">
        <v>1.81</v>
      </c>
      <c r="F712" s="1">
        <v>14.86</v>
      </c>
      <c r="G712" s="1">
        <v>0</v>
      </c>
      <c r="H712" s="1">
        <v>13.19</v>
      </c>
      <c r="I712" s="2">
        <v>0</v>
      </c>
      <c r="J712" s="1">
        <v>0.22</v>
      </c>
      <c r="K712" s="2">
        <v>7.22</v>
      </c>
      <c r="L712" s="2">
        <v>10.91</v>
      </c>
      <c r="M712" s="1">
        <v>2.27</v>
      </c>
      <c r="N712" s="1">
        <v>0.28999999999999998</v>
      </c>
      <c r="O712" s="1">
        <v>0.19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/>
      <c r="W712" s="1"/>
    </row>
    <row r="713" spans="1:23" ht="12.4">
      <c r="A713" s="1">
        <v>712</v>
      </c>
      <c r="B713" s="1" t="s">
        <v>3015</v>
      </c>
      <c r="C713" s="1" t="s">
        <v>1496</v>
      </c>
      <c r="D713" s="1">
        <v>50.17</v>
      </c>
      <c r="E713" s="1">
        <v>2.37</v>
      </c>
      <c r="F713" s="1">
        <v>13.98</v>
      </c>
      <c r="G713" s="1">
        <v>0</v>
      </c>
      <c r="H713" s="1">
        <v>13.5</v>
      </c>
      <c r="I713" s="2">
        <v>0</v>
      </c>
      <c r="J713" s="1">
        <v>0.22</v>
      </c>
      <c r="K713" s="2">
        <v>6.05</v>
      </c>
      <c r="L713" s="2">
        <v>10.23</v>
      </c>
      <c r="M713" s="1">
        <v>2.61</v>
      </c>
      <c r="N713" s="1">
        <v>0.46</v>
      </c>
      <c r="O713" s="1">
        <v>0.26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/>
      <c r="W713" s="1"/>
    </row>
    <row r="714" spans="1:23" ht="12.4">
      <c r="A714" s="1">
        <v>713</v>
      </c>
      <c r="B714" s="1" t="s">
        <v>3016</v>
      </c>
      <c r="C714" s="1" t="s">
        <v>1496</v>
      </c>
      <c r="D714" s="1">
        <v>50.53</v>
      </c>
      <c r="E714" s="1">
        <v>2.39</v>
      </c>
      <c r="F714" s="1">
        <v>14.08</v>
      </c>
      <c r="G714" s="1">
        <v>0</v>
      </c>
      <c r="H714" s="1">
        <v>13.47</v>
      </c>
      <c r="I714" s="2">
        <v>0</v>
      </c>
      <c r="J714" s="1">
        <v>0.22</v>
      </c>
      <c r="K714" s="2">
        <v>5.99</v>
      </c>
      <c r="L714" s="2">
        <v>10.14</v>
      </c>
      <c r="M714" s="1">
        <v>2.68</v>
      </c>
      <c r="N714" s="1">
        <v>0.47</v>
      </c>
      <c r="O714" s="1">
        <v>0.26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/>
      <c r="W714" s="1"/>
    </row>
    <row r="715" spans="1:23" ht="12.4">
      <c r="A715" s="1">
        <v>714</v>
      </c>
      <c r="B715" s="1" t="s">
        <v>3017</v>
      </c>
      <c r="C715" s="1" t="s">
        <v>1496</v>
      </c>
      <c r="D715" s="1">
        <v>50.33</v>
      </c>
      <c r="E715" s="1">
        <v>2.0699999999999998</v>
      </c>
      <c r="F715" s="1">
        <v>14.06</v>
      </c>
      <c r="G715" s="1">
        <v>0</v>
      </c>
      <c r="H715" s="1">
        <v>13.56</v>
      </c>
      <c r="I715" s="2">
        <v>0</v>
      </c>
      <c r="J715" s="1">
        <v>0.22</v>
      </c>
      <c r="K715" s="2">
        <v>6.21</v>
      </c>
      <c r="L715" s="2">
        <v>10.67</v>
      </c>
      <c r="M715" s="1">
        <v>2.59</v>
      </c>
      <c r="N715" s="1">
        <v>0.31</v>
      </c>
      <c r="O715" s="1">
        <v>0.23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/>
      <c r="W715" s="1"/>
    </row>
    <row r="716" spans="1:23" ht="12.4">
      <c r="A716" s="1">
        <v>715</v>
      </c>
      <c r="B716" s="1" t="s">
        <v>3018</v>
      </c>
      <c r="C716" s="1" t="s">
        <v>1496</v>
      </c>
      <c r="D716" s="1">
        <v>50.08</v>
      </c>
      <c r="E716" s="1">
        <v>1.92</v>
      </c>
      <c r="F716" s="1">
        <v>14.16</v>
      </c>
      <c r="G716" s="1">
        <v>0</v>
      </c>
      <c r="H716" s="1">
        <v>13.28</v>
      </c>
      <c r="I716" s="2">
        <v>0</v>
      </c>
      <c r="J716" s="1">
        <v>0.22</v>
      </c>
      <c r="K716" s="2">
        <v>6.66</v>
      </c>
      <c r="L716" s="2">
        <v>11.16</v>
      </c>
      <c r="M716" s="1">
        <v>2.4300000000000002</v>
      </c>
      <c r="N716" s="1">
        <v>0.27</v>
      </c>
      <c r="O716" s="1">
        <v>0.2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/>
      <c r="W716" s="1"/>
    </row>
    <row r="717" spans="1:23" ht="12.4">
      <c r="A717" s="1">
        <v>716</v>
      </c>
      <c r="B717" s="1" t="s">
        <v>3019</v>
      </c>
      <c r="C717" s="1" t="s">
        <v>1496</v>
      </c>
      <c r="D717" s="1">
        <v>49.64</v>
      </c>
      <c r="E717" s="1">
        <v>1.75</v>
      </c>
      <c r="F717" s="1">
        <v>14.56</v>
      </c>
      <c r="G717" s="1">
        <v>0</v>
      </c>
      <c r="H717" s="1">
        <v>12.84</v>
      </c>
      <c r="I717" s="2">
        <v>0</v>
      </c>
      <c r="J717" s="1">
        <v>0.21</v>
      </c>
      <c r="K717" s="2">
        <v>6.9</v>
      </c>
      <c r="L717" s="2">
        <v>11.62</v>
      </c>
      <c r="M717" s="1">
        <v>2.2400000000000002</v>
      </c>
      <c r="N717" s="1">
        <v>0.22</v>
      </c>
      <c r="O717" s="1">
        <v>0.17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/>
      <c r="W717" s="1"/>
    </row>
    <row r="718" spans="1:23" ht="12.4">
      <c r="A718" s="1">
        <v>717</v>
      </c>
      <c r="B718" s="1" t="s">
        <v>3020</v>
      </c>
      <c r="C718" s="1" t="s">
        <v>1496</v>
      </c>
      <c r="D718" s="1">
        <v>49.85</v>
      </c>
      <c r="E718" s="1">
        <v>1.83</v>
      </c>
      <c r="F718" s="1">
        <v>14.23</v>
      </c>
      <c r="G718" s="1">
        <v>0</v>
      </c>
      <c r="H718" s="1">
        <v>13.12</v>
      </c>
      <c r="I718" s="2">
        <v>0</v>
      </c>
      <c r="J718" s="1">
        <v>0.22</v>
      </c>
      <c r="K718" s="2">
        <v>6.81</v>
      </c>
      <c r="L718" s="2">
        <v>11.44</v>
      </c>
      <c r="M718" s="1">
        <v>2.44</v>
      </c>
      <c r="N718" s="1">
        <v>0.24</v>
      </c>
      <c r="O718" s="1">
        <v>0.18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/>
      <c r="W718" s="1"/>
    </row>
    <row r="719" spans="1:23" ht="12.4">
      <c r="A719" s="1">
        <v>718</v>
      </c>
      <c r="B719" s="1" t="s">
        <v>3021</v>
      </c>
      <c r="C719" s="1" t="s">
        <v>1496</v>
      </c>
      <c r="D719" s="1">
        <v>49.6</v>
      </c>
      <c r="E719" s="1">
        <v>1.83</v>
      </c>
      <c r="F719" s="1">
        <v>13.77</v>
      </c>
      <c r="G719" s="1">
        <v>0</v>
      </c>
      <c r="H719" s="1">
        <v>15.37</v>
      </c>
      <c r="I719" s="2">
        <v>0</v>
      </c>
      <c r="J719" s="1">
        <v>0.24</v>
      </c>
      <c r="K719" s="2">
        <v>6.38</v>
      </c>
      <c r="L719" s="2">
        <v>10.06</v>
      </c>
      <c r="M719" s="1">
        <v>2.4700000000000002</v>
      </c>
      <c r="N719" s="1">
        <v>0.28999999999999998</v>
      </c>
      <c r="O719" s="1">
        <v>0.18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/>
      <c r="W719" s="1"/>
    </row>
    <row r="720" spans="1:23" ht="12.4">
      <c r="A720" s="1">
        <v>719</v>
      </c>
      <c r="B720" s="1" t="s">
        <v>3022</v>
      </c>
      <c r="C720" s="1" t="s">
        <v>1496</v>
      </c>
      <c r="D720" s="1">
        <v>49.56</v>
      </c>
      <c r="E720" s="1">
        <v>1.78</v>
      </c>
      <c r="F720" s="1">
        <v>13.63</v>
      </c>
      <c r="G720" s="1">
        <v>0</v>
      </c>
      <c r="H720" s="1">
        <v>15.35</v>
      </c>
      <c r="I720" s="2">
        <v>0</v>
      </c>
      <c r="J720" s="1">
        <v>0.24</v>
      </c>
      <c r="K720" s="2">
        <v>6.57</v>
      </c>
      <c r="L720" s="2">
        <v>10.17</v>
      </c>
      <c r="M720" s="1">
        <v>2.44</v>
      </c>
      <c r="N720" s="1">
        <v>0.28000000000000003</v>
      </c>
      <c r="O720" s="1">
        <v>0.17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/>
      <c r="W720" s="1"/>
    </row>
    <row r="721" spans="1:23" ht="12.4">
      <c r="A721" s="1">
        <v>720</v>
      </c>
      <c r="B721" s="1" t="s">
        <v>3023</v>
      </c>
      <c r="C721" s="1" t="s">
        <v>1502</v>
      </c>
      <c r="D721" s="1">
        <v>40.4</v>
      </c>
      <c r="E721" s="1">
        <v>0</v>
      </c>
      <c r="F721" s="1">
        <v>0</v>
      </c>
      <c r="G721" s="1">
        <v>0</v>
      </c>
      <c r="H721" s="1">
        <v>0</v>
      </c>
      <c r="I721" s="2">
        <v>8.9</v>
      </c>
      <c r="J721" s="1">
        <v>0.13</v>
      </c>
      <c r="K721" s="2">
        <v>49.8</v>
      </c>
      <c r="L721" s="2">
        <v>7.0000000000000007E-2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3900</v>
      </c>
      <c r="S721" s="1">
        <v>0</v>
      </c>
      <c r="T721" s="1">
        <v>0</v>
      </c>
      <c r="U721" s="1">
        <v>0</v>
      </c>
      <c r="V721" s="1"/>
      <c r="W721" s="1"/>
    </row>
    <row r="722" spans="1:23" ht="12.4">
      <c r="A722" s="1">
        <v>721</v>
      </c>
      <c r="B722" s="1" t="s">
        <v>775</v>
      </c>
      <c r="C722" s="1" t="s">
        <v>2151</v>
      </c>
      <c r="D722" s="1">
        <v>50.56</v>
      </c>
      <c r="E722" s="1">
        <v>0.57999999999999996</v>
      </c>
      <c r="F722" s="1">
        <v>1.41</v>
      </c>
      <c r="G722" s="1">
        <v>0</v>
      </c>
      <c r="H722" s="1">
        <v>0.12</v>
      </c>
      <c r="I722" s="2">
        <v>23.17</v>
      </c>
      <c r="J722" s="1">
        <v>0</v>
      </c>
      <c r="K722" s="2">
        <v>16.100000000000001</v>
      </c>
      <c r="L722" s="2">
        <v>7.05</v>
      </c>
      <c r="M722" s="1">
        <v>0.26</v>
      </c>
      <c r="N722" s="1">
        <v>0.23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 t="s">
        <v>3024</v>
      </c>
      <c r="W722" s="1" t="s">
        <v>3025</v>
      </c>
    </row>
    <row r="723" spans="1:23" ht="12.4">
      <c r="A723" s="1">
        <v>722</v>
      </c>
      <c r="B723" s="1" t="s">
        <v>3026</v>
      </c>
      <c r="C723" s="1" t="s">
        <v>3027</v>
      </c>
      <c r="D723" s="1">
        <v>52.48</v>
      </c>
      <c r="E723" s="1">
        <v>0.67</v>
      </c>
      <c r="F723" s="1">
        <v>0.96</v>
      </c>
      <c r="G723" s="1">
        <v>0</v>
      </c>
      <c r="H723" s="1">
        <v>31.74</v>
      </c>
      <c r="I723" s="2">
        <v>0.93</v>
      </c>
      <c r="J723" s="1">
        <v>0.1</v>
      </c>
      <c r="K723" s="2">
        <v>0.15</v>
      </c>
      <c r="L723" s="2">
        <v>0.28000000000000003</v>
      </c>
      <c r="M723" s="1">
        <v>12.05</v>
      </c>
      <c r="N723" s="1">
        <v>0.35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 t="s">
        <v>3024</v>
      </c>
      <c r="W723" s="1"/>
    </row>
    <row r="724" spans="1:23" ht="12.4">
      <c r="A724" s="1">
        <v>723</v>
      </c>
      <c r="B724" s="1" t="s">
        <v>3028</v>
      </c>
      <c r="C724" s="1" t="s">
        <v>3029</v>
      </c>
      <c r="D724" s="1">
        <v>62.91</v>
      </c>
      <c r="E724" s="1">
        <v>0</v>
      </c>
      <c r="F724" s="1">
        <v>28.42</v>
      </c>
      <c r="G724" s="1">
        <v>0</v>
      </c>
      <c r="H724" s="1">
        <v>0.53</v>
      </c>
      <c r="I724" s="2">
        <v>0</v>
      </c>
      <c r="J724" s="1">
        <v>0</v>
      </c>
      <c r="K724" s="2">
        <v>0.13</v>
      </c>
      <c r="L724" s="2">
        <v>0.11</v>
      </c>
      <c r="M724" s="1">
        <v>0.46</v>
      </c>
      <c r="N724" s="1">
        <v>0.69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 t="s">
        <v>3024</v>
      </c>
      <c r="W724" s="1" t="s">
        <v>3030</v>
      </c>
    </row>
    <row r="725" spans="1:23" ht="12.4">
      <c r="A725" s="1">
        <v>724</v>
      </c>
      <c r="B725" s="1" t="s">
        <v>3031</v>
      </c>
      <c r="C725" s="1" t="s">
        <v>3032</v>
      </c>
      <c r="D725" s="1">
        <v>56.54</v>
      </c>
      <c r="E725" s="1">
        <v>0.44</v>
      </c>
      <c r="F725" s="1">
        <v>18.38</v>
      </c>
      <c r="G725" s="1">
        <v>0</v>
      </c>
      <c r="H725" s="1">
        <v>5.67</v>
      </c>
      <c r="I725" s="2">
        <v>1.05</v>
      </c>
      <c r="J725" s="1">
        <v>0.1</v>
      </c>
      <c r="K725" s="2">
        <v>1.44</v>
      </c>
      <c r="L725" s="2">
        <v>2.69</v>
      </c>
      <c r="M725" s="1">
        <v>13</v>
      </c>
      <c r="N725" s="1">
        <v>0.03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 t="s">
        <v>3024</v>
      </c>
      <c r="W725" s="1" t="s">
        <v>3033</v>
      </c>
    </row>
    <row r="726" spans="1:23" ht="12.4">
      <c r="A726" s="1">
        <v>725</v>
      </c>
      <c r="B726" s="1" t="s">
        <v>3034</v>
      </c>
      <c r="C726" s="1" t="s">
        <v>2059</v>
      </c>
      <c r="D726" s="1">
        <v>45.5</v>
      </c>
      <c r="E726" s="1">
        <v>0.4</v>
      </c>
      <c r="F726" s="1">
        <v>7.9</v>
      </c>
      <c r="G726" s="1">
        <v>0</v>
      </c>
      <c r="H726" s="1">
        <v>21.4</v>
      </c>
      <c r="I726" s="2">
        <v>0</v>
      </c>
      <c r="J726" s="1">
        <v>0</v>
      </c>
      <c r="K726" s="2">
        <v>17.2</v>
      </c>
      <c r="L726" s="2">
        <v>8.6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/>
      <c r="W726" s="1"/>
    </row>
    <row r="727" spans="1:23" ht="12.4">
      <c r="A727" s="1">
        <v>726</v>
      </c>
      <c r="B727" s="5" t="s">
        <v>3035</v>
      </c>
      <c r="C727" s="1" t="s">
        <v>2059</v>
      </c>
      <c r="D727" s="1">
        <v>46.1</v>
      </c>
      <c r="E727" s="1">
        <v>1.6</v>
      </c>
      <c r="F727" s="1">
        <v>14.3</v>
      </c>
      <c r="G727" s="1">
        <v>0</v>
      </c>
      <c r="H727" s="1">
        <v>15.2</v>
      </c>
      <c r="I727" s="2">
        <v>0</v>
      </c>
      <c r="J727" s="1">
        <v>0</v>
      </c>
      <c r="K727" s="2">
        <v>12.5</v>
      </c>
      <c r="L727" s="2">
        <v>10.4</v>
      </c>
      <c r="M727" s="1">
        <v>0.8</v>
      </c>
      <c r="N727" s="1">
        <v>0.1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/>
      <c r="W727" s="1"/>
    </row>
    <row r="728" spans="1:23" ht="12.4">
      <c r="A728" s="1">
        <v>727</v>
      </c>
      <c r="B728" s="5" t="s">
        <v>3036</v>
      </c>
      <c r="C728" s="1" t="s">
        <v>2059</v>
      </c>
      <c r="D728" s="1">
        <v>46.26</v>
      </c>
      <c r="E728" s="1">
        <v>0.98</v>
      </c>
      <c r="F728" s="1">
        <v>12.98</v>
      </c>
      <c r="G728" s="1">
        <v>0</v>
      </c>
      <c r="H728" s="1">
        <v>21.5</v>
      </c>
      <c r="I728" s="2">
        <v>0</v>
      </c>
      <c r="J728" s="1">
        <v>0</v>
      </c>
      <c r="K728" s="2">
        <v>6.47</v>
      </c>
      <c r="L728" s="2">
        <v>12.73</v>
      </c>
      <c r="M728" s="1">
        <v>0.28999999999999998</v>
      </c>
      <c r="N728" s="1">
        <v>0.04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/>
      <c r="W728" s="1"/>
    </row>
    <row r="729" spans="1:23" ht="12.4">
      <c r="A729" s="1">
        <v>728</v>
      </c>
      <c r="B729" s="5" t="s">
        <v>3037</v>
      </c>
      <c r="C729" s="1" t="s">
        <v>2059</v>
      </c>
      <c r="D729" s="1">
        <v>44.97</v>
      </c>
      <c r="E729" s="1">
        <v>0.3</v>
      </c>
      <c r="F729" s="1">
        <v>26.74</v>
      </c>
      <c r="G729" s="1">
        <v>0</v>
      </c>
      <c r="H729" s="1">
        <v>5.25</v>
      </c>
      <c r="I729" s="2">
        <v>0</v>
      </c>
      <c r="J729" s="1">
        <v>0</v>
      </c>
      <c r="K729" s="2">
        <v>6.86</v>
      </c>
      <c r="L729" s="2">
        <v>15.64</v>
      </c>
      <c r="M729" s="1">
        <v>0.23</v>
      </c>
      <c r="N729" s="1">
        <v>0.05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/>
      <c r="W729" s="1"/>
    </row>
    <row r="730" spans="1:23" ht="12.4">
      <c r="A730" s="1">
        <v>729</v>
      </c>
      <c r="B730" s="5" t="s">
        <v>3038</v>
      </c>
      <c r="C730" s="1" t="s">
        <v>2059</v>
      </c>
      <c r="D730" s="1">
        <v>50.19</v>
      </c>
      <c r="E730" s="1">
        <v>0</v>
      </c>
      <c r="F730" s="1">
        <v>13.45</v>
      </c>
      <c r="G730" s="1">
        <v>0</v>
      </c>
      <c r="H730" s="1">
        <v>0</v>
      </c>
      <c r="I730" s="2">
        <v>0</v>
      </c>
      <c r="J730" s="1">
        <v>0</v>
      </c>
      <c r="K730" s="2">
        <v>14.17</v>
      </c>
      <c r="L730" s="2">
        <v>22.19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/>
      <c r="W730" s="1"/>
    </row>
    <row r="731" spans="1:23" ht="12.4">
      <c r="A731" s="1">
        <v>730</v>
      </c>
      <c r="B731" s="1" t="s">
        <v>3039</v>
      </c>
      <c r="C731" s="1" t="s">
        <v>2059</v>
      </c>
      <c r="D731" s="1">
        <v>41.65</v>
      </c>
      <c r="E731" s="1">
        <v>4.8499999999999996</v>
      </c>
      <c r="F731" s="1">
        <v>7.63</v>
      </c>
      <c r="G731" s="1">
        <v>0</v>
      </c>
      <c r="H731" s="1">
        <v>0</v>
      </c>
      <c r="I731" s="2">
        <v>22.42</v>
      </c>
      <c r="J731" s="1">
        <v>0.35</v>
      </c>
      <c r="K731" s="2">
        <v>13.06</v>
      </c>
      <c r="L731" s="2">
        <v>8.41</v>
      </c>
      <c r="M731" s="1">
        <v>0.45</v>
      </c>
      <c r="N731" s="1">
        <v>0.05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 t="s">
        <v>3040</v>
      </c>
      <c r="W731" s="1"/>
    </row>
    <row r="732" spans="1:23" ht="12.4">
      <c r="A732" s="1">
        <v>731</v>
      </c>
      <c r="B732" s="1" t="s">
        <v>3041</v>
      </c>
      <c r="C732" s="1" t="s">
        <v>2059</v>
      </c>
      <c r="D732" s="1">
        <v>41.65</v>
      </c>
      <c r="E732" s="1">
        <v>4.8499999999999996</v>
      </c>
      <c r="F732" s="1">
        <v>7.63</v>
      </c>
      <c r="G732" s="1">
        <v>0</v>
      </c>
      <c r="H732" s="1">
        <v>0</v>
      </c>
      <c r="I732" s="2">
        <v>22.42</v>
      </c>
      <c r="J732" s="1">
        <v>0.35</v>
      </c>
      <c r="K732" s="2">
        <v>13.06</v>
      </c>
      <c r="L732" s="2">
        <v>8.41</v>
      </c>
      <c r="M732" s="1">
        <v>0.45</v>
      </c>
      <c r="N732" s="1">
        <v>0.05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 t="s">
        <v>3040</v>
      </c>
      <c r="W732" s="1"/>
    </row>
    <row r="733" spans="1:23" ht="12.4">
      <c r="A733" s="1">
        <v>732</v>
      </c>
      <c r="B733" s="1" t="s">
        <v>3042</v>
      </c>
      <c r="C733" s="1" t="s">
        <v>2059</v>
      </c>
      <c r="D733" s="1">
        <v>41.65</v>
      </c>
      <c r="E733" s="1">
        <v>4.8499999999999996</v>
      </c>
      <c r="F733" s="1">
        <v>7.63</v>
      </c>
      <c r="G733" s="1">
        <v>0</v>
      </c>
      <c r="H733" s="1">
        <v>0</v>
      </c>
      <c r="I733" s="2">
        <v>22.42</v>
      </c>
      <c r="J733" s="1">
        <v>0.35</v>
      </c>
      <c r="K733" s="2">
        <v>13.06</v>
      </c>
      <c r="L733" s="2">
        <v>8.41</v>
      </c>
      <c r="M733" s="1">
        <v>0.45</v>
      </c>
      <c r="N733" s="1">
        <v>0.05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 t="s">
        <v>3040</v>
      </c>
      <c r="W733" s="1"/>
    </row>
    <row r="734" spans="1:23" ht="12.4">
      <c r="A734" s="1">
        <v>733</v>
      </c>
      <c r="B734" s="1" t="s">
        <v>3043</v>
      </c>
      <c r="C734" s="1" t="s">
        <v>2059</v>
      </c>
      <c r="D734" s="1">
        <v>37.75</v>
      </c>
      <c r="E734" s="1">
        <v>9.99</v>
      </c>
      <c r="F734" s="1">
        <v>6.57</v>
      </c>
      <c r="G734" s="1">
        <v>0</v>
      </c>
      <c r="H734" s="1">
        <v>0</v>
      </c>
      <c r="I734" s="2">
        <v>22.64</v>
      </c>
      <c r="J734" s="1">
        <v>0.28999999999999998</v>
      </c>
      <c r="K734" s="2">
        <v>13.82</v>
      </c>
      <c r="L734" s="2">
        <v>7.55</v>
      </c>
      <c r="M734" s="1">
        <v>0.37</v>
      </c>
      <c r="N734" s="1">
        <v>0.06</v>
      </c>
      <c r="O734" s="1">
        <v>0.03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 t="s">
        <v>3040</v>
      </c>
      <c r="W734" s="1"/>
    </row>
    <row r="735" spans="1:23" ht="12.4">
      <c r="A735" s="1">
        <v>734</v>
      </c>
      <c r="B735" s="5" t="s">
        <v>3044</v>
      </c>
      <c r="C735" s="1" t="s">
        <v>2059</v>
      </c>
      <c r="D735" s="1">
        <v>56.5</v>
      </c>
      <c r="E735" s="1">
        <v>0.67</v>
      </c>
      <c r="F735" s="1">
        <v>16.600000000000001</v>
      </c>
      <c r="G735" s="1">
        <v>0</v>
      </c>
      <c r="H735" s="1">
        <v>6.89</v>
      </c>
      <c r="I735" s="2">
        <v>0</v>
      </c>
      <c r="J735" s="1">
        <v>0.12</v>
      </c>
      <c r="K735" s="2">
        <v>6</v>
      </c>
      <c r="L735" s="2">
        <v>8.23</v>
      </c>
      <c r="M735" s="1">
        <v>3.16</v>
      </c>
      <c r="N735" s="1">
        <v>1.48</v>
      </c>
      <c r="O735" s="1">
        <v>0.11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/>
      <c r="W735" s="1"/>
    </row>
    <row r="736" spans="1:23" ht="12.4">
      <c r="A736" s="1">
        <v>735</v>
      </c>
      <c r="B736" s="5" t="s">
        <v>3045</v>
      </c>
      <c r="C736" s="1" t="s">
        <v>2059</v>
      </c>
      <c r="D736" s="1">
        <v>61.2</v>
      </c>
      <c r="E736" s="1">
        <v>0.68</v>
      </c>
      <c r="F736" s="1">
        <v>16.22</v>
      </c>
      <c r="G736" s="1">
        <v>0</v>
      </c>
      <c r="H736" s="1">
        <v>0.67</v>
      </c>
      <c r="I736" s="2">
        <v>3.81</v>
      </c>
      <c r="J736" s="1">
        <v>0.09</v>
      </c>
      <c r="K736" s="2">
        <v>4.18</v>
      </c>
      <c r="L736" s="2">
        <v>6.56</v>
      </c>
      <c r="M736" s="1">
        <v>4.0599999999999996</v>
      </c>
      <c r="N736" s="1">
        <v>1.03</v>
      </c>
      <c r="O736" s="1">
        <v>0.23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/>
      <c r="W736" s="1" t="s">
        <v>3046</v>
      </c>
    </row>
    <row r="737" spans="1:23" ht="12.4">
      <c r="A737" s="1">
        <v>736</v>
      </c>
      <c r="B737" s="5" t="s">
        <v>3047</v>
      </c>
      <c r="C737" s="1" t="s">
        <v>2059</v>
      </c>
      <c r="D737" s="1">
        <v>65.28</v>
      </c>
      <c r="E737" s="1">
        <v>0.49</v>
      </c>
      <c r="F737" s="1">
        <v>16.7</v>
      </c>
      <c r="G737" s="1">
        <v>0</v>
      </c>
      <c r="H737" s="1">
        <v>1.48</v>
      </c>
      <c r="I737" s="2">
        <v>2.0299999999999998</v>
      </c>
      <c r="J737" s="1">
        <v>0.06</v>
      </c>
      <c r="K737" s="2">
        <v>2.5499999999999998</v>
      </c>
      <c r="L737" s="2">
        <v>5.23</v>
      </c>
      <c r="M737" s="1">
        <v>4.66</v>
      </c>
      <c r="N737" s="1">
        <v>1.5</v>
      </c>
      <c r="O737" s="1">
        <v>0.12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/>
      <c r="W737" s="1" t="s">
        <v>3048</v>
      </c>
    </row>
    <row r="738" spans="1:23" ht="12.4">
      <c r="A738" s="1">
        <v>737</v>
      </c>
      <c r="B738" s="5" t="s">
        <v>3049</v>
      </c>
      <c r="C738" s="1" t="s">
        <v>2059</v>
      </c>
      <c r="D738" s="1">
        <v>68.89</v>
      </c>
      <c r="E738" s="1">
        <v>0.28999999999999998</v>
      </c>
      <c r="F738" s="1">
        <v>14.64</v>
      </c>
      <c r="G738" s="1">
        <v>0</v>
      </c>
      <c r="H738" s="1">
        <v>1.63</v>
      </c>
      <c r="I738" s="2">
        <v>1.03</v>
      </c>
      <c r="J738" s="1">
        <v>7.0000000000000007E-2</v>
      </c>
      <c r="K738" s="2">
        <v>0.47</v>
      </c>
      <c r="L738" s="2">
        <v>1.79</v>
      </c>
      <c r="M738" s="1">
        <v>6</v>
      </c>
      <c r="N738" s="1">
        <v>2.74</v>
      </c>
      <c r="O738" s="1">
        <v>0.09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/>
      <c r="W738" s="1" t="s">
        <v>3050</v>
      </c>
    </row>
    <row r="739" spans="1:23" ht="37.35">
      <c r="A739" s="1">
        <v>738</v>
      </c>
      <c r="B739" s="5" t="s">
        <v>3051</v>
      </c>
      <c r="C739" s="1" t="s">
        <v>1496</v>
      </c>
      <c r="D739" s="1">
        <v>61</v>
      </c>
      <c r="E739" s="1">
        <v>0.4</v>
      </c>
      <c r="F739" s="1">
        <v>12</v>
      </c>
      <c r="G739" s="1">
        <v>0.02</v>
      </c>
      <c r="H739" s="1">
        <v>15</v>
      </c>
      <c r="I739" s="2">
        <v>0</v>
      </c>
      <c r="J739" s="1">
        <v>0.12</v>
      </c>
      <c r="K739" s="2">
        <v>6</v>
      </c>
      <c r="L739" s="2">
        <v>3</v>
      </c>
      <c r="M739" s="1">
        <v>1.5</v>
      </c>
      <c r="N739" s="1">
        <v>0.5</v>
      </c>
      <c r="O739" s="1">
        <v>0.05</v>
      </c>
      <c r="P739" s="1">
        <v>0</v>
      </c>
      <c r="Q739" s="1">
        <v>150</v>
      </c>
      <c r="R739" s="1">
        <v>100</v>
      </c>
      <c r="S739" s="1">
        <v>0</v>
      </c>
      <c r="T739" s="1">
        <v>120</v>
      </c>
      <c r="U739" s="1">
        <v>300</v>
      </c>
      <c r="V739" s="1"/>
      <c r="W739" s="1" t="s">
        <v>3052</v>
      </c>
    </row>
    <row r="740" spans="1:23" ht="24.95">
      <c r="A740" s="1">
        <v>739</v>
      </c>
      <c r="B740" s="5" t="s">
        <v>3053</v>
      </c>
      <c r="C740" s="1" t="s">
        <v>1496</v>
      </c>
      <c r="D740" s="1">
        <v>56.7</v>
      </c>
      <c r="E740" s="1">
        <v>0.63</v>
      </c>
      <c r="F740" s="1">
        <v>16.399999999999999</v>
      </c>
      <c r="G740" s="1">
        <v>0.01</v>
      </c>
      <c r="H740" s="1">
        <v>8.65</v>
      </c>
      <c r="I740" s="2">
        <v>0</v>
      </c>
      <c r="J740" s="1">
        <v>0.13</v>
      </c>
      <c r="K740" s="2">
        <v>3.8</v>
      </c>
      <c r="L740" s="2">
        <v>9.58</v>
      </c>
      <c r="M740" s="1">
        <v>2.5499999999999998</v>
      </c>
      <c r="N740" s="1">
        <v>1.24</v>
      </c>
      <c r="O740" s="1">
        <v>0.12</v>
      </c>
      <c r="P740" s="1">
        <v>0</v>
      </c>
      <c r="Q740" s="1">
        <v>100</v>
      </c>
      <c r="R740" s="1">
        <v>70</v>
      </c>
      <c r="S740" s="1">
        <v>0</v>
      </c>
      <c r="T740" s="1">
        <v>90</v>
      </c>
      <c r="U740" s="1">
        <v>300</v>
      </c>
      <c r="V740" s="1"/>
      <c r="W740" s="1" t="s">
        <v>3054</v>
      </c>
    </row>
    <row r="741" spans="1:23" ht="24.95">
      <c r="A741" s="1">
        <v>740</v>
      </c>
      <c r="B741" s="5" t="s">
        <v>3055</v>
      </c>
      <c r="C741" s="1" t="s">
        <v>1496</v>
      </c>
      <c r="D741" s="1">
        <v>56</v>
      </c>
      <c r="E741" s="1">
        <v>0.7</v>
      </c>
      <c r="F741" s="1">
        <v>16</v>
      </c>
      <c r="G741" s="1">
        <v>0.02</v>
      </c>
      <c r="H741" s="1">
        <v>9.4</v>
      </c>
      <c r="I741" s="2">
        <v>0</v>
      </c>
      <c r="J741" s="1">
        <v>0.13</v>
      </c>
      <c r="K741" s="2">
        <v>3.4</v>
      </c>
      <c r="L741" s="2">
        <v>9.5</v>
      </c>
      <c r="M741" s="1">
        <v>2.8</v>
      </c>
      <c r="N741" s="1">
        <v>1.4</v>
      </c>
      <c r="O741" s="1">
        <v>0.15</v>
      </c>
      <c r="P741" s="1">
        <v>0</v>
      </c>
      <c r="Q741" s="1">
        <v>160</v>
      </c>
      <c r="R741" s="1">
        <v>90</v>
      </c>
      <c r="S741" s="1">
        <v>30</v>
      </c>
      <c r="T741" s="1">
        <v>100</v>
      </c>
      <c r="U741" s="1">
        <v>330</v>
      </c>
      <c r="V741" s="1"/>
      <c r="W741" s="1" t="s">
        <v>3056</v>
      </c>
    </row>
    <row r="742" spans="1:23" ht="24.95">
      <c r="A742" s="1">
        <v>741</v>
      </c>
      <c r="B742" s="5" t="s">
        <v>3057</v>
      </c>
      <c r="C742" s="1" t="s">
        <v>1496</v>
      </c>
      <c r="D742" s="1">
        <v>56.7</v>
      </c>
      <c r="E742" s="1">
        <v>0.72</v>
      </c>
      <c r="F742" s="1">
        <v>15.6</v>
      </c>
      <c r="G742" s="1">
        <v>0.02</v>
      </c>
      <c r="H742" s="1">
        <v>9.5</v>
      </c>
      <c r="I742" s="2">
        <v>0</v>
      </c>
      <c r="J742" s="1">
        <v>0.15</v>
      </c>
      <c r="K742" s="2">
        <v>3.85</v>
      </c>
      <c r="L742" s="2">
        <v>9.1</v>
      </c>
      <c r="M742" s="1">
        <v>2.5499999999999998</v>
      </c>
      <c r="N742" s="1">
        <v>1.45</v>
      </c>
      <c r="O742" s="1">
        <v>0.13</v>
      </c>
      <c r="P742" s="1">
        <v>0</v>
      </c>
      <c r="Q742" s="1">
        <v>160</v>
      </c>
      <c r="R742" s="1">
        <v>80</v>
      </c>
      <c r="S742" s="1">
        <v>30</v>
      </c>
      <c r="T742" s="1">
        <v>110</v>
      </c>
      <c r="U742" s="1">
        <v>330</v>
      </c>
      <c r="V742" s="1"/>
      <c r="W742" s="1" t="s">
        <v>3058</v>
      </c>
    </row>
    <row r="743" spans="1:23" ht="24.95">
      <c r="A743" s="1">
        <v>742</v>
      </c>
      <c r="B743" s="5" t="s">
        <v>3059</v>
      </c>
      <c r="C743" s="1" t="s">
        <v>1496</v>
      </c>
      <c r="D743" s="1">
        <v>57</v>
      </c>
      <c r="E743" s="1">
        <v>0.86</v>
      </c>
      <c r="F743" s="1">
        <v>16</v>
      </c>
      <c r="G743" s="1">
        <v>0.01</v>
      </c>
      <c r="H743" s="1">
        <v>8.8000000000000007</v>
      </c>
      <c r="I743" s="2">
        <v>0</v>
      </c>
      <c r="J743" s="1">
        <v>0.13</v>
      </c>
      <c r="K743" s="2">
        <v>3.5</v>
      </c>
      <c r="L743" s="2">
        <v>9.1999999999999993</v>
      </c>
      <c r="M743" s="1">
        <v>2.6</v>
      </c>
      <c r="N743" s="1">
        <v>1.5</v>
      </c>
      <c r="O743" s="1">
        <v>0.13</v>
      </c>
      <c r="P743" s="1">
        <v>0</v>
      </c>
      <c r="Q743" s="1">
        <v>140</v>
      </c>
      <c r="R743" s="1">
        <v>80</v>
      </c>
      <c r="S743" s="1">
        <v>30</v>
      </c>
      <c r="T743" s="1">
        <v>130</v>
      </c>
      <c r="U743" s="1">
        <v>470</v>
      </c>
      <c r="V743" s="1"/>
      <c r="W743" s="1" t="s">
        <v>3060</v>
      </c>
    </row>
    <row r="744" spans="1:23" ht="24.95">
      <c r="A744" s="1">
        <v>743</v>
      </c>
      <c r="B744" s="5" t="s">
        <v>3061</v>
      </c>
      <c r="C744" s="1" t="s">
        <v>1496</v>
      </c>
      <c r="D744" s="1">
        <v>57.67</v>
      </c>
      <c r="E744" s="1">
        <v>0.71</v>
      </c>
      <c r="F744" s="1">
        <v>16</v>
      </c>
      <c r="G744" s="1">
        <v>0.01</v>
      </c>
      <c r="H744" s="1">
        <v>8.5</v>
      </c>
      <c r="I744" s="2">
        <v>0</v>
      </c>
      <c r="J744" s="1">
        <v>0.13</v>
      </c>
      <c r="K744" s="2">
        <v>3.6</v>
      </c>
      <c r="L744" s="2">
        <v>9.1</v>
      </c>
      <c r="M744" s="1">
        <v>2.6</v>
      </c>
      <c r="N744" s="1">
        <v>1.4</v>
      </c>
      <c r="O744" s="1">
        <v>0.11</v>
      </c>
      <c r="P744" s="1">
        <v>0</v>
      </c>
      <c r="Q744" s="1">
        <v>110</v>
      </c>
      <c r="R744" s="1">
        <v>90</v>
      </c>
      <c r="S744" s="1">
        <v>30</v>
      </c>
      <c r="T744" s="1">
        <v>90</v>
      </c>
      <c r="U744" s="1">
        <v>400</v>
      </c>
      <c r="V744" s="1"/>
      <c r="W744" s="1" t="s">
        <v>3062</v>
      </c>
    </row>
    <row r="745" spans="1:23" ht="12.4">
      <c r="A745" s="1">
        <v>744</v>
      </c>
      <c r="B745" s="1" t="s">
        <v>3063</v>
      </c>
      <c r="C745" s="1" t="s">
        <v>2059</v>
      </c>
      <c r="D745" s="1">
        <v>49.95</v>
      </c>
      <c r="E745" s="1">
        <v>1</v>
      </c>
      <c r="F745" s="1">
        <v>7.4</v>
      </c>
      <c r="G745" s="1">
        <v>0</v>
      </c>
      <c r="H745" s="1">
        <v>0</v>
      </c>
      <c r="I745" s="2">
        <v>19.36</v>
      </c>
      <c r="J745" s="1">
        <v>0.48</v>
      </c>
      <c r="K745" s="2">
        <v>7.13</v>
      </c>
      <c r="L745" s="2">
        <v>10.99</v>
      </c>
      <c r="M745" s="1">
        <v>1.5</v>
      </c>
      <c r="N745" s="1">
        <v>0.38</v>
      </c>
      <c r="O745" s="1">
        <v>0.7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 t="s">
        <v>3064</v>
      </c>
      <c r="W745" s="1"/>
    </row>
    <row r="746" spans="1:23" ht="12.4">
      <c r="A746" s="1">
        <v>745</v>
      </c>
      <c r="B746" s="1" t="s">
        <v>3065</v>
      </c>
      <c r="C746" s="1" t="s">
        <v>2059</v>
      </c>
      <c r="D746" s="1">
        <v>50.75</v>
      </c>
      <c r="E746" s="1">
        <v>2.15</v>
      </c>
      <c r="F746" s="1">
        <v>12.43</v>
      </c>
      <c r="G746" s="1">
        <v>0</v>
      </c>
      <c r="H746" s="1">
        <v>0</v>
      </c>
      <c r="I746" s="2">
        <v>13.94</v>
      </c>
      <c r="J746" s="1">
        <v>0.15</v>
      </c>
      <c r="K746" s="2">
        <v>6.17</v>
      </c>
      <c r="L746" s="2">
        <v>9.5299999999999994</v>
      </c>
      <c r="M746" s="1">
        <v>2.38</v>
      </c>
      <c r="N746" s="1">
        <v>0.51</v>
      </c>
      <c r="O746" s="1">
        <v>0.31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 t="s">
        <v>3064</v>
      </c>
      <c r="W746" s="1"/>
    </row>
    <row r="747" spans="1:23" ht="12.4">
      <c r="A747" s="1">
        <v>746</v>
      </c>
      <c r="B747" s="1" t="s">
        <v>3066</v>
      </c>
      <c r="C747" s="1" t="s">
        <v>2059</v>
      </c>
      <c r="D747" s="1">
        <v>58.92</v>
      </c>
      <c r="E747" s="1">
        <v>1.03</v>
      </c>
      <c r="F747" s="1">
        <v>15.43</v>
      </c>
      <c r="G747" s="1">
        <v>0</v>
      </c>
      <c r="H747" s="1">
        <v>0</v>
      </c>
      <c r="I747" s="2">
        <v>6.95</v>
      </c>
      <c r="J747" s="1">
        <v>0.11</v>
      </c>
      <c r="K747" s="2">
        <v>3.78</v>
      </c>
      <c r="L747" s="2">
        <v>7.2</v>
      </c>
      <c r="M747" s="1">
        <v>2.72</v>
      </c>
      <c r="N747" s="1">
        <v>2.02</v>
      </c>
      <c r="O747" s="1">
        <v>0.51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 t="s">
        <v>3064</v>
      </c>
      <c r="W747" s="1"/>
    </row>
    <row r="748" spans="1:23" ht="12.4">
      <c r="A748" s="1">
        <v>747</v>
      </c>
      <c r="B748" s="1" t="s">
        <v>3067</v>
      </c>
      <c r="C748" s="1" t="s">
        <v>2059</v>
      </c>
      <c r="D748" s="1">
        <v>57.56</v>
      </c>
      <c r="E748" s="1">
        <v>0.52</v>
      </c>
      <c r="F748" s="1">
        <v>11.3</v>
      </c>
      <c r="G748" s="1">
        <v>0</v>
      </c>
      <c r="H748" s="1">
        <v>0</v>
      </c>
      <c r="I748" s="2">
        <v>15.26</v>
      </c>
      <c r="J748" s="1">
        <v>0.18</v>
      </c>
      <c r="K748" s="2">
        <v>1.1200000000000001</v>
      </c>
      <c r="L748" s="2">
        <v>7.49</v>
      </c>
      <c r="M748" s="1">
        <v>2.71</v>
      </c>
      <c r="N748" s="1">
        <v>1.54</v>
      </c>
      <c r="O748" s="1">
        <v>1.47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 t="s">
        <v>3064</v>
      </c>
      <c r="W748" s="1"/>
    </row>
    <row r="749" spans="1:23" ht="12.4">
      <c r="A749" s="1">
        <v>748</v>
      </c>
      <c r="B749" s="1" t="s">
        <v>3068</v>
      </c>
      <c r="C749" s="1" t="s">
        <v>2059</v>
      </c>
      <c r="D749" s="1">
        <v>67.819999999999993</v>
      </c>
      <c r="E749" s="1">
        <v>0.66</v>
      </c>
      <c r="F749" s="1">
        <v>11.71</v>
      </c>
      <c r="G749" s="1">
        <v>0</v>
      </c>
      <c r="H749" s="1">
        <v>0</v>
      </c>
      <c r="I749" s="2">
        <v>8.02</v>
      </c>
      <c r="J749" s="1">
        <v>0.28000000000000003</v>
      </c>
      <c r="K749" s="2">
        <v>0.92</v>
      </c>
      <c r="L749" s="2">
        <v>4.47</v>
      </c>
      <c r="M749" s="1">
        <v>4.3099999999999996</v>
      </c>
      <c r="N749" s="1">
        <v>1.57</v>
      </c>
      <c r="O749" s="1">
        <v>0.26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 t="s">
        <v>3064</v>
      </c>
      <c r="W749" s="1"/>
    </row>
    <row r="750" spans="1:23" ht="12.4">
      <c r="A750" s="1">
        <v>749</v>
      </c>
      <c r="B750" s="1" t="s">
        <v>3069</v>
      </c>
      <c r="C750" s="1" t="s">
        <v>1551</v>
      </c>
      <c r="D750" s="1">
        <v>55.69</v>
      </c>
      <c r="E750" s="1">
        <v>7.0000000000000007E-2</v>
      </c>
      <c r="F750" s="1">
        <v>29.15</v>
      </c>
      <c r="G750" s="1">
        <v>0</v>
      </c>
      <c r="H750" s="1">
        <v>0.45</v>
      </c>
      <c r="I750" s="2">
        <v>0.1</v>
      </c>
      <c r="J750" s="1">
        <v>0</v>
      </c>
      <c r="K750" s="2">
        <v>0.17</v>
      </c>
      <c r="L750" s="2">
        <v>8.74</v>
      </c>
      <c r="M750" s="1">
        <v>5.01</v>
      </c>
      <c r="N750" s="1">
        <v>0.25</v>
      </c>
      <c r="O750" s="1">
        <v>0.03</v>
      </c>
      <c r="P750" s="1">
        <v>0.3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/>
      <c r="W750" s="1" t="s">
        <v>3070</v>
      </c>
    </row>
    <row r="751" spans="1:23" ht="12.4">
      <c r="A751" s="1">
        <v>750</v>
      </c>
      <c r="B751" s="1" t="s">
        <v>3071</v>
      </c>
      <c r="C751" s="1" t="s">
        <v>1551</v>
      </c>
      <c r="D751" s="1">
        <v>52.24</v>
      </c>
      <c r="E751" s="1">
        <v>0.08</v>
      </c>
      <c r="F751" s="1">
        <v>30.35</v>
      </c>
      <c r="G751" s="1">
        <v>0.03</v>
      </c>
      <c r="H751" s="1">
        <v>0.66</v>
      </c>
      <c r="I751" s="2">
        <v>0.1</v>
      </c>
      <c r="J751" s="1">
        <v>0.01</v>
      </c>
      <c r="K751" s="2">
        <v>0.42</v>
      </c>
      <c r="L751" s="2">
        <v>12.2</v>
      </c>
      <c r="M751" s="1">
        <v>3.04</v>
      </c>
      <c r="N751" s="1">
        <v>0.09</v>
      </c>
      <c r="O751" s="1">
        <v>0.02</v>
      </c>
      <c r="P751" s="1">
        <v>0.8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/>
      <c r="W751" s="1" t="s">
        <v>3072</v>
      </c>
    </row>
    <row r="752" spans="1:23" ht="12.4">
      <c r="A752" s="1">
        <v>751</v>
      </c>
      <c r="B752" s="1" t="s">
        <v>3073</v>
      </c>
      <c r="C752" s="1" t="s">
        <v>1496</v>
      </c>
      <c r="D752" s="1">
        <v>48.2</v>
      </c>
      <c r="E752" s="1">
        <v>0.63</v>
      </c>
      <c r="F752" s="1">
        <v>13.9</v>
      </c>
      <c r="G752" s="1">
        <v>0.33</v>
      </c>
      <c r="H752" s="1">
        <v>0</v>
      </c>
      <c r="I752" s="2">
        <v>18</v>
      </c>
      <c r="J752" s="1">
        <v>0.57999999999999996</v>
      </c>
      <c r="K752" s="2">
        <v>6.33</v>
      </c>
      <c r="L752" s="2">
        <v>10.6</v>
      </c>
      <c r="M752" s="1">
        <v>0.49</v>
      </c>
      <c r="N752" s="1">
        <v>0.04</v>
      </c>
      <c r="O752" s="1">
        <v>7.0000000000000007E-2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 t="s">
        <v>3074</v>
      </c>
      <c r="W752" s="1" t="s">
        <v>3075</v>
      </c>
    </row>
    <row r="753" spans="1:23" ht="12.4">
      <c r="A753" s="1">
        <v>752</v>
      </c>
      <c r="B753" s="1" t="s">
        <v>3073</v>
      </c>
      <c r="C753" s="1" t="s">
        <v>2171</v>
      </c>
      <c r="D753" s="1">
        <v>48.45</v>
      </c>
      <c r="E753" s="1">
        <v>0.62</v>
      </c>
      <c r="F753" s="1">
        <v>2.2000000000000002</v>
      </c>
      <c r="G753" s="1">
        <v>0.28999999999999998</v>
      </c>
      <c r="H753" s="1">
        <v>0</v>
      </c>
      <c r="I753" s="2">
        <v>26.95</v>
      </c>
      <c r="J753" s="1">
        <v>0.92</v>
      </c>
      <c r="K753" s="2">
        <v>10.59</v>
      </c>
      <c r="L753" s="2">
        <v>9.4</v>
      </c>
      <c r="M753" s="1">
        <v>0.03</v>
      </c>
      <c r="N753" s="1">
        <v>0.01</v>
      </c>
      <c r="O753" s="1">
        <v>0.04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 t="s">
        <v>3074</v>
      </c>
      <c r="W753" s="1" t="s">
        <v>3076</v>
      </c>
    </row>
    <row r="754" spans="1:23" ht="12.4">
      <c r="A754" s="1">
        <v>753</v>
      </c>
      <c r="B754" s="1" t="s">
        <v>3073</v>
      </c>
      <c r="C754" s="1" t="s">
        <v>1551</v>
      </c>
      <c r="D754" s="1">
        <v>48.52</v>
      </c>
      <c r="E754" s="1">
        <v>0.04</v>
      </c>
      <c r="F754" s="1">
        <v>30.26</v>
      </c>
      <c r="G754" s="1">
        <v>0.01</v>
      </c>
      <c r="H754" s="1">
        <v>0</v>
      </c>
      <c r="I754" s="2">
        <v>1.6</v>
      </c>
      <c r="J754" s="1">
        <v>0.05</v>
      </c>
      <c r="K754" s="2">
        <v>0.4</v>
      </c>
      <c r="L754" s="2">
        <v>17.07</v>
      </c>
      <c r="M754" s="1">
        <v>1.1399999999999999</v>
      </c>
      <c r="N754" s="1">
        <v>0.04</v>
      </c>
      <c r="O754" s="1">
        <v>0.01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 t="s">
        <v>3074</v>
      </c>
      <c r="W754" s="1" t="s">
        <v>3077</v>
      </c>
    </row>
    <row r="755" spans="1:23" ht="12.4">
      <c r="A755" s="1">
        <v>754</v>
      </c>
      <c r="B755" s="1" t="s">
        <v>3073</v>
      </c>
      <c r="C755" s="1" t="s">
        <v>2538</v>
      </c>
      <c r="D755" s="1">
        <v>0.02</v>
      </c>
      <c r="E755" s="1">
        <v>7.48</v>
      </c>
      <c r="F755" s="1">
        <v>6.73</v>
      </c>
      <c r="G755" s="1">
        <v>43.52</v>
      </c>
      <c r="H755" s="1">
        <v>0</v>
      </c>
      <c r="I755" s="2">
        <v>37.770000000000003</v>
      </c>
      <c r="J755" s="1">
        <v>0.64</v>
      </c>
      <c r="K755" s="2">
        <v>0.62</v>
      </c>
      <c r="L755" s="2">
        <v>0.13</v>
      </c>
      <c r="M755" s="1">
        <v>0.04</v>
      </c>
      <c r="N755" s="1">
        <v>0.01</v>
      </c>
      <c r="O755" s="1">
        <v>0.02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 t="s">
        <v>3074</v>
      </c>
      <c r="W755" s="1" t="s">
        <v>3078</v>
      </c>
    </row>
    <row r="756" spans="1:23" ht="12.4">
      <c r="A756" s="1">
        <v>755</v>
      </c>
      <c r="B756" s="1" t="s">
        <v>3079</v>
      </c>
      <c r="C756" s="1" t="s">
        <v>2059</v>
      </c>
      <c r="D756" s="1">
        <v>76.510000000000005</v>
      </c>
      <c r="E756" s="1">
        <v>0.03</v>
      </c>
      <c r="F756" s="1">
        <v>12.56</v>
      </c>
      <c r="G756" s="1">
        <v>0</v>
      </c>
      <c r="H756" s="1">
        <v>0</v>
      </c>
      <c r="I756" s="2">
        <v>0.7</v>
      </c>
      <c r="J756" s="1">
        <v>7.0000000000000007E-2</v>
      </c>
      <c r="K756" s="2">
        <v>0.01</v>
      </c>
      <c r="L756" s="2">
        <v>0.25</v>
      </c>
      <c r="M756" s="1">
        <v>4.47</v>
      </c>
      <c r="N756" s="1">
        <v>4.24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 t="s">
        <v>3080</v>
      </c>
      <c r="W756" s="1" t="s">
        <v>3081</v>
      </c>
    </row>
    <row r="757" spans="1:23" ht="24.95">
      <c r="A757" s="1">
        <v>756</v>
      </c>
      <c r="B757" s="1" t="s">
        <v>3082</v>
      </c>
      <c r="C757" s="1" t="s">
        <v>1496</v>
      </c>
      <c r="D757" s="1">
        <v>46.7</v>
      </c>
      <c r="E757" s="1">
        <v>0.41</v>
      </c>
      <c r="F757" s="1">
        <v>24.4</v>
      </c>
      <c r="G757" s="1">
        <v>0.11</v>
      </c>
      <c r="H757" s="1">
        <v>4.16</v>
      </c>
      <c r="I757" s="2">
        <v>0</v>
      </c>
      <c r="J757" s="1">
        <v>7.0000000000000007E-2</v>
      </c>
      <c r="K757" s="2">
        <v>7.9</v>
      </c>
      <c r="L757" s="2">
        <v>13.6</v>
      </c>
      <c r="M757" s="1">
        <v>1.26</v>
      </c>
      <c r="N757" s="1">
        <v>0.08</v>
      </c>
      <c r="O757" s="1">
        <v>0.15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 t="s">
        <v>3083</v>
      </c>
      <c r="W757" s="1"/>
    </row>
    <row r="758" spans="1:23" ht="24.95">
      <c r="A758" s="1">
        <v>757</v>
      </c>
      <c r="B758" s="1" t="s">
        <v>3082</v>
      </c>
      <c r="C758" s="1" t="s">
        <v>2059</v>
      </c>
      <c r="D758" s="1">
        <v>46.6</v>
      </c>
      <c r="E758" s="1">
        <v>0.12</v>
      </c>
      <c r="F758" s="1">
        <v>21.55</v>
      </c>
      <c r="G758" s="1">
        <v>0.12</v>
      </c>
      <c r="H758" s="1">
        <v>5.65</v>
      </c>
      <c r="I758" s="2">
        <v>0</v>
      </c>
      <c r="J758" s="1">
        <v>0.09</v>
      </c>
      <c r="K758" s="2">
        <v>9.5</v>
      </c>
      <c r="L758" s="2">
        <v>12.6</v>
      </c>
      <c r="M758" s="1">
        <v>0.97</v>
      </c>
      <c r="N758" s="1">
        <v>0.12</v>
      </c>
      <c r="O758" s="1">
        <v>7.0000000000000007E-2</v>
      </c>
      <c r="P758" s="1">
        <v>2.74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 t="s">
        <v>3083</v>
      </c>
      <c r="W758" s="1"/>
    </row>
    <row r="759" spans="1:23" ht="24.95">
      <c r="A759" s="1">
        <v>758</v>
      </c>
      <c r="B759" s="1" t="s">
        <v>3082</v>
      </c>
      <c r="C759" s="1" t="s">
        <v>1502</v>
      </c>
      <c r="D759" s="1">
        <v>38.01</v>
      </c>
      <c r="E759" s="1">
        <v>0</v>
      </c>
      <c r="F759" s="1">
        <v>0</v>
      </c>
      <c r="G759" s="1">
        <v>0</v>
      </c>
      <c r="H759" s="1">
        <v>0</v>
      </c>
      <c r="I759" s="2">
        <v>22.32</v>
      </c>
      <c r="J759" s="1">
        <v>0.28999999999999998</v>
      </c>
      <c r="K759" s="2">
        <v>38.869999999999997</v>
      </c>
      <c r="L759" s="2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 t="s">
        <v>3083</v>
      </c>
      <c r="W759" s="1" t="s">
        <v>3084</v>
      </c>
    </row>
    <row r="760" spans="1:23" ht="24.95">
      <c r="A760" s="1">
        <v>759</v>
      </c>
      <c r="B760" s="1" t="s">
        <v>3082</v>
      </c>
      <c r="C760" s="1" t="s">
        <v>1551</v>
      </c>
      <c r="D760" s="1">
        <v>48.47</v>
      </c>
      <c r="E760" s="1">
        <v>0</v>
      </c>
      <c r="F760" s="1">
        <v>32.74</v>
      </c>
      <c r="G760" s="1">
        <v>0</v>
      </c>
      <c r="H760" s="1">
        <v>0</v>
      </c>
      <c r="I760" s="2">
        <v>0.39</v>
      </c>
      <c r="J760" s="1">
        <v>0</v>
      </c>
      <c r="K760" s="2">
        <v>0.01</v>
      </c>
      <c r="L760" s="2">
        <v>16.21</v>
      </c>
      <c r="M760" s="1">
        <v>2.2400000000000002</v>
      </c>
      <c r="N760" s="1">
        <v>0.13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 t="s">
        <v>3083</v>
      </c>
      <c r="W760" s="1"/>
    </row>
    <row r="761" spans="1:23" ht="24.95">
      <c r="A761" s="1">
        <v>760</v>
      </c>
      <c r="B761" s="1" t="s">
        <v>3082</v>
      </c>
      <c r="C761" s="1" t="s">
        <v>2171</v>
      </c>
      <c r="D761" s="1">
        <v>51.85</v>
      </c>
      <c r="E761" s="1">
        <v>0.78</v>
      </c>
      <c r="F761" s="1">
        <v>2.2599999999999998</v>
      </c>
      <c r="G761" s="1">
        <v>0.08</v>
      </c>
      <c r="H761" s="1">
        <v>0</v>
      </c>
      <c r="I761" s="2">
        <v>7.23</v>
      </c>
      <c r="J761" s="1">
        <v>0.19</v>
      </c>
      <c r="K761" s="2">
        <v>15.37</v>
      </c>
      <c r="L761" s="2">
        <v>22.42</v>
      </c>
      <c r="M761" s="1">
        <v>0.13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 t="s">
        <v>3083</v>
      </c>
      <c r="W761" s="1" t="s">
        <v>3085</v>
      </c>
    </row>
    <row r="762" spans="1:23" ht="24.95">
      <c r="A762" s="1">
        <v>761</v>
      </c>
      <c r="B762" s="1" t="s">
        <v>3082</v>
      </c>
      <c r="C762" s="1" t="s">
        <v>2155</v>
      </c>
      <c r="D762" s="1">
        <v>54.52</v>
      </c>
      <c r="E762" s="1">
        <v>0.24</v>
      </c>
      <c r="F762" s="1">
        <v>0.92</v>
      </c>
      <c r="G762" s="1">
        <v>0.05</v>
      </c>
      <c r="H762" s="1">
        <v>0</v>
      </c>
      <c r="I762" s="2">
        <v>13.99</v>
      </c>
      <c r="J762" s="1">
        <v>0.28999999999999998</v>
      </c>
      <c r="K762" s="2">
        <v>27.99</v>
      </c>
      <c r="L762" s="2">
        <v>1.69</v>
      </c>
      <c r="M762" s="1">
        <v>0.01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 t="s">
        <v>3083</v>
      </c>
      <c r="W762" s="1"/>
    </row>
    <row r="763" spans="1:23" ht="12.4">
      <c r="A763" s="1">
        <v>762</v>
      </c>
      <c r="B763" s="1" t="s">
        <v>3086</v>
      </c>
      <c r="C763" s="1" t="s">
        <v>1496</v>
      </c>
      <c r="D763" s="1">
        <v>46.67</v>
      </c>
      <c r="E763" s="1">
        <v>1.71</v>
      </c>
      <c r="F763" s="1">
        <v>15.79</v>
      </c>
      <c r="G763" s="1">
        <v>0.02</v>
      </c>
      <c r="H763" s="1">
        <v>12.5</v>
      </c>
      <c r="I763" s="2">
        <v>8.17</v>
      </c>
      <c r="J763" s="1">
        <v>0.19</v>
      </c>
      <c r="K763" s="2">
        <v>9.39</v>
      </c>
      <c r="L763" s="2">
        <v>9.9</v>
      </c>
      <c r="M763" s="1">
        <v>2.83</v>
      </c>
      <c r="N763" s="1">
        <v>0.78</v>
      </c>
      <c r="O763" s="1">
        <v>0.71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 t="s">
        <v>3087</v>
      </c>
      <c r="W763" s="1" t="s">
        <v>3088</v>
      </c>
    </row>
    <row r="764" spans="1:23" ht="12.4">
      <c r="A764" s="1">
        <v>763</v>
      </c>
      <c r="B764" s="1" t="s">
        <v>3086</v>
      </c>
      <c r="C764" s="1" t="s">
        <v>2059</v>
      </c>
      <c r="D764" s="1">
        <v>46.11</v>
      </c>
      <c r="E764" s="1">
        <v>2.8</v>
      </c>
      <c r="F764" s="1">
        <v>14.92</v>
      </c>
      <c r="G764" s="1">
        <v>0.01</v>
      </c>
      <c r="H764" s="1">
        <v>0</v>
      </c>
      <c r="I764" s="2">
        <v>12.66</v>
      </c>
      <c r="J764" s="1">
        <v>0.22</v>
      </c>
      <c r="K764" s="2">
        <v>5.07</v>
      </c>
      <c r="L764" s="2">
        <v>9.98</v>
      </c>
      <c r="M764" s="1">
        <v>3.96</v>
      </c>
      <c r="N764" s="1">
        <v>1.43</v>
      </c>
      <c r="O764" s="1">
        <v>1.02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 t="s">
        <v>3087</v>
      </c>
      <c r="W764" s="1"/>
    </row>
    <row r="765" spans="1:23" ht="12.4">
      <c r="A765" s="1">
        <v>764</v>
      </c>
      <c r="B765" s="1" t="s">
        <v>3086</v>
      </c>
      <c r="C765" s="1" t="s">
        <v>1551</v>
      </c>
      <c r="D765" s="1">
        <v>49.8</v>
      </c>
      <c r="E765" s="1">
        <v>0.1</v>
      </c>
      <c r="F765" s="1">
        <v>31.87</v>
      </c>
      <c r="G765" s="1">
        <v>0.01</v>
      </c>
      <c r="H765" s="1">
        <v>0</v>
      </c>
      <c r="I765" s="2">
        <v>0.85</v>
      </c>
      <c r="J765" s="1">
        <v>0.02</v>
      </c>
      <c r="K765" s="2">
        <v>0.15</v>
      </c>
      <c r="L765" s="2">
        <v>14.19</v>
      </c>
      <c r="M765" s="1">
        <v>3.22</v>
      </c>
      <c r="N765" s="1">
        <v>0.13</v>
      </c>
      <c r="O765" s="1">
        <v>0.02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 t="s">
        <v>3087</v>
      </c>
      <c r="W765" s="1"/>
    </row>
    <row r="766" spans="1:23" ht="12.4">
      <c r="A766" s="1">
        <v>765</v>
      </c>
      <c r="B766" s="1" t="s">
        <v>3086</v>
      </c>
      <c r="C766" s="1" t="s">
        <v>1502</v>
      </c>
      <c r="D766" s="1">
        <v>37.71</v>
      </c>
      <c r="E766" s="1">
        <v>0.17</v>
      </c>
      <c r="F766" s="1">
        <v>0.56000000000000005</v>
      </c>
      <c r="G766" s="1">
        <v>0.01</v>
      </c>
      <c r="H766" s="1">
        <v>0</v>
      </c>
      <c r="I766" s="2">
        <v>23.16</v>
      </c>
      <c r="J766" s="1">
        <v>0.4</v>
      </c>
      <c r="K766" s="2">
        <v>36.1</v>
      </c>
      <c r="L766" s="2">
        <v>0.72</v>
      </c>
      <c r="M766" s="1">
        <v>0.11</v>
      </c>
      <c r="N766" s="1">
        <v>0.06</v>
      </c>
      <c r="O766" s="1">
        <v>0.41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 t="s">
        <v>3087</v>
      </c>
      <c r="W766" s="1"/>
    </row>
    <row r="767" spans="1:23" ht="12.4">
      <c r="A767" s="1">
        <v>766</v>
      </c>
      <c r="B767" s="1" t="s">
        <v>3086</v>
      </c>
      <c r="C767" s="1" t="s">
        <v>3089</v>
      </c>
      <c r="D767" s="1">
        <v>1.94</v>
      </c>
      <c r="E767" s="1">
        <v>14.36</v>
      </c>
      <c r="F767" s="1">
        <v>6.14</v>
      </c>
      <c r="G767" s="1">
        <v>1.05</v>
      </c>
      <c r="H767" s="1">
        <v>0</v>
      </c>
      <c r="I767" s="2">
        <v>65.349999999999994</v>
      </c>
      <c r="J767" s="1">
        <v>0.46</v>
      </c>
      <c r="K767" s="2">
        <v>4.7699999999999996</v>
      </c>
      <c r="L767" s="2">
        <v>0.48</v>
      </c>
      <c r="M767" s="1">
        <v>0.18</v>
      </c>
      <c r="N767" s="1">
        <v>0.09</v>
      </c>
      <c r="O767" s="1">
        <v>0.05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 t="s">
        <v>3087</v>
      </c>
      <c r="W767" s="1"/>
    </row>
    <row r="768" spans="1:23" ht="12.4">
      <c r="A768" s="1">
        <v>767</v>
      </c>
      <c r="B768" s="5" t="s">
        <v>3090</v>
      </c>
      <c r="C768" s="1" t="s">
        <v>3091</v>
      </c>
      <c r="D768" s="1">
        <v>0.11</v>
      </c>
      <c r="E768" s="1">
        <v>0</v>
      </c>
      <c r="F768" s="1">
        <v>0.01</v>
      </c>
      <c r="G768" s="1">
        <v>0</v>
      </c>
      <c r="H768" s="1">
        <v>0</v>
      </c>
      <c r="I768" s="2">
        <v>0</v>
      </c>
      <c r="J768" s="1">
        <v>0.01</v>
      </c>
      <c r="K768" s="2">
        <v>1.41</v>
      </c>
      <c r="L768" s="2">
        <v>98.04</v>
      </c>
      <c r="M768" s="1">
        <v>0.41</v>
      </c>
      <c r="N768" s="1">
        <v>0</v>
      </c>
      <c r="O768" s="1">
        <v>0.02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 t="s">
        <v>3092</v>
      </c>
      <c r="W768" s="1"/>
    </row>
    <row r="769" spans="1:23" ht="12.4">
      <c r="A769" s="1">
        <v>768</v>
      </c>
      <c r="B769" s="5" t="s">
        <v>3093</v>
      </c>
      <c r="C769" s="1" t="s">
        <v>3091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2">
        <v>0</v>
      </c>
      <c r="J769" s="1">
        <v>7.0000000000000007E-2</v>
      </c>
      <c r="K769" s="2">
        <v>0.28999999999999998</v>
      </c>
      <c r="L769" s="2">
        <v>98.57</v>
      </c>
      <c r="M769" s="1">
        <v>0.36</v>
      </c>
      <c r="N769" s="1">
        <v>0</v>
      </c>
      <c r="O769" s="1">
        <v>0.03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 t="s">
        <v>3092</v>
      </c>
      <c r="W769" s="1"/>
    </row>
    <row r="770" spans="1:23" ht="12.4">
      <c r="A770" s="1">
        <v>769</v>
      </c>
      <c r="B770" s="5" t="s">
        <v>3094</v>
      </c>
      <c r="C770" s="1" t="s">
        <v>3095</v>
      </c>
      <c r="D770" s="1">
        <v>31.21</v>
      </c>
      <c r="E770" s="1">
        <v>0</v>
      </c>
      <c r="F770" s="1">
        <v>0</v>
      </c>
      <c r="G770" s="1">
        <v>0</v>
      </c>
      <c r="H770" s="1">
        <v>0</v>
      </c>
      <c r="I770" s="2">
        <v>0</v>
      </c>
      <c r="J770" s="1">
        <v>0</v>
      </c>
      <c r="K770" s="2">
        <v>0.01</v>
      </c>
      <c r="L770" s="2">
        <v>53.79</v>
      </c>
      <c r="M770" s="1">
        <v>14.63</v>
      </c>
      <c r="N770" s="1">
        <v>0.02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 t="s">
        <v>3092</v>
      </c>
      <c r="W770" s="1"/>
    </row>
    <row r="771" spans="1:23" ht="12.4">
      <c r="A771" s="1">
        <v>770</v>
      </c>
      <c r="B771" s="5" t="s">
        <v>3096</v>
      </c>
      <c r="C771" s="1" t="s">
        <v>3097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2">
        <v>0</v>
      </c>
      <c r="J771" s="1">
        <v>0</v>
      </c>
      <c r="K771" s="2">
        <v>41.3</v>
      </c>
      <c r="L771" s="2">
        <v>3.51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 t="s">
        <v>3092</v>
      </c>
      <c r="W771" s="1"/>
    </row>
    <row r="772" spans="1:23" ht="12.4">
      <c r="A772" s="1">
        <v>771</v>
      </c>
      <c r="B772" s="5" t="s">
        <v>3098</v>
      </c>
      <c r="C772" s="1" t="s">
        <v>3099</v>
      </c>
      <c r="D772" s="1">
        <v>3.45</v>
      </c>
      <c r="E772" s="1">
        <v>0</v>
      </c>
      <c r="F772" s="1">
        <v>23.45</v>
      </c>
      <c r="G772" s="1">
        <v>0</v>
      </c>
      <c r="H772" s="1">
        <v>2.88</v>
      </c>
      <c r="I772" s="2">
        <v>0.96</v>
      </c>
      <c r="J772" s="1">
        <v>0.01</v>
      </c>
      <c r="K772" s="2">
        <v>27.2</v>
      </c>
      <c r="L772" s="2">
        <v>2.1800000000000002</v>
      </c>
      <c r="M772" s="1">
        <v>0</v>
      </c>
      <c r="N772" s="1">
        <v>0</v>
      </c>
      <c r="O772" s="1">
        <v>0.04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 t="s">
        <v>3092</v>
      </c>
      <c r="W772" s="1"/>
    </row>
    <row r="773" spans="1:23" ht="12.4">
      <c r="A773" s="1">
        <v>772</v>
      </c>
      <c r="B773" s="5" t="s">
        <v>3100</v>
      </c>
      <c r="C773" s="1" t="s">
        <v>3101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2">
        <v>0.01</v>
      </c>
      <c r="J773" s="1">
        <v>0</v>
      </c>
      <c r="K773" s="2">
        <v>0.09</v>
      </c>
      <c r="L773" s="2">
        <v>0.38</v>
      </c>
      <c r="M773" s="1">
        <v>53.64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 t="s">
        <v>3092</v>
      </c>
      <c r="W773" s="1"/>
    </row>
    <row r="774" spans="1:23" ht="12.4">
      <c r="A774" s="1">
        <v>773</v>
      </c>
      <c r="B774" s="5" t="s">
        <v>3102</v>
      </c>
      <c r="C774" s="1" t="s">
        <v>3103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2">
        <v>0.01</v>
      </c>
      <c r="J774" s="1">
        <v>0.01</v>
      </c>
      <c r="K774" s="2">
        <v>0.05</v>
      </c>
      <c r="L774" s="2">
        <v>0.31</v>
      </c>
      <c r="M774" s="1">
        <v>47.98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 t="s">
        <v>3092</v>
      </c>
      <c r="W774" s="1"/>
    </row>
    <row r="775" spans="1:23" ht="12.4">
      <c r="A775" s="1">
        <v>774</v>
      </c>
      <c r="B775" s="5" t="s">
        <v>3104</v>
      </c>
      <c r="C775" s="1" t="s">
        <v>3105</v>
      </c>
      <c r="D775" s="1">
        <v>0.01</v>
      </c>
      <c r="E775" s="1">
        <v>0.04</v>
      </c>
      <c r="F775" s="1">
        <v>0</v>
      </c>
      <c r="G775" s="1">
        <v>0</v>
      </c>
      <c r="H775" s="1">
        <v>0.18</v>
      </c>
      <c r="I775" s="2">
        <v>0</v>
      </c>
      <c r="J775" s="1">
        <v>0</v>
      </c>
      <c r="K775" s="2">
        <v>73.430000000000007</v>
      </c>
      <c r="L775" s="2">
        <v>0.1</v>
      </c>
      <c r="M775" s="1">
        <v>0.04</v>
      </c>
      <c r="N775" s="1">
        <v>1.24</v>
      </c>
      <c r="O775" s="1">
        <v>0.04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 t="s">
        <v>3092</v>
      </c>
      <c r="W775" s="1"/>
    </row>
    <row r="776" spans="1:23" ht="12.4">
      <c r="A776" s="1">
        <v>775</v>
      </c>
      <c r="B776" s="5" t="s">
        <v>3106</v>
      </c>
      <c r="C776" s="1" t="s">
        <v>3107</v>
      </c>
      <c r="D776" s="1">
        <v>0</v>
      </c>
      <c r="E776" s="1">
        <v>0</v>
      </c>
      <c r="F776" s="1">
        <v>0</v>
      </c>
      <c r="G776" s="1">
        <v>0</v>
      </c>
      <c r="H776" s="1">
        <v>13.2</v>
      </c>
      <c r="I776" s="2">
        <v>0</v>
      </c>
      <c r="J776" s="1">
        <v>1.8</v>
      </c>
      <c r="K776" s="2">
        <v>42.79</v>
      </c>
      <c r="L776" s="2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 t="s">
        <v>3092</v>
      </c>
      <c r="W776" s="1"/>
    </row>
    <row r="777" spans="1:23" ht="12.4">
      <c r="A777" s="1">
        <v>776</v>
      </c>
      <c r="B777" s="5" t="s">
        <v>3108</v>
      </c>
      <c r="C777" s="1" t="s">
        <v>1496</v>
      </c>
      <c r="D777" s="1">
        <v>47.71</v>
      </c>
      <c r="E777" s="1">
        <v>1.59</v>
      </c>
      <c r="F777" s="1">
        <v>15.02</v>
      </c>
      <c r="G777" s="1">
        <v>0.04</v>
      </c>
      <c r="H777" s="1">
        <v>3.44</v>
      </c>
      <c r="I777" s="2">
        <v>7.35</v>
      </c>
      <c r="J777" s="1">
        <v>0.18</v>
      </c>
      <c r="K777" s="2">
        <v>9.01</v>
      </c>
      <c r="L777" s="2">
        <v>10.42</v>
      </c>
      <c r="M777" s="1">
        <v>2.7</v>
      </c>
      <c r="N777" s="1">
        <v>0.82</v>
      </c>
      <c r="O777" s="1">
        <v>0.66</v>
      </c>
      <c r="P777" s="1">
        <v>0.71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 t="s">
        <v>3109</v>
      </c>
      <c r="W777" s="1" t="s">
        <v>3110</v>
      </c>
    </row>
    <row r="778" spans="1:23" ht="12.4">
      <c r="A778" s="1">
        <v>777</v>
      </c>
      <c r="B778" s="5" t="s">
        <v>3111</v>
      </c>
      <c r="C778" s="1" t="s">
        <v>1496</v>
      </c>
      <c r="D778" s="1">
        <v>47.2</v>
      </c>
      <c r="E778" s="1">
        <v>2.2999999999999998</v>
      </c>
      <c r="F778" s="1">
        <v>16.7</v>
      </c>
      <c r="G778" s="1">
        <v>0</v>
      </c>
      <c r="H778" s="1">
        <v>5.9</v>
      </c>
      <c r="I778" s="2">
        <v>6.2</v>
      </c>
      <c r="J778" s="1">
        <v>0.21</v>
      </c>
      <c r="K778" s="2">
        <v>6.5</v>
      </c>
      <c r="L778" s="2">
        <v>9.1999999999999993</v>
      </c>
      <c r="M778" s="1">
        <v>3.5</v>
      </c>
      <c r="N778" s="1">
        <v>1.1000000000000001</v>
      </c>
      <c r="O778" s="1">
        <v>0.52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 t="s">
        <v>3109</v>
      </c>
      <c r="W778" s="1"/>
    </row>
    <row r="779" spans="1:23" ht="12.4">
      <c r="A779" s="1">
        <v>778</v>
      </c>
      <c r="B779" s="5" t="s">
        <v>3112</v>
      </c>
      <c r="C779" s="1" t="s">
        <v>1496</v>
      </c>
      <c r="D779" s="1">
        <v>48.28</v>
      </c>
      <c r="E779" s="1">
        <v>0.05</v>
      </c>
      <c r="F779" s="1">
        <v>32.01</v>
      </c>
      <c r="G779" s="1">
        <v>0</v>
      </c>
      <c r="H779" s="1">
        <v>0.09</v>
      </c>
      <c r="I779" s="2">
        <v>1.34</v>
      </c>
      <c r="J779" s="1">
        <v>0.01</v>
      </c>
      <c r="K779" s="2">
        <v>0.22</v>
      </c>
      <c r="L779" s="2">
        <v>15.43</v>
      </c>
      <c r="M779" s="1">
        <v>2.38</v>
      </c>
      <c r="N779" s="1">
        <v>0.16</v>
      </c>
      <c r="O779" s="1">
        <v>0.01</v>
      </c>
      <c r="P779" s="1">
        <v>0.39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 t="s">
        <v>3113</v>
      </c>
      <c r="W779" s="1"/>
    </row>
    <row r="780" spans="1:23" ht="12.4">
      <c r="A780" s="1">
        <v>779</v>
      </c>
      <c r="B780" s="5" t="s">
        <v>3114</v>
      </c>
      <c r="C780" s="1" t="s">
        <v>1496</v>
      </c>
      <c r="D780" s="1">
        <v>48.22</v>
      </c>
      <c r="E780" s="1">
        <v>0.05</v>
      </c>
      <c r="F780" s="1">
        <v>33.01</v>
      </c>
      <c r="G780" s="1">
        <v>0</v>
      </c>
      <c r="H780" s="1">
        <v>0.09</v>
      </c>
      <c r="I780" s="2">
        <v>1.34</v>
      </c>
      <c r="J780" s="1">
        <v>0.01</v>
      </c>
      <c r="K780" s="2">
        <v>0.22</v>
      </c>
      <c r="L780" s="2">
        <v>15.43</v>
      </c>
      <c r="M780" s="1">
        <v>2.38</v>
      </c>
      <c r="N780" s="1">
        <v>0.16</v>
      </c>
      <c r="O780" s="1">
        <v>0.01</v>
      </c>
      <c r="P780" s="1">
        <v>0.39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 t="s">
        <v>3113</v>
      </c>
      <c r="W780" s="1"/>
    </row>
    <row r="781" spans="1:23" ht="12.4">
      <c r="A781" s="1">
        <v>780</v>
      </c>
      <c r="B781" s="5" t="s">
        <v>3115</v>
      </c>
      <c r="C781" s="1" t="s">
        <v>1496</v>
      </c>
      <c r="D781" s="1">
        <v>47.49</v>
      </c>
      <c r="E781" s="1">
        <v>0.14000000000000001</v>
      </c>
      <c r="F781" s="1">
        <v>22.59</v>
      </c>
      <c r="G781" s="1">
        <v>0.02</v>
      </c>
      <c r="H781" s="1">
        <v>0.73</v>
      </c>
      <c r="I781" s="2">
        <v>7.8</v>
      </c>
      <c r="J781" s="1">
        <v>0.17</v>
      </c>
      <c r="K781" s="2">
        <v>10.24</v>
      </c>
      <c r="L781" s="2">
        <v>8.02</v>
      </c>
      <c r="M781" s="1">
        <v>1.65</v>
      </c>
      <c r="N781" s="1">
        <v>7.0000000000000007E-2</v>
      </c>
      <c r="O781" s="1">
        <v>0.06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 t="s">
        <v>3116</v>
      </c>
      <c r="W781" s="1" t="s">
        <v>3117</v>
      </c>
    </row>
    <row r="782" spans="1:23" ht="12.4">
      <c r="A782" s="1">
        <v>781</v>
      </c>
      <c r="B782" s="5" t="s">
        <v>3118</v>
      </c>
      <c r="C782" s="1" t="s">
        <v>1496</v>
      </c>
      <c r="D782" s="1">
        <v>49.14</v>
      </c>
      <c r="E782" s="1">
        <v>1.91</v>
      </c>
      <c r="F782" s="1">
        <v>16.23</v>
      </c>
      <c r="G782" s="1">
        <v>0</v>
      </c>
      <c r="H782" s="1">
        <v>4.7699999999999996</v>
      </c>
      <c r="I782" s="2">
        <v>8.3000000000000007</v>
      </c>
      <c r="J782" s="1">
        <v>0.19</v>
      </c>
      <c r="K782" s="2">
        <v>3.84</v>
      </c>
      <c r="L782" s="2">
        <v>9.1300000000000008</v>
      </c>
      <c r="M782" s="1">
        <v>2.75</v>
      </c>
      <c r="N782" s="1">
        <v>1.01</v>
      </c>
      <c r="O782" s="1">
        <v>0.44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 t="s">
        <v>3116</v>
      </c>
      <c r="W782" s="1" t="s">
        <v>3119</v>
      </c>
    </row>
    <row r="783" spans="1:23" ht="12.4">
      <c r="A783" s="1">
        <v>782</v>
      </c>
      <c r="B783" s="5" t="s">
        <v>3120</v>
      </c>
      <c r="C783" s="1" t="s">
        <v>1496</v>
      </c>
      <c r="D783" s="1">
        <v>49.13</v>
      </c>
      <c r="E783" s="1">
        <v>5.47</v>
      </c>
      <c r="F783" s="1">
        <v>12.33</v>
      </c>
      <c r="G783" s="1">
        <v>0.04</v>
      </c>
      <c r="H783" s="1">
        <v>9.9</v>
      </c>
      <c r="I783" s="2">
        <v>6.02</v>
      </c>
      <c r="J783" s="1">
        <v>0.36</v>
      </c>
      <c r="K783" s="2">
        <v>6.15</v>
      </c>
      <c r="L783" s="2">
        <v>6.67</v>
      </c>
      <c r="M783" s="1">
        <v>2.16</v>
      </c>
      <c r="N783" s="1">
        <v>0.32</v>
      </c>
      <c r="O783" s="1">
        <v>0.12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 t="s">
        <v>3116</v>
      </c>
      <c r="W783" s="1" t="s">
        <v>3121</v>
      </c>
    </row>
    <row r="784" spans="1:23" ht="12.4">
      <c r="A784" s="1">
        <v>783</v>
      </c>
      <c r="B784" s="5" t="s">
        <v>3122</v>
      </c>
      <c r="C784" s="1" t="s">
        <v>1496</v>
      </c>
      <c r="D784" s="1">
        <v>34.75</v>
      </c>
      <c r="E784" s="1">
        <v>3.5</v>
      </c>
      <c r="F784" s="1">
        <v>21</v>
      </c>
      <c r="G784" s="1">
        <v>0</v>
      </c>
      <c r="H784" s="1">
        <v>10.5</v>
      </c>
      <c r="I784" s="2">
        <v>3</v>
      </c>
      <c r="J784" s="1">
        <v>0.25</v>
      </c>
      <c r="K784" s="2">
        <v>3</v>
      </c>
      <c r="L784" s="2">
        <v>5.5</v>
      </c>
      <c r="M784" s="1">
        <v>2.25</v>
      </c>
      <c r="N784" s="1">
        <v>0.55000000000000004</v>
      </c>
      <c r="O784" s="1">
        <v>0.8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 t="s">
        <v>3123</v>
      </c>
      <c r="W784" s="1"/>
    </row>
    <row r="785" spans="1:23" ht="12.4">
      <c r="A785" s="1">
        <v>784</v>
      </c>
      <c r="B785" s="5" t="s">
        <v>3124</v>
      </c>
      <c r="C785" s="1" t="s">
        <v>1496</v>
      </c>
      <c r="D785" s="1">
        <v>47.9</v>
      </c>
      <c r="E785" s="1">
        <v>1.58</v>
      </c>
      <c r="F785" s="1">
        <v>17.2</v>
      </c>
      <c r="G785" s="1">
        <v>0</v>
      </c>
      <c r="H785" s="1">
        <v>11.7</v>
      </c>
      <c r="I785" s="2">
        <v>0</v>
      </c>
      <c r="J785" s="1">
        <v>0.24</v>
      </c>
      <c r="K785" s="2">
        <v>6.44</v>
      </c>
      <c r="L785" s="2">
        <v>8.93</v>
      </c>
      <c r="M785" s="1">
        <v>3.95</v>
      </c>
      <c r="N785" s="1">
        <v>2.42</v>
      </c>
      <c r="O785" s="1">
        <v>0.98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 t="s">
        <v>3125</v>
      </c>
      <c r="W785" s="1"/>
    </row>
    <row r="786" spans="1:23" ht="24.95">
      <c r="A786" s="1">
        <v>785</v>
      </c>
      <c r="B786" s="1" t="s">
        <v>3126</v>
      </c>
      <c r="C786" s="1" t="s">
        <v>1496</v>
      </c>
      <c r="D786" s="1">
        <v>47.9</v>
      </c>
      <c r="E786" s="1">
        <v>0.12</v>
      </c>
      <c r="F786" s="1">
        <v>0.91</v>
      </c>
      <c r="G786" s="1">
        <v>0.63</v>
      </c>
      <c r="H786" s="1">
        <v>0</v>
      </c>
      <c r="I786" s="2">
        <v>17.3</v>
      </c>
      <c r="J786" s="1">
        <v>0.56000000000000005</v>
      </c>
      <c r="K786" s="2">
        <v>31</v>
      </c>
      <c r="L786" s="2">
        <v>1.37</v>
      </c>
      <c r="M786" s="1">
        <v>0.02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 t="s">
        <v>3127</v>
      </c>
      <c r="W786" s="1"/>
    </row>
    <row r="787" spans="1:23" ht="12.4">
      <c r="A787" s="1">
        <v>786</v>
      </c>
      <c r="B787" s="5" t="s">
        <v>3128</v>
      </c>
      <c r="C787" s="1" t="s">
        <v>1496</v>
      </c>
      <c r="D787" s="1">
        <v>46.67</v>
      </c>
      <c r="E787" s="1">
        <v>1.71</v>
      </c>
      <c r="F787" s="1">
        <v>15.79</v>
      </c>
      <c r="G787" s="1">
        <v>0.02</v>
      </c>
      <c r="H787" s="1">
        <v>12.5</v>
      </c>
      <c r="I787" s="2">
        <v>8.17</v>
      </c>
      <c r="J787" s="1">
        <v>0.19</v>
      </c>
      <c r="K787" s="2">
        <v>9.39</v>
      </c>
      <c r="L787" s="2">
        <v>9.9</v>
      </c>
      <c r="M787" s="1">
        <v>2.83</v>
      </c>
      <c r="N787" s="1">
        <v>0.78</v>
      </c>
      <c r="O787" s="1">
        <v>0.71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 t="s">
        <v>3087</v>
      </c>
      <c r="W787" s="1" t="s">
        <v>3129</v>
      </c>
    </row>
    <row r="788" spans="1:23" ht="12.4">
      <c r="A788" s="1">
        <v>787</v>
      </c>
      <c r="B788" s="1" t="s">
        <v>3128</v>
      </c>
      <c r="C788" s="1" t="s">
        <v>1551</v>
      </c>
      <c r="D788" s="1">
        <v>49.8</v>
      </c>
      <c r="E788" s="1">
        <v>0.1</v>
      </c>
      <c r="F788" s="1">
        <v>31.87</v>
      </c>
      <c r="G788" s="1">
        <v>0.01</v>
      </c>
      <c r="H788" s="1">
        <v>0</v>
      </c>
      <c r="I788" s="2">
        <v>0.85</v>
      </c>
      <c r="J788" s="1">
        <v>0.02</v>
      </c>
      <c r="K788" s="2">
        <v>0.15</v>
      </c>
      <c r="L788" s="2">
        <v>14.19</v>
      </c>
      <c r="M788" s="1">
        <v>3.22</v>
      </c>
      <c r="N788" s="1">
        <v>0.13</v>
      </c>
      <c r="O788" s="1">
        <v>0.02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 t="s">
        <v>3087</v>
      </c>
      <c r="W788" s="1"/>
    </row>
    <row r="789" spans="1:23" ht="12.4">
      <c r="A789" s="1">
        <v>788</v>
      </c>
      <c r="B789" s="1" t="s">
        <v>3128</v>
      </c>
      <c r="C789" s="1" t="s">
        <v>2059</v>
      </c>
      <c r="D789" s="1">
        <v>46.11</v>
      </c>
      <c r="E789" s="1">
        <v>2.8</v>
      </c>
      <c r="F789" s="1">
        <v>14.92</v>
      </c>
      <c r="G789" s="1">
        <v>0.01</v>
      </c>
      <c r="H789" s="1">
        <v>0</v>
      </c>
      <c r="I789" s="2">
        <v>12.66</v>
      </c>
      <c r="J789" s="1">
        <v>0.22</v>
      </c>
      <c r="K789" s="2">
        <v>5.07</v>
      </c>
      <c r="L789" s="2">
        <v>9.98</v>
      </c>
      <c r="M789" s="1">
        <v>3.96</v>
      </c>
      <c r="N789" s="1">
        <v>1.43</v>
      </c>
      <c r="O789" s="1">
        <v>1.02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 t="s">
        <v>3087</v>
      </c>
      <c r="W789" s="1"/>
    </row>
    <row r="790" spans="1:23" ht="12.4">
      <c r="A790" s="1">
        <v>789</v>
      </c>
      <c r="B790" s="1" t="s">
        <v>3128</v>
      </c>
      <c r="C790" s="1" t="s">
        <v>2171</v>
      </c>
      <c r="D790" s="1">
        <v>47.18</v>
      </c>
      <c r="E790" s="1">
        <v>2.4700000000000002</v>
      </c>
      <c r="F790" s="1">
        <v>5.56</v>
      </c>
      <c r="G790" s="1">
        <v>0.08</v>
      </c>
      <c r="H790" s="1">
        <v>0</v>
      </c>
      <c r="I790" s="2">
        <v>10.31</v>
      </c>
      <c r="J790" s="1">
        <v>0.22</v>
      </c>
      <c r="K790" s="2">
        <v>12.31</v>
      </c>
      <c r="L790" s="2">
        <v>20.27</v>
      </c>
      <c r="M790" s="1">
        <v>0.57999999999999996</v>
      </c>
      <c r="N790" s="1">
        <v>0.08</v>
      </c>
      <c r="O790" s="1">
        <v>0.28000000000000003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 t="s">
        <v>3087</v>
      </c>
      <c r="W790" s="1"/>
    </row>
    <row r="791" spans="1:23" ht="12.4">
      <c r="A791" s="1">
        <v>790</v>
      </c>
      <c r="B791" s="1" t="s">
        <v>3128</v>
      </c>
      <c r="C791" s="1" t="s">
        <v>1502</v>
      </c>
      <c r="D791" s="1">
        <v>37.71</v>
      </c>
      <c r="E791" s="1">
        <v>0.17</v>
      </c>
      <c r="F791" s="1">
        <v>0.56000000000000005</v>
      </c>
      <c r="G791" s="1">
        <v>0.01</v>
      </c>
      <c r="H791" s="1">
        <v>0</v>
      </c>
      <c r="I791" s="2">
        <v>23.16</v>
      </c>
      <c r="J791" s="1">
        <v>0.4</v>
      </c>
      <c r="K791" s="2">
        <v>36.1</v>
      </c>
      <c r="L791" s="2">
        <v>0.72</v>
      </c>
      <c r="M791" s="1">
        <v>0.11</v>
      </c>
      <c r="N791" s="1">
        <v>0.06</v>
      </c>
      <c r="O791" s="1">
        <v>0.41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 t="s">
        <v>3087</v>
      </c>
      <c r="W791" s="1"/>
    </row>
    <row r="792" spans="1:23" ht="12.4">
      <c r="A792" s="1">
        <v>791</v>
      </c>
      <c r="B792" s="1" t="s">
        <v>3128</v>
      </c>
      <c r="C792" s="1" t="s">
        <v>3089</v>
      </c>
      <c r="D792" s="1">
        <v>1.94</v>
      </c>
      <c r="E792" s="1">
        <v>14.36</v>
      </c>
      <c r="F792" s="1">
        <v>6.14</v>
      </c>
      <c r="G792" s="1">
        <v>1.05</v>
      </c>
      <c r="H792" s="1">
        <v>0</v>
      </c>
      <c r="I792" s="2">
        <v>65.349999999999994</v>
      </c>
      <c r="J792" s="1">
        <v>0.46</v>
      </c>
      <c r="K792" s="2">
        <v>4.7699999999999996</v>
      </c>
      <c r="L792" s="2">
        <v>0.48</v>
      </c>
      <c r="M792" s="1">
        <v>0.18</v>
      </c>
      <c r="N792" s="1">
        <v>0.09</v>
      </c>
      <c r="O792" s="1">
        <v>0.05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 t="s">
        <v>3087</v>
      </c>
      <c r="W792" s="1"/>
    </row>
    <row r="793" spans="1:23" ht="12.4">
      <c r="A793" s="1">
        <v>792</v>
      </c>
      <c r="B793" s="5" t="s">
        <v>3130</v>
      </c>
      <c r="C793" s="1" t="s">
        <v>1496</v>
      </c>
      <c r="D793" s="1">
        <v>46.67</v>
      </c>
      <c r="E793" s="1">
        <v>1.71</v>
      </c>
      <c r="F793" s="1">
        <v>15.79</v>
      </c>
      <c r="G793" s="1">
        <v>0.02</v>
      </c>
      <c r="H793" s="1">
        <v>12.5</v>
      </c>
      <c r="I793" s="2">
        <v>8.17</v>
      </c>
      <c r="J793" s="1">
        <v>0.19</v>
      </c>
      <c r="K793" s="2">
        <v>9.39</v>
      </c>
      <c r="L793" s="2">
        <v>9.9</v>
      </c>
      <c r="M793" s="1">
        <v>2.83</v>
      </c>
      <c r="N793" s="1">
        <v>0.78</v>
      </c>
      <c r="O793" s="1">
        <v>0.71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 t="s">
        <v>3087</v>
      </c>
      <c r="W793" s="1" t="s">
        <v>3129</v>
      </c>
    </row>
    <row r="794" spans="1:23" ht="12.4">
      <c r="A794" s="1">
        <v>793</v>
      </c>
      <c r="B794" s="5" t="s">
        <v>3131</v>
      </c>
      <c r="C794" s="1" t="s">
        <v>1496</v>
      </c>
      <c r="D794" s="1">
        <v>46.7</v>
      </c>
      <c r="E794" s="1">
        <v>0.41</v>
      </c>
      <c r="F794" s="1">
        <v>24.4</v>
      </c>
      <c r="G794" s="1">
        <v>0.11</v>
      </c>
      <c r="H794" s="1">
        <v>4.6100000000000003</v>
      </c>
      <c r="I794" s="2">
        <v>0</v>
      </c>
      <c r="J794" s="1">
        <v>7.0000000000000007E-2</v>
      </c>
      <c r="K794" s="2">
        <v>7.9</v>
      </c>
      <c r="L794" s="2">
        <v>13.6</v>
      </c>
      <c r="M794" s="1">
        <v>1.26</v>
      </c>
      <c r="N794" s="1">
        <v>0.08</v>
      </c>
      <c r="O794" s="1">
        <v>0.15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 t="s">
        <v>3087</v>
      </c>
      <c r="W794" s="1"/>
    </row>
    <row r="795" spans="1:23" ht="24.95">
      <c r="A795" s="1">
        <v>794</v>
      </c>
      <c r="B795" s="5" t="s">
        <v>3131</v>
      </c>
      <c r="C795" s="1" t="s">
        <v>2059</v>
      </c>
      <c r="D795" s="1">
        <v>46.6</v>
      </c>
      <c r="E795" s="1">
        <v>0.12</v>
      </c>
      <c r="F795" s="1">
        <v>21.55</v>
      </c>
      <c r="G795" s="1">
        <v>0.12</v>
      </c>
      <c r="H795" s="1">
        <v>5.65</v>
      </c>
      <c r="I795" s="2">
        <v>0</v>
      </c>
      <c r="J795" s="1">
        <v>0.09</v>
      </c>
      <c r="K795" s="2">
        <v>9.5</v>
      </c>
      <c r="L795" s="2">
        <v>12.6</v>
      </c>
      <c r="M795" s="1">
        <v>0.97</v>
      </c>
      <c r="N795" s="1">
        <v>0.12</v>
      </c>
      <c r="O795" s="1">
        <v>7.0000000000000007E-2</v>
      </c>
      <c r="P795" s="1">
        <v>2.74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 t="s">
        <v>3083</v>
      </c>
      <c r="W795" s="1"/>
    </row>
    <row r="796" spans="1:23" ht="24.95">
      <c r="A796" s="1">
        <v>795</v>
      </c>
      <c r="B796" s="1" t="s">
        <v>3131</v>
      </c>
      <c r="C796" s="1" t="s">
        <v>1551</v>
      </c>
      <c r="D796" s="1">
        <v>48.48</v>
      </c>
      <c r="E796" s="1">
        <v>0</v>
      </c>
      <c r="F796" s="1">
        <v>32.75</v>
      </c>
      <c r="G796" s="1">
        <v>0</v>
      </c>
      <c r="H796" s="1">
        <v>0</v>
      </c>
      <c r="I796" s="2">
        <v>0.39</v>
      </c>
      <c r="J796" s="1">
        <v>0</v>
      </c>
      <c r="K796" s="2">
        <v>0.01</v>
      </c>
      <c r="L796" s="2">
        <v>16.21</v>
      </c>
      <c r="M796" s="1">
        <v>2.2400000000000002</v>
      </c>
      <c r="N796" s="1">
        <v>0.13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 t="s">
        <v>3083</v>
      </c>
      <c r="W796" s="1"/>
    </row>
    <row r="797" spans="1:23" ht="24.95">
      <c r="A797" s="1">
        <v>796</v>
      </c>
      <c r="B797" s="1" t="s">
        <v>3131</v>
      </c>
      <c r="C797" s="1" t="s">
        <v>1502</v>
      </c>
      <c r="D797" s="1">
        <v>38.01</v>
      </c>
      <c r="E797" s="1">
        <v>0</v>
      </c>
      <c r="F797" s="1">
        <v>0</v>
      </c>
      <c r="G797" s="1">
        <v>0</v>
      </c>
      <c r="H797" s="1">
        <v>0</v>
      </c>
      <c r="I797" s="2">
        <v>22.32</v>
      </c>
      <c r="J797" s="1">
        <v>0.28999999999999998</v>
      </c>
      <c r="K797" s="2">
        <v>38.869999999999997</v>
      </c>
      <c r="L797" s="2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 t="s">
        <v>3083</v>
      </c>
      <c r="W797" s="1" t="s">
        <v>3084</v>
      </c>
    </row>
    <row r="798" spans="1:23" ht="24.95">
      <c r="A798" s="1">
        <v>797</v>
      </c>
      <c r="B798" s="1" t="s">
        <v>3131</v>
      </c>
      <c r="C798" s="1" t="s">
        <v>2171</v>
      </c>
      <c r="D798" s="1">
        <v>51.85</v>
      </c>
      <c r="E798" s="1">
        <v>0.78</v>
      </c>
      <c r="F798" s="1">
        <v>2.2599999999999998</v>
      </c>
      <c r="G798" s="1">
        <v>0.08</v>
      </c>
      <c r="H798" s="1">
        <v>0</v>
      </c>
      <c r="I798" s="2">
        <v>7.23</v>
      </c>
      <c r="J798" s="1">
        <v>0.19</v>
      </c>
      <c r="K798" s="2">
        <v>15.37</v>
      </c>
      <c r="L798" s="2">
        <v>22.42</v>
      </c>
      <c r="M798" s="1">
        <v>0.13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 t="s">
        <v>3083</v>
      </c>
      <c r="W798" s="1" t="s">
        <v>3085</v>
      </c>
    </row>
    <row r="799" spans="1:23" ht="24.95">
      <c r="A799" s="1">
        <v>798</v>
      </c>
      <c r="B799" s="1" t="s">
        <v>3131</v>
      </c>
      <c r="C799" s="1" t="s">
        <v>2155</v>
      </c>
      <c r="D799" s="1">
        <v>54.52</v>
      </c>
      <c r="E799" s="1">
        <v>0.24</v>
      </c>
      <c r="F799" s="1">
        <v>0.92</v>
      </c>
      <c r="G799" s="1">
        <v>0.05</v>
      </c>
      <c r="H799" s="1">
        <v>0</v>
      </c>
      <c r="I799" s="2">
        <v>13.99</v>
      </c>
      <c r="J799" s="1">
        <v>0.28999999999999998</v>
      </c>
      <c r="K799" s="2">
        <v>27.99</v>
      </c>
      <c r="L799" s="2">
        <v>1.69</v>
      </c>
      <c r="M799" s="1">
        <v>0.01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 t="s">
        <v>3083</v>
      </c>
      <c r="W799" s="1"/>
    </row>
    <row r="800" spans="1:23" ht="12.4">
      <c r="A800" s="1">
        <v>799</v>
      </c>
      <c r="B800" s="5" t="s">
        <v>3132</v>
      </c>
      <c r="C800" s="1" t="s">
        <v>2059</v>
      </c>
      <c r="D800" s="1">
        <v>46.5</v>
      </c>
      <c r="E800" s="1">
        <v>0.36</v>
      </c>
      <c r="F800" s="1">
        <v>8.3800000000000008</v>
      </c>
      <c r="G800" s="1">
        <v>0.66</v>
      </c>
      <c r="H800" s="1">
        <v>0</v>
      </c>
      <c r="I800" s="2">
        <v>15.06</v>
      </c>
      <c r="J800" s="1">
        <v>0.28000000000000003</v>
      </c>
      <c r="K800" s="2">
        <v>18.8</v>
      </c>
      <c r="L800" s="2">
        <v>9.39</v>
      </c>
      <c r="M800" s="1">
        <v>0.17</v>
      </c>
      <c r="N800" s="1">
        <v>0.04</v>
      </c>
      <c r="O800" s="1">
        <v>0.13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/>
      <c r="W800" s="1" t="s">
        <v>3133</v>
      </c>
    </row>
    <row r="801" spans="1:23" ht="12.4">
      <c r="A801" s="1">
        <v>800</v>
      </c>
      <c r="B801" s="5" t="s">
        <v>3134</v>
      </c>
      <c r="C801" s="1" t="s">
        <v>2059</v>
      </c>
      <c r="D801" s="1">
        <v>49.14</v>
      </c>
      <c r="E801" s="1">
        <v>1.85</v>
      </c>
      <c r="F801" s="1">
        <v>17.39</v>
      </c>
      <c r="G801" s="1">
        <v>0</v>
      </c>
      <c r="H801" s="1">
        <v>0</v>
      </c>
      <c r="I801" s="2">
        <v>10.41</v>
      </c>
      <c r="J801" s="1">
        <v>0.16</v>
      </c>
      <c r="K801" s="2">
        <v>5.83</v>
      </c>
      <c r="L801" s="2">
        <v>8.68</v>
      </c>
      <c r="M801" s="1">
        <v>3.32</v>
      </c>
      <c r="N801" s="1">
        <v>1.68</v>
      </c>
      <c r="O801" s="1">
        <v>1.36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/>
      <c r="W801" s="1" t="s">
        <v>3135</v>
      </c>
    </row>
    <row r="802" spans="1:23" ht="12.4">
      <c r="A802" s="1">
        <v>801</v>
      </c>
      <c r="B802" s="5" t="s">
        <v>3136</v>
      </c>
      <c r="C802" s="1" t="s">
        <v>2059</v>
      </c>
      <c r="D802" s="1">
        <v>77.040000000000006</v>
      </c>
      <c r="E802" s="1">
        <v>0.11</v>
      </c>
      <c r="F802" s="1">
        <v>12.76</v>
      </c>
      <c r="G802" s="1">
        <v>0</v>
      </c>
      <c r="H802" s="1">
        <v>0</v>
      </c>
      <c r="I802" s="2">
        <v>0.68</v>
      </c>
      <c r="J802" s="1">
        <v>7.0000000000000007E-2</v>
      </c>
      <c r="K802" s="2">
        <v>0.08</v>
      </c>
      <c r="L802" s="2">
        <v>0.57999999999999996</v>
      </c>
      <c r="M802" s="1">
        <v>4.07</v>
      </c>
      <c r="N802" s="1">
        <v>4.79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/>
      <c r="W802" s="1" t="s">
        <v>3137</v>
      </c>
    </row>
    <row r="803" spans="1:23" ht="12.4">
      <c r="A803" s="1">
        <v>802</v>
      </c>
      <c r="B803" s="5" t="s">
        <v>3138</v>
      </c>
      <c r="C803" s="1" t="s">
        <v>2059</v>
      </c>
      <c r="D803" s="1">
        <v>49.89</v>
      </c>
      <c r="E803" s="1">
        <v>0.89</v>
      </c>
      <c r="F803" s="1">
        <v>15.57</v>
      </c>
      <c r="G803" s="1">
        <v>0</v>
      </c>
      <c r="H803" s="1">
        <v>0</v>
      </c>
      <c r="I803" s="2">
        <v>7.82</v>
      </c>
      <c r="J803" s="1">
        <v>0.02</v>
      </c>
      <c r="K803" s="2">
        <v>5.75</v>
      </c>
      <c r="L803" s="2">
        <v>11.4</v>
      </c>
      <c r="M803" s="1">
        <v>1.95</v>
      </c>
      <c r="N803" s="1">
        <v>7.52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/>
      <c r="W803" s="1" t="s">
        <v>3139</v>
      </c>
    </row>
    <row r="804" spans="1:23" ht="12.4">
      <c r="A804" s="1">
        <v>803</v>
      </c>
      <c r="B804" s="1" t="s">
        <v>3140</v>
      </c>
      <c r="C804" s="1" t="s">
        <v>1543</v>
      </c>
      <c r="D804" s="1">
        <v>58.3</v>
      </c>
      <c r="E804" s="1">
        <v>0.04</v>
      </c>
      <c r="F804" s="1">
        <v>1.56</v>
      </c>
      <c r="G804" s="1">
        <v>0.01</v>
      </c>
      <c r="H804" s="1">
        <v>0.84</v>
      </c>
      <c r="I804" s="2">
        <v>0.33</v>
      </c>
      <c r="J804" s="1">
        <v>0.01</v>
      </c>
      <c r="K804" s="2">
        <v>38.869999999999997</v>
      </c>
      <c r="L804" s="2">
        <v>0.02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 t="s">
        <v>3141</v>
      </c>
      <c r="W804" s="1" t="s">
        <v>3142</v>
      </c>
    </row>
    <row r="805" spans="1:23" ht="12.4">
      <c r="A805" s="1">
        <v>804</v>
      </c>
      <c r="B805" s="1" t="s">
        <v>3143</v>
      </c>
      <c r="C805" s="1" t="s">
        <v>2783</v>
      </c>
      <c r="D805" s="1">
        <v>53.78</v>
      </c>
      <c r="E805" s="1">
        <v>0.08</v>
      </c>
      <c r="F805" s="1">
        <v>0.72</v>
      </c>
      <c r="G805" s="1">
        <v>0</v>
      </c>
      <c r="H805" s="1">
        <v>0.88</v>
      </c>
      <c r="I805" s="2">
        <v>2.16</v>
      </c>
      <c r="J805" s="1">
        <v>0.18</v>
      </c>
      <c r="K805" s="2">
        <v>16.43</v>
      </c>
      <c r="L805" s="2">
        <v>25.74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 t="s">
        <v>3141</v>
      </c>
      <c r="W805" s="1" t="s">
        <v>3144</v>
      </c>
    </row>
    <row r="806" spans="1:23" ht="12.4">
      <c r="A806" s="1">
        <v>805</v>
      </c>
      <c r="B806" s="5" t="s">
        <v>3145</v>
      </c>
      <c r="C806" s="1" t="s">
        <v>2059</v>
      </c>
      <c r="D806" s="1">
        <v>39.5</v>
      </c>
      <c r="E806" s="1">
        <v>9.3699999999999992</v>
      </c>
      <c r="F806" s="1">
        <v>6.27</v>
      </c>
      <c r="G806" s="1">
        <v>0</v>
      </c>
      <c r="H806" s="1">
        <v>0</v>
      </c>
      <c r="I806" s="2">
        <v>22.53</v>
      </c>
      <c r="J806" s="1">
        <v>0.34</v>
      </c>
      <c r="K806" s="2">
        <v>14.06</v>
      </c>
      <c r="L806" s="2">
        <v>7.4</v>
      </c>
      <c r="M806" s="1">
        <v>0.55000000000000004</v>
      </c>
      <c r="N806" s="1">
        <v>0.08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/>
      <c r="W806" s="1" t="s">
        <v>3146</v>
      </c>
    </row>
    <row r="807" spans="1:23" ht="12.4">
      <c r="A807" s="1">
        <v>806</v>
      </c>
      <c r="B807" s="5" t="s">
        <v>3147</v>
      </c>
      <c r="C807" s="1" t="s">
        <v>2059</v>
      </c>
      <c r="D807" s="1">
        <v>42.88</v>
      </c>
      <c r="E807" s="1">
        <v>3.54</v>
      </c>
      <c r="F807" s="1">
        <v>8.33</v>
      </c>
      <c r="G807" s="1">
        <v>0.49</v>
      </c>
      <c r="H807" s="1">
        <v>0</v>
      </c>
      <c r="I807" s="2">
        <v>21.71</v>
      </c>
      <c r="J807" s="1">
        <v>0.2</v>
      </c>
      <c r="K807" s="2">
        <v>13.81</v>
      </c>
      <c r="L807" s="2">
        <v>8.61</v>
      </c>
      <c r="M807" s="1">
        <v>0.42</v>
      </c>
      <c r="N807" s="1">
        <v>0.01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/>
      <c r="W807" s="1" t="s">
        <v>3148</v>
      </c>
    </row>
    <row r="808" spans="1:23" ht="24.95">
      <c r="A808" s="1">
        <v>807</v>
      </c>
      <c r="B808" s="5" t="s">
        <v>3149</v>
      </c>
      <c r="C808" s="1" t="s">
        <v>3150</v>
      </c>
      <c r="D808" s="1">
        <v>36.630000000000003</v>
      </c>
      <c r="E808" s="1">
        <v>0</v>
      </c>
      <c r="F808" s="1">
        <v>0.96</v>
      </c>
      <c r="G808" s="1">
        <v>0</v>
      </c>
      <c r="H808" s="1">
        <v>39.229999999999997</v>
      </c>
      <c r="I808" s="2">
        <v>0</v>
      </c>
      <c r="J808" s="1">
        <v>3.56</v>
      </c>
      <c r="K808" s="2">
        <v>0.35</v>
      </c>
      <c r="L808" s="2">
        <v>0.18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 t="s">
        <v>3151</v>
      </c>
      <c r="W808" s="1"/>
    </row>
    <row r="809" spans="1:23" ht="24.95">
      <c r="A809" s="5">
        <v>808</v>
      </c>
      <c r="B809" s="5" t="s">
        <v>3152</v>
      </c>
      <c r="C809" s="1" t="s">
        <v>3150</v>
      </c>
      <c r="D809" s="1">
        <v>38.78</v>
      </c>
      <c r="E809" s="1">
        <v>0</v>
      </c>
      <c r="F809" s="1">
        <v>0.83</v>
      </c>
      <c r="G809" s="1">
        <v>0</v>
      </c>
      <c r="H809" s="1">
        <v>20.69</v>
      </c>
      <c r="I809" s="2">
        <v>0</v>
      </c>
      <c r="J809" s="1">
        <v>22.09</v>
      </c>
      <c r="K809" s="2">
        <v>3.05</v>
      </c>
      <c r="L809" s="2">
        <v>0.65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 t="s">
        <v>3151</v>
      </c>
      <c r="W809" s="1"/>
    </row>
    <row r="810" spans="1:23" ht="24.95">
      <c r="A810" s="5">
        <v>809</v>
      </c>
      <c r="B810" s="5" t="s">
        <v>3153</v>
      </c>
      <c r="C810" s="1" t="s">
        <v>3150</v>
      </c>
      <c r="D810" s="1">
        <v>35.83</v>
      </c>
      <c r="E810" s="1">
        <v>0</v>
      </c>
      <c r="F810" s="1">
        <v>0.56000000000000005</v>
      </c>
      <c r="G810" s="1">
        <v>0</v>
      </c>
      <c r="H810" s="1">
        <v>44.08</v>
      </c>
      <c r="I810" s="2">
        <v>0</v>
      </c>
      <c r="J810" s="1">
        <v>0.1</v>
      </c>
      <c r="K810" s="2">
        <v>0.75</v>
      </c>
      <c r="L810" s="2">
        <v>0.44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 t="s">
        <v>3151</v>
      </c>
      <c r="W810" s="1"/>
    </row>
    <row r="811" spans="1:23" ht="24.95">
      <c r="A811" s="5">
        <v>810</v>
      </c>
      <c r="B811" s="5" t="s">
        <v>3154</v>
      </c>
      <c r="C811" s="1" t="s">
        <v>3150</v>
      </c>
      <c r="D811" s="1">
        <v>36.979999999999997</v>
      </c>
      <c r="E811" s="1">
        <v>0</v>
      </c>
      <c r="F811" s="1">
        <v>0.05</v>
      </c>
      <c r="G811" s="1">
        <v>0</v>
      </c>
      <c r="H811" s="1">
        <v>40.57</v>
      </c>
      <c r="I811" s="2">
        <v>0</v>
      </c>
      <c r="J811" s="1">
        <v>2.63</v>
      </c>
      <c r="K811" s="2">
        <v>2.27</v>
      </c>
      <c r="L811" s="2">
        <v>1.07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 t="s">
        <v>3151</v>
      </c>
      <c r="W811" s="1"/>
    </row>
    <row r="812" spans="1:23" ht="24.95">
      <c r="A812" s="5">
        <v>811</v>
      </c>
      <c r="B812" s="5" t="s">
        <v>3155</v>
      </c>
      <c r="C812" s="1" t="s">
        <v>3150</v>
      </c>
      <c r="D812" s="1">
        <v>39.01</v>
      </c>
      <c r="E812" s="1">
        <v>0</v>
      </c>
      <c r="F812" s="1">
        <v>2.92</v>
      </c>
      <c r="G812" s="1">
        <v>0</v>
      </c>
      <c r="H812" s="1">
        <v>36.380000000000003</v>
      </c>
      <c r="I812" s="2">
        <v>0</v>
      </c>
      <c r="J812" s="1">
        <v>2.92</v>
      </c>
      <c r="K812" s="2">
        <v>2.19</v>
      </c>
      <c r="L812" s="2">
        <v>0.45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 t="s">
        <v>3151</v>
      </c>
      <c r="W812" s="1"/>
    </row>
    <row r="813" spans="1:23" ht="12.4">
      <c r="A813" s="1">
        <v>812</v>
      </c>
      <c r="B813" s="1" t="s">
        <v>3156</v>
      </c>
      <c r="C813" s="1" t="s">
        <v>2059</v>
      </c>
      <c r="D813" s="1">
        <v>49.14</v>
      </c>
      <c r="E813" s="1">
        <v>1.85</v>
      </c>
      <c r="F813" s="1">
        <v>17.39</v>
      </c>
      <c r="G813" s="1">
        <v>0</v>
      </c>
      <c r="H813" s="1">
        <v>0</v>
      </c>
      <c r="I813" s="2">
        <v>10.41</v>
      </c>
      <c r="J813" s="1">
        <v>0.16</v>
      </c>
      <c r="K813" s="2">
        <v>5.83</v>
      </c>
      <c r="L813" s="2">
        <v>8.68</v>
      </c>
      <c r="M813" s="1">
        <v>3.32</v>
      </c>
      <c r="N813" s="1">
        <v>1.68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/>
      <c r="W813" s="1"/>
    </row>
    <row r="814" spans="1:23" ht="12.4">
      <c r="A814" s="1">
        <v>813</v>
      </c>
      <c r="B814" s="1" t="s">
        <v>3157</v>
      </c>
      <c r="C814" s="1" t="s">
        <v>1502</v>
      </c>
      <c r="D814" s="1">
        <v>55.85</v>
      </c>
      <c r="E814" s="1">
        <v>0</v>
      </c>
      <c r="F814" s="1">
        <v>0.8</v>
      </c>
      <c r="G814" s="1">
        <v>0.23</v>
      </c>
      <c r="H814" s="1">
        <v>0</v>
      </c>
      <c r="I814" s="2">
        <v>1.56</v>
      </c>
      <c r="J814" s="1">
        <v>0.06</v>
      </c>
      <c r="K814" s="2">
        <v>23.05</v>
      </c>
      <c r="L814" s="2">
        <v>6.04</v>
      </c>
      <c r="M814" s="1">
        <v>0</v>
      </c>
      <c r="N814" s="1">
        <v>0</v>
      </c>
      <c r="O814" s="1">
        <v>0.04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 t="s">
        <v>3158</v>
      </c>
      <c r="W814" s="1"/>
    </row>
    <row r="815" spans="1:23" ht="12.4">
      <c r="A815" s="1">
        <v>814</v>
      </c>
      <c r="B815" s="1" t="s">
        <v>3159</v>
      </c>
      <c r="C815" s="1" t="s">
        <v>2159</v>
      </c>
      <c r="D815" s="1">
        <v>50.31</v>
      </c>
      <c r="E815" s="1">
        <v>1.43</v>
      </c>
      <c r="F815" s="1">
        <v>4.78</v>
      </c>
      <c r="G815" s="1">
        <v>0.46</v>
      </c>
      <c r="H815" s="1">
        <v>0</v>
      </c>
      <c r="I815" s="2">
        <v>4.34</v>
      </c>
      <c r="J815" s="1">
        <v>0.08</v>
      </c>
      <c r="K815" s="2">
        <v>15.87</v>
      </c>
      <c r="L815" s="2">
        <v>22.57</v>
      </c>
      <c r="M815" s="1">
        <v>0.45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/>
      <c r="W815" s="1"/>
    </row>
    <row r="816" spans="1:23" ht="12.4">
      <c r="A816" s="1">
        <v>815</v>
      </c>
      <c r="B816" s="1" t="s">
        <v>3160</v>
      </c>
      <c r="C816" s="1" t="s">
        <v>2059</v>
      </c>
      <c r="D816" s="1">
        <v>45.8</v>
      </c>
      <c r="E816" s="1">
        <v>0.93</v>
      </c>
      <c r="F816" s="1">
        <v>17.399999999999999</v>
      </c>
      <c r="G816" s="1">
        <v>0.35</v>
      </c>
      <c r="H816" s="1">
        <v>0</v>
      </c>
      <c r="I816" s="2">
        <v>4.8</v>
      </c>
      <c r="J816" s="1">
        <v>0.19</v>
      </c>
      <c r="K816" s="2">
        <v>17</v>
      </c>
      <c r="L816" s="2">
        <v>12.5</v>
      </c>
      <c r="M816" s="1">
        <v>0.19</v>
      </c>
      <c r="N816" s="1">
        <v>0.23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 t="s">
        <v>3161</v>
      </c>
      <c r="W816" s="1" t="s">
        <v>3162</v>
      </c>
    </row>
    <row r="817" spans="1:23" ht="12.4">
      <c r="A817" s="1">
        <v>816</v>
      </c>
      <c r="B817" s="1" t="s">
        <v>3163</v>
      </c>
      <c r="C817" s="1" t="s">
        <v>2059</v>
      </c>
      <c r="D817" s="1">
        <v>44.4</v>
      </c>
      <c r="E817" s="1">
        <v>0.47</v>
      </c>
      <c r="F817" s="1">
        <v>26.4</v>
      </c>
      <c r="G817" s="1">
        <v>0.16</v>
      </c>
      <c r="H817" s="1">
        <v>0</v>
      </c>
      <c r="I817" s="2">
        <v>2.6</v>
      </c>
      <c r="J817" s="1">
        <v>7.0000000000000007E-2</v>
      </c>
      <c r="K817" s="2">
        <v>8.8000000000000007</v>
      </c>
      <c r="L817" s="2">
        <v>16.399999999999999</v>
      </c>
      <c r="M817" s="1">
        <v>0.19</v>
      </c>
      <c r="N817" s="1">
        <v>0.15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 t="s">
        <v>3161</v>
      </c>
      <c r="W817" s="1" t="s">
        <v>3164</v>
      </c>
    </row>
    <row r="818" spans="1:23" ht="12.4">
      <c r="A818" s="1">
        <v>817</v>
      </c>
      <c r="B818" s="1" t="s">
        <v>3165</v>
      </c>
      <c r="C818" s="1" t="s">
        <v>2059</v>
      </c>
      <c r="D818" s="1">
        <v>57</v>
      </c>
      <c r="E818" s="1">
        <v>7</v>
      </c>
      <c r="F818" s="1">
        <v>11.2</v>
      </c>
      <c r="G818" s="1">
        <v>0.04</v>
      </c>
      <c r="H818" s="1">
        <v>0</v>
      </c>
      <c r="I818" s="2">
        <v>12</v>
      </c>
      <c r="J818" s="1">
        <v>0.4</v>
      </c>
      <c r="K818" s="2">
        <v>1.7</v>
      </c>
      <c r="L818" s="2">
        <v>8</v>
      </c>
      <c r="M818" s="1">
        <v>0.21</v>
      </c>
      <c r="N818" s="1">
        <v>1.9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 t="s">
        <v>3161</v>
      </c>
      <c r="W818" s="1"/>
    </row>
    <row r="819" spans="1:23" ht="12.4">
      <c r="A819" s="1">
        <v>818</v>
      </c>
      <c r="B819" s="1" t="s">
        <v>3165</v>
      </c>
      <c r="C819" s="1" t="s">
        <v>1502</v>
      </c>
      <c r="D819" s="1">
        <v>41.8</v>
      </c>
      <c r="E819" s="1">
        <v>0</v>
      </c>
      <c r="F819" s="1">
        <v>0.2</v>
      </c>
      <c r="G819" s="1">
        <v>0.34</v>
      </c>
      <c r="H819" s="1">
        <v>0</v>
      </c>
      <c r="I819" s="2">
        <v>5.7</v>
      </c>
      <c r="J819" s="1">
        <v>0.17</v>
      </c>
      <c r="K819" s="2">
        <v>52.4</v>
      </c>
      <c r="L819" s="2">
        <v>0.28999999999999998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 t="s">
        <v>3161</v>
      </c>
      <c r="W819" s="1" t="s">
        <v>3166</v>
      </c>
    </row>
    <row r="820" spans="1:23" ht="12.4">
      <c r="A820" s="1">
        <v>819</v>
      </c>
      <c r="B820" s="1" t="s">
        <v>3165</v>
      </c>
      <c r="C820" s="1" t="s">
        <v>2641</v>
      </c>
      <c r="D820" s="1">
        <v>0.23</v>
      </c>
      <c r="E820" s="1">
        <v>0.24</v>
      </c>
      <c r="F820" s="1">
        <v>53.1</v>
      </c>
      <c r="G820" s="1">
        <v>16.3</v>
      </c>
      <c r="H820" s="1">
        <v>0</v>
      </c>
      <c r="I820" s="2">
        <v>7.9</v>
      </c>
      <c r="J820" s="1">
        <v>0.19</v>
      </c>
      <c r="K820" s="2">
        <v>21.4</v>
      </c>
      <c r="L820" s="2">
        <v>0.12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 t="s">
        <v>3161</v>
      </c>
      <c r="W820" s="1" t="s">
        <v>3167</v>
      </c>
    </row>
    <row r="821" spans="1:23" ht="12.4">
      <c r="A821" s="1">
        <v>820</v>
      </c>
      <c r="B821" s="1" t="s">
        <v>3165</v>
      </c>
      <c r="C821" s="1" t="s">
        <v>1551</v>
      </c>
      <c r="D821" s="1">
        <v>45.7</v>
      </c>
      <c r="E821" s="1">
        <v>0.06</v>
      </c>
      <c r="F821" s="1">
        <v>34.799999999999997</v>
      </c>
      <c r="G821" s="1">
        <v>0</v>
      </c>
      <c r="H821" s="1">
        <v>0</v>
      </c>
      <c r="I821" s="2">
        <v>0.3</v>
      </c>
      <c r="J821" s="1">
        <v>0</v>
      </c>
      <c r="K821" s="2">
        <v>0.59</v>
      </c>
      <c r="L821" s="2">
        <v>19.100000000000001</v>
      </c>
      <c r="M821" s="1">
        <v>0.33</v>
      </c>
      <c r="N821" s="1">
        <v>0.11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 t="s">
        <v>3161</v>
      </c>
      <c r="W821" s="1"/>
    </row>
    <row r="822" spans="1:23" ht="12.4">
      <c r="A822" s="1">
        <v>821</v>
      </c>
      <c r="B822" s="1" t="s">
        <v>3165</v>
      </c>
      <c r="C822" s="1" t="s">
        <v>1510</v>
      </c>
      <c r="D822" s="1">
        <v>49</v>
      </c>
      <c r="E822" s="1">
        <v>2.7</v>
      </c>
      <c r="F822" s="1">
        <v>6</v>
      </c>
      <c r="G822" s="1">
        <v>1.6</v>
      </c>
      <c r="H822" s="1">
        <v>0</v>
      </c>
      <c r="I822" s="2">
        <v>6</v>
      </c>
      <c r="J822" s="1">
        <v>0.4</v>
      </c>
      <c r="K822" s="2">
        <v>16</v>
      </c>
      <c r="L822" s="2">
        <v>19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 t="s">
        <v>3161</v>
      </c>
      <c r="W822" s="1" t="s">
        <v>3168</v>
      </c>
    </row>
    <row r="823" spans="1:23" ht="12.4">
      <c r="A823" s="1">
        <v>822</v>
      </c>
      <c r="B823" s="1" t="s">
        <v>3169</v>
      </c>
      <c r="C823" s="1" t="s">
        <v>3170</v>
      </c>
      <c r="D823" s="1">
        <v>49.2</v>
      </c>
      <c r="E823" s="1">
        <v>1.3</v>
      </c>
      <c r="F823" s="1">
        <v>25.6</v>
      </c>
      <c r="G823" s="1">
        <v>0</v>
      </c>
      <c r="H823" s="1">
        <v>0</v>
      </c>
      <c r="I823" s="2">
        <v>1.6</v>
      </c>
      <c r="J823" s="1">
        <v>0</v>
      </c>
      <c r="K823" s="2">
        <v>3.8</v>
      </c>
      <c r="L823" s="2">
        <v>18.600000000000001</v>
      </c>
      <c r="M823" s="1">
        <v>0.27</v>
      </c>
      <c r="N823" s="1">
        <v>0.27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 t="s">
        <v>3161</v>
      </c>
      <c r="W823" s="1"/>
    </row>
    <row r="824" spans="1:23" ht="12.4">
      <c r="A824" s="1">
        <v>823</v>
      </c>
      <c r="B824" s="1" t="s">
        <v>3169</v>
      </c>
      <c r="C824" s="1" t="s">
        <v>1502</v>
      </c>
      <c r="D824" s="1">
        <v>41.7</v>
      </c>
      <c r="E824" s="1">
        <v>0.06</v>
      </c>
      <c r="F824" s="1">
        <v>0.3</v>
      </c>
      <c r="G824" s="1">
        <v>0.39</v>
      </c>
      <c r="H824" s="1">
        <v>0</v>
      </c>
      <c r="I824" s="2">
        <v>6.2</v>
      </c>
      <c r="J824" s="1">
        <v>0.17</v>
      </c>
      <c r="K824" s="2">
        <v>52</v>
      </c>
      <c r="L824" s="2">
        <v>0.3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 t="s">
        <v>3161</v>
      </c>
      <c r="W824" s="1" t="s">
        <v>3171</v>
      </c>
    </row>
    <row r="825" spans="1:23" ht="12.4">
      <c r="A825" s="1">
        <v>824</v>
      </c>
      <c r="B825" s="1" t="s">
        <v>3172</v>
      </c>
      <c r="C825" s="1" t="s">
        <v>2059</v>
      </c>
      <c r="D825" s="1">
        <v>59</v>
      </c>
      <c r="E825" s="1">
        <v>5</v>
      </c>
      <c r="F825" s="1">
        <v>11</v>
      </c>
      <c r="G825" s="1">
        <v>0.03</v>
      </c>
      <c r="H825" s="1">
        <v>0</v>
      </c>
      <c r="I825" s="2">
        <v>12</v>
      </c>
      <c r="J825" s="1">
        <v>0.37</v>
      </c>
      <c r="K825" s="2">
        <v>1.5</v>
      </c>
      <c r="L825" s="2">
        <v>8.1</v>
      </c>
      <c r="M825" s="1">
        <v>0.16</v>
      </c>
      <c r="N825" s="1">
        <v>2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 t="s">
        <v>3161</v>
      </c>
      <c r="W825" s="1"/>
    </row>
    <row r="826" spans="1:23" ht="12.4">
      <c r="A826" s="1">
        <v>825</v>
      </c>
      <c r="B826" s="1" t="s">
        <v>3172</v>
      </c>
      <c r="C826" s="1" t="s">
        <v>1502</v>
      </c>
      <c r="D826" s="1">
        <v>41.2</v>
      </c>
      <c r="E826" s="1">
        <v>0</v>
      </c>
      <c r="F826" s="1">
        <v>0</v>
      </c>
      <c r="G826" s="1">
        <v>0.4</v>
      </c>
      <c r="H826" s="1">
        <v>0</v>
      </c>
      <c r="I826" s="2">
        <v>9</v>
      </c>
      <c r="J826" s="1">
        <v>0.2</v>
      </c>
      <c r="K826" s="2">
        <v>50</v>
      </c>
      <c r="L826" s="2">
        <v>0.5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 t="s">
        <v>3161</v>
      </c>
      <c r="W826" s="1" t="s">
        <v>3173</v>
      </c>
    </row>
    <row r="827" spans="1:23" ht="12.4">
      <c r="A827" s="1">
        <v>826</v>
      </c>
      <c r="B827" s="1" t="s">
        <v>3172</v>
      </c>
      <c r="C827" s="1" t="s">
        <v>1551</v>
      </c>
      <c r="D827" s="1">
        <v>44.2</v>
      </c>
      <c r="E827" s="1">
        <v>0</v>
      </c>
      <c r="F827" s="1">
        <v>36</v>
      </c>
      <c r="G827" s="1">
        <v>0</v>
      </c>
      <c r="H827" s="1">
        <v>0</v>
      </c>
      <c r="I827" s="2">
        <v>0.09</v>
      </c>
      <c r="J827" s="1">
        <v>0</v>
      </c>
      <c r="K827" s="2">
        <v>0.37</v>
      </c>
      <c r="L827" s="2">
        <v>19.8</v>
      </c>
      <c r="M827" s="1">
        <v>0.13</v>
      </c>
      <c r="N827" s="1">
        <v>0.03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 t="s">
        <v>3161</v>
      </c>
      <c r="W827" s="1"/>
    </row>
    <row r="828" spans="1:23" ht="12.4">
      <c r="A828" s="1">
        <v>827</v>
      </c>
      <c r="B828" s="1" t="s">
        <v>3172</v>
      </c>
      <c r="C828" s="1" t="s">
        <v>1510</v>
      </c>
      <c r="D828" s="1">
        <v>49</v>
      </c>
      <c r="E828" s="1">
        <v>2.7</v>
      </c>
      <c r="F828" s="1">
        <v>6</v>
      </c>
      <c r="G828" s="1">
        <v>1.4</v>
      </c>
      <c r="H828" s="1">
        <v>0</v>
      </c>
      <c r="I828" s="2">
        <v>6</v>
      </c>
      <c r="J828" s="1">
        <v>0.31</v>
      </c>
      <c r="K828" s="2">
        <v>15</v>
      </c>
      <c r="L828" s="2">
        <v>20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 t="s">
        <v>3161</v>
      </c>
      <c r="W828" s="1" t="s">
        <v>3174</v>
      </c>
    </row>
    <row r="829" spans="1:23" ht="12.4">
      <c r="A829" s="1">
        <v>828</v>
      </c>
      <c r="B829" s="1" t="s">
        <v>3175</v>
      </c>
      <c r="C829" s="1" t="s">
        <v>3170</v>
      </c>
      <c r="D829" s="1">
        <v>44.6</v>
      </c>
      <c r="E829" s="1">
        <v>0</v>
      </c>
      <c r="F829" s="1">
        <v>35.700000000000003</v>
      </c>
      <c r="G829" s="1">
        <v>0</v>
      </c>
      <c r="H829" s="1">
        <v>0</v>
      </c>
      <c r="I829" s="2">
        <v>0.16</v>
      </c>
      <c r="J829" s="1">
        <v>0</v>
      </c>
      <c r="K829" s="2">
        <v>0.5</v>
      </c>
      <c r="L829" s="2">
        <v>19.600000000000001</v>
      </c>
      <c r="M829" s="1">
        <v>0.2</v>
      </c>
      <c r="N829" s="1">
        <v>0.04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 t="s">
        <v>3161</v>
      </c>
      <c r="W829" s="1"/>
    </row>
    <row r="830" spans="1:23" ht="12.4">
      <c r="A830" s="1">
        <v>829</v>
      </c>
      <c r="B830" s="1" t="s">
        <v>3175</v>
      </c>
      <c r="C830" s="1" t="s">
        <v>1502</v>
      </c>
      <c r="D830" s="1">
        <v>40.299999999999997</v>
      </c>
      <c r="E830" s="1">
        <v>0.1</v>
      </c>
      <c r="F830" s="1">
        <v>7.0000000000000007E-2</v>
      </c>
      <c r="G830" s="1">
        <v>0.56000000000000005</v>
      </c>
      <c r="H830" s="1">
        <v>0</v>
      </c>
      <c r="I830" s="2">
        <v>13.2</v>
      </c>
      <c r="J830" s="1">
        <v>0.41</v>
      </c>
      <c r="K830" s="2">
        <v>46</v>
      </c>
      <c r="L830" s="2">
        <v>0.7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 t="s">
        <v>3161</v>
      </c>
      <c r="W830" s="1" t="s">
        <v>3176</v>
      </c>
    </row>
    <row r="831" spans="1:23" ht="12.4">
      <c r="A831" s="1">
        <v>830</v>
      </c>
      <c r="B831" s="5" t="s">
        <v>3177</v>
      </c>
      <c r="C831" s="1" t="s">
        <v>2059</v>
      </c>
      <c r="D831" s="1">
        <v>51.84</v>
      </c>
      <c r="E831" s="1">
        <v>0.91</v>
      </c>
      <c r="F831" s="1">
        <v>16.010000000000002</v>
      </c>
      <c r="G831" s="1">
        <v>0.4</v>
      </c>
      <c r="H831" s="1">
        <v>0</v>
      </c>
      <c r="I831" s="2">
        <v>11.67</v>
      </c>
      <c r="J831" s="1">
        <v>0.17</v>
      </c>
      <c r="K831" s="2">
        <v>3.61</v>
      </c>
      <c r="L831" s="2">
        <v>6.76</v>
      </c>
      <c r="M831" s="1">
        <v>6.39</v>
      </c>
      <c r="N831" s="1">
        <v>2.23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/>
      <c r="W831" s="1" t="s">
        <v>3178</v>
      </c>
    </row>
    <row r="832" spans="1:23" ht="12.4">
      <c r="A832" s="1">
        <v>831</v>
      </c>
      <c r="B832" s="5" t="s">
        <v>3179</v>
      </c>
      <c r="C832" s="1" t="s">
        <v>2059</v>
      </c>
      <c r="D832" s="1">
        <v>50.57</v>
      </c>
      <c r="E832" s="1">
        <v>1.04</v>
      </c>
      <c r="F832" s="1">
        <v>11.92</v>
      </c>
      <c r="G832" s="1">
        <v>0.19</v>
      </c>
      <c r="H832" s="1">
        <v>0</v>
      </c>
      <c r="I832" s="2">
        <v>13.83</v>
      </c>
      <c r="J832" s="1">
        <v>0.3</v>
      </c>
      <c r="K832" s="2">
        <v>8.31</v>
      </c>
      <c r="L832" s="2">
        <v>9.5</v>
      </c>
      <c r="M832" s="1">
        <v>3.98</v>
      </c>
      <c r="N832" s="1">
        <v>0.36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/>
      <c r="W832" s="1" t="s">
        <v>3180</v>
      </c>
    </row>
    <row r="833" spans="1:23" ht="12.4">
      <c r="A833" s="1">
        <v>832</v>
      </c>
      <c r="B833" s="5" t="s">
        <v>3181</v>
      </c>
      <c r="C833" s="1" t="s">
        <v>2059</v>
      </c>
      <c r="D833" s="1">
        <v>46.7</v>
      </c>
      <c r="E833" s="1">
        <v>0.49</v>
      </c>
      <c r="F833" s="1">
        <v>11.11</v>
      </c>
      <c r="G833" s="1">
        <v>0.62</v>
      </c>
      <c r="H833" s="1">
        <v>0</v>
      </c>
      <c r="I833" s="2">
        <v>19.190000000000001</v>
      </c>
      <c r="J833" s="1">
        <v>0.42</v>
      </c>
      <c r="K833" s="2">
        <v>11.06</v>
      </c>
      <c r="L833" s="2">
        <v>7.92</v>
      </c>
      <c r="M833" s="1">
        <v>2.44</v>
      </c>
      <c r="N833" s="1">
        <v>7.0000000000000007E-2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/>
      <c r="W833" s="1" t="s">
        <v>3182</v>
      </c>
    </row>
    <row r="834" spans="1:23" ht="12.4">
      <c r="A834" s="1">
        <v>833</v>
      </c>
      <c r="B834" s="5" t="s">
        <v>3183</v>
      </c>
      <c r="C834" s="1" t="s">
        <v>2059</v>
      </c>
      <c r="D834" s="1">
        <v>57.77</v>
      </c>
      <c r="E834" s="1">
        <v>0</v>
      </c>
      <c r="F834" s="1">
        <v>14.08</v>
      </c>
      <c r="G834" s="1">
        <v>0</v>
      </c>
      <c r="H834" s="1">
        <v>0</v>
      </c>
      <c r="I834" s="2">
        <v>1.03</v>
      </c>
      <c r="J834" s="1">
        <v>0</v>
      </c>
      <c r="K834" s="2">
        <v>15.67</v>
      </c>
      <c r="L834" s="2">
        <v>4.2300000000000004</v>
      </c>
      <c r="M834" s="1">
        <v>7.21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/>
      <c r="W834" s="1" t="s">
        <v>3184</v>
      </c>
    </row>
    <row r="835" spans="1:23" ht="12.4">
      <c r="A835" s="1">
        <v>834</v>
      </c>
      <c r="B835" s="5" t="s">
        <v>3185</v>
      </c>
      <c r="C835" s="1" t="s">
        <v>2059</v>
      </c>
      <c r="D835" s="1">
        <v>58.38</v>
      </c>
      <c r="E835" s="1">
        <v>0</v>
      </c>
      <c r="F835" s="1">
        <v>14.23</v>
      </c>
      <c r="G835" s="1">
        <v>0</v>
      </c>
      <c r="H835" s="1">
        <v>0</v>
      </c>
      <c r="I835" s="2">
        <v>0</v>
      </c>
      <c r="J835" s="1">
        <v>0</v>
      </c>
      <c r="K835" s="2">
        <v>15.83</v>
      </c>
      <c r="L835" s="2">
        <v>4.2699999999999996</v>
      </c>
      <c r="M835" s="1">
        <v>7.29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/>
      <c r="W835" s="1" t="s">
        <v>3186</v>
      </c>
    </row>
    <row r="836" spans="1:23" ht="12.4">
      <c r="A836" s="1">
        <v>835</v>
      </c>
      <c r="B836" s="5" t="s">
        <v>3187</v>
      </c>
      <c r="C836" s="1" t="s">
        <v>2059</v>
      </c>
      <c r="D836" s="1">
        <v>35.04</v>
      </c>
      <c r="E836" s="1">
        <v>14.9</v>
      </c>
      <c r="F836" s="1">
        <v>5.78</v>
      </c>
      <c r="G836" s="1">
        <v>0.89</v>
      </c>
      <c r="H836" s="1">
        <v>0</v>
      </c>
      <c r="I836" s="2">
        <v>22.42</v>
      </c>
      <c r="J836" s="1">
        <v>0.28999999999999998</v>
      </c>
      <c r="K836" s="2">
        <v>12.81</v>
      </c>
      <c r="L836" s="2">
        <v>7.24</v>
      </c>
      <c r="M836" s="1">
        <v>0.36</v>
      </c>
      <c r="N836" s="1">
        <v>0.14000000000000001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/>
      <c r="W836" s="1"/>
    </row>
    <row r="837" spans="1:23" ht="12.4">
      <c r="A837" s="1">
        <v>836</v>
      </c>
      <c r="B837" s="5" t="s">
        <v>3188</v>
      </c>
      <c r="C837" s="1" t="s">
        <v>2059</v>
      </c>
      <c r="D837" s="1">
        <v>38.24</v>
      </c>
      <c r="E837" s="1">
        <v>9.94</v>
      </c>
      <c r="F837" s="1">
        <v>5.99</v>
      </c>
      <c r="G837" s="1">
        <v>0.66</v>
      </c>
      <c r="H837" s="1">
        <v>0</v>
      </c>
      <c r="I837" s="2">
        <v>22.77</v>
      </c>
      <c r="J837" s="1">
        <v>0.31</v>
      </c>
      <c r="K837" s="2">
        <v>13.82</v>
      </c>
      <c r="L837" s="2">
        <v>7.41</v>
      </c>
      <c r="M837" s="1">
        <v>0.42</v>
      </c>
      <c r="N837" s="1">
        <v>0.06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/>
      <c r="W837" s="1"/>
    </row>
    <row r="838" spans="1:23" ht="12.4">
      <c r="A838" s="1">
        <v>837</v>
      </c>
      <c r="B838" s="5" t="s">
        <v>3189</v>
      </c>
      <c r="C838" s="1" t="s">
        <v>2059</v>
      </c>
      <c r="D838" s="1">
        <v>41.65</v>
      </c>
      <c r="E838" s="1">
        <v>4.8499999999999996</v>
      </c>
      <c r="F838" s="1">
        <v>7.63</v>
      </c>
      <c r="G838" s="1">
        <v>0.5</v>
      </c>
      <c r="H838" s="1">
        <v>0</v>
      </c>
      <c r="I838" s="2">
        <v>22.42</v>
      </c>
      <c r="J838" s="1">
        <v>0.35</v>
      </c>
      <c r="K838" s="2">
        <v>13.06</v>
      </c>
      <c r="L838" s="2">
        <v>8.41</v>
      </c>
      <c r="M838" s="1">
        <v>0.45</v>
      </c>
      <c r="N838" s="1">
        <v>0.05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/>
      <c r="W838" s="1"/>
    </row>
    <row r="839" spans="1:23" ht="12.4">
      <c r="A839" s="1">
        <v>838</v>
      </c>
      <c r="B839" s="5" t="s">
        <v>3190</v>
      </c>
      <c r="C839" s="1" t="s">
        <v>2059</v>
      </c>
      <c r="D839" s="1">
        <v>45.6</v>
      </c>
      <c r="E839" s="1">
        <v>0.55000000000000004</v>
      </c>
      <c r="F839" s="1">
        <v>7.86</v>
      </c>
      <c r="G839" s="1">
        <v>0.51</v>
      </c>
      <c r="H839" s="1">
        <v>0</v>
      </c>
      <c r="I839" s="2">
        <v>19.5</v>
      </c>
      <c r="J839" s="1">
        <v>0.28000000000000003</v>
      </c>
      <c r="K839" s="2">
        <v>17.11</v>
      </c>
      <c r="L839" s="2">
        <v>8.43</v>
      </c>
      <c r="M839" s="1">
        <v>0.19</v>
      </c>
      <c r="N839" s="1">
        <v>0.01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/>
      <c r="W839" s="1"/>
    </row>
    <row r="840" spans="1:23" ht="12.4">
      <c r="A840" s="1">
        <v>839</v>
      </c>
      <c r="B840" s="5" t="s">
        <v>3191</v>
      </c>
      <c r="C840" s="1" t="s">
        <v>2059</v>
      </c>
      <c r="D840" s="1">
        <v>46.08</v>
      </c>
      <c r="E840" s="1">
        <v>0.3</v>
      </c>
      <c r="F840" s="1">
        <v>28.05</v>
      </c>
      <c r="G840" s="1">
        <v>0</v>
      </c>
      <c r="H840" s="1">
        <v>0</v>
      </c>
      <c r="I840" s="2">
        <v>4.51</v>
      </c>
      <c r="J840" s="1">
        <v>0</v>
      </c>
      <c r="K840" s="2">
        <v>4.51</v>
      </c>
      <c r="L840" s="2">
        <v>16.03</v>
      </c>
      <c r="M840" s="1">
        <v>0.45</v>
      </c>
      <c r="N840" s="1">
        <v>0.08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/>
      <c r="W840" s="1"/>
    </row>
    <row r="841" spans="1:23" ht="12.4">
      <c r="A841" s="1">
        <v>840</v>
      </c>
      <c r="B841" s="5" t="s">
        <v>3192</v>
      </c>
      <c r="C841" s="1" t="s">
        <v>2059</v>
      </c>
      <c r="D841" s="1">
        <v>44.32</v>
      </c>
      <c r="E841" s="1">
        <v>2.29</v>
      </c>
      <c r="F841" s="1">
        <v>8.42</v>
      </c>
      <c r="G841" s="1">
        <v>0.85</v>
      </c>
      <c r="H841" s="1">
        <v>0</v>
      </c>
      <c r="I841" s="2">
        <v>22.81</v>
      </c>
      <c r="J841" s="1">
        <v>0.32</v>
      </c>
      <c r="K841" s="2">
        <v>11.36</v>
      </c>
      <c r="L841" s="2">
        <v>9.32</v>
      </c>
      <c r="M841" s="1">
        <v>0.27</v>
      </c>
      <c r="N841" s="1">
        <v>0.04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/>
      <c r="W841" s="1"/>
    </row>
    <row r="842" spans="1:23" ht="12.4">
      <c r="A842" s="1">
        <v>841</v>
      </c>
      <c r="B842" s="5" t="s">
        <v>3193</v>
      </c>
      <c r="C842" s="1" t="s">
        <v>2059</v>
      </c>
      <c r="D842" s="1">
        <v>57.97</v>
      </c>
      <c r="E842" s="1">
        <v>0</v>
      </c>
      <c r="F842" s="1">
        <v>14.13</v>
      </c>
      <c r="G842" s="1">
        <v>0.7</v>
      </c>
      <c r="H842" s="1">
        <v>0</v>
      </c>
      <c r="I842" s="2">
        <v>0</v>
      </c>
      <c r="J842" s="1">
        <v>0</v>
      </c>
      <c r="K842" s="2">
        <v>15.72</v>
      </c>
      <c r="L842" s="2">
        <v>4.24</v>
      </c>
      <c r="M842" s="1">
        <v>7.24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/>
      <c r="W842" s="1"/>
    </row>
    <row r="843" spans="1:23" ht="12.4">
      <c r="A843" s="1">
        <v>842</v>
      </c>
      <c r="B843" s="5" t="s">
        <v>3194</v>
      </c>
      <c r="C843" s="1" t="s">
        <v>2059</v>
      </c>
      <c r="D843" s="1">
        <v>57.9</v>
      </c>
      <c r="E843" s="1">
        <v>0.82</v>
      </c>
      <c r="F843" s="1">
        <v>14.11</v>
      </c>
      <c r="G843" s="1">
        <v>0</v>
      </c>
      <c r="H843" s="1">
        <v>0</v>
      </c>
      <c r="I843" s="2">
        <v>0</v>
      </c>
      <c r="J843" s="1">
        <v>0</v>
      </c>
      <c r="K843" s="2">
        <v>15.7</v>
      </c>
      <c r="L843" s="2">
        <v>4.24</v>
      </c>
      <c r="M843" s="1">
        <v>7.23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/>
      <c r="W843" s="1"/>
    </row>
    <row r="844" spans="1:23" ht="12.4">
      <c r="A844" s="1">
        <v>843</v>
      </c>
      <c r="B844" s="5" t="s">
        <v>3195</v>
      </c>
      <c r="C844" s="1" t="s">
        <v>2059</v>
      </c>
      <c r="D844" s="1">
        <v>57.83</v>
      </c>
      <c r="E844" s="1">
        <v>0</v>
      </c>
      <c r="F844" s="1">
        <v>14.09</v>
      </c>
      <c r="G844" s="1">
        <v>0</v>
      </c>
      <c r="H844" s="1">
        <v>0</v>
      </c>
      <c r="I844" s="2">
        <v>0</v>
      </c>
      <c r="J844" s="1">
        <v>0</v>
      </c>
      <c r="K844" s="2">
        <v>15.68</v>
      </c>
      <c r="L844" s="2">
        <v>4.2300000000000004</v>
      </c>
      <c r="M844" s="1">
        <v>7.22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/>
      <c r="W844" s="1" t="s">
        <v>3196</v>
      </c>
    </row>
    <row r="845" spans="1:23" ht="12.4">
      <c r="A845" s="1">
        <v>844</v>
      </c>
      <c r="B845" s="5" t="s">
        <v>3197</v>
      </c>
      <c r="C845" s="1" t="s">
        <v>2059</v>
      </c>
      <c r="D845" s="1">
        <v>56.97</v>
      </c>
      <c r="E845" s="1">
        <v>0.8</v>
      </c>
      <c r="F845" s="1">
        <v>13.88</v>
      </c>
      <c r="G845" s="1">
        <v>0.69</v>
      </c>
      <c r="H845" s="1">
        <v>0</v>
      </c>
      <c r="I845" s="2">
        <v>0</v>
      </c>
      <c r="J845" s="1">
        <v>0</v>
      </c>
      <c r="K845" s="2">
        <v>15.45</v>
      </c>
      <c r="L845" s="2">
        <v>4.17</v>
      </c>
      <c r="M845" s="1">
        <v>7.11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/>
      <c r="W845" s="1" t="s">
        <v>3198</v>
      </c>
    </row>
    <row r="846" spans="1:23" ht="12.4">
      <c r="A846" s="1">
        <v>845</v>
      </c>
      <c r="B846" s="5" t="s">
        <v>3199</v>
      </c>
      <c r="C846" s="1" t="s">
        <v>1502</v>
      </c>
      <c r="D846" s="1">
        <v>40.81</v>
      </c>
      <c r="E846" s="1">
        <v>0</v>
      </c>
      <c r="F846" s="1">
        <v>0</v>
      </c>
      <c r="G846" s="1">
        <v>0</v>
      </c>
      <c r="H846" s="1">
        <v>0</v>
      </c>
      <c r="I846" s="2">
        <v>9.5500000000000007</v>
      </c>
      <c r="J846" s="1">
        <v>0.14000000000000001</v>
      </c>
      <c r="K846" s="2">
        <v>49.42</v>
      </c>
      <c r="L846" s="2">
        <v>0.05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 t="s">
        <v>3200</v>
      </c>
      <c r="W846" s="1"/>
    </row>
    <row r="847" spans="1:23" ht="37.35">
      <c r="A847" s="1">
        <v>846</v>
      </c>
      <c r="B847" s="5" t="s">
        <v>3201</v>
      </c>
      <c r="C847" s="1" t="s">
        <v>1496</v>
      </c>
      <c r="D847" s="1">
        <v>44.4</v>
      </c>
      <c r="E847" s="1">
        <v>0.48</v>
      </c>
      <c r="F847" s="1">
        <v>8.98</v>
      </c>
      <c r="G847" s="1">
        <v>0.01</v>
      </c>
      <c r="H847" s="1">
        <v>3.77</v>
      </c>
      <c r="I847" s="2">
        <v>0</v>
      </c>
      <c r="J847" s="1">
        <v>0</v>
      </c>
      <c r="K847" s="2">
        <v>1.69</v>
      </c>
      <c r="L847" s="2">
        <v>20.3</v>
      </c>
      <c r="M847" s="1">
        <v>0.94</v>
      </c>
      <c r="N847" s="1">
        <v>1.3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/>
      <c r="W847" s="1" t="s">
        <v>3202</v>
      </c>
    </row>
    <row r="848" spans="1:23" ht="12.4">
      <c r="A848" s="1">
        <v>847</v>
      </c>
      <c r="B848" s="5" t="s">
        <v>3203</v>
      </c>
      <c r="C848" s="1" t="s">
        <v>1496</v>
      </c>
      <c r="D848" s="1">
        <v>48.91</v>
      </c>
      <c r="E848" s="1">
        <v>1.05</v>
      </c>
      <c r="F848" s="1">
        <v>14.24</v>
      </c>
      <c r="G848" s="1">
        <v>0</v>
      </c>
      <c r="H848" s="1">
        <v>0</v>
      </c>
      <c r="I848" s="2">
        <v>13.04</v>
      </c>
      <c r="J848" s="1">
        <v>0.2</v>
      </c>
      <c r="K848" s="2">
        <v>6.54</v>
      </c>
      <c r="L848" s="2">
        <v>11.54</v>
      </c>
      <c r="M848" s="1">
        <v>2.02</v>
      </c>
      <c r="N848" s="1">
        <v>0.26</v>
      </c>
      <c r="O848" s="1">
        <v>0.12</v>
      </c>
      <c r="P848" s="1">
        <v>2.12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 t="s">
        <v>3204</v>
      </c>
      <c r="W848" s="1"/>
    </row>
    <row r="849" spans="1:23" ht="12.4">
      <c r="A849" s="1">
        <v>848</v>
      </c>
      <c r="B849" s="5" t="s">
        <v>3205</v>
      </c>
      <c r="C849" s="1" t="s">
        <v>1496</v>
      </c>
      <c r="D849" s="1">
        <v>38.619999999999997</v>
      </c>
      <c r="E849" s="1">
        <v>1.8</v>
      </c>
      <c r="F849" s="1">
        <v>22.25</v>
      </c>
      <c r="G849" s="1">
        <v>0</v>
      </c>
      <c r="H849" s="1">
        <v>0</v>
      </c>
      <c r="I849" s="2">
        <v>9.2899999999999991</v>
      </c>
      <c r="J849" s="1">
        <v>0.16</v>
      </c>
      <c r="K849" s="2">
        <v>8.4600000000000009</v>
      </c>
      <c r="L849" s="2">
        <v>16.63</v>
      </c>
      <c r="M849" s="1">
        <v>0.72</v>
      </c>
      <c r="N849" s="1">
        <v>0.11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 t="s">
        <v>3204</v>
      </c>
      <c r="W849" s="1"/>
    </row>
    <row r="850" spans="1:23" ht="12.4">
      <c r="A850" s="1">
        <v>849</v>
      </c>
      <c r="B850" s="1" t="s">
        <v>3206</v>
      </c>
      <c r="C850" s="1" t="s">
        <v>2171</v>
      </c>
      <c r="D850" s="1">
        <v>44.03</v>
      </c>
      <c r="E850" s="1">
        <v>0.81</v>
      </c>
      <c r="F850" s="1">
        <v>15.17</v>
      </c>
      <c r="G850" s="1">
        <v>7.0000000000000007E-2</v>
      </c>
      <c r="H850" s="1">
        <v>5.52</v>
      </c>
      <c r="I850" s="2">
        <v>10.08</v>
      </c>
      <c r="J850" s="1">
        <v>0.39</v>
      </c>
      <c r="K850" s="2">
        <v>13.49</v>
      </c>
      <c r="L850" s="2">
        <v>10.74</v>
      </c>
      <c r="M850" s="1">
        <v>0.68</v>
      </c>
      <c r="N850" s="1">
        <v>0.01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/>
      <c r="W850" s="1"/>
    </row>
    <row r="851" spans="1:23" ht="12.4">
      <c r="A851" s="1">
        <v>850</v>
      </c>
      <c r="B851" s="1" t="s">
        <v>3207</v>
      </c>
      <c r="C851" s="1" t="s">
        <v>2171</v>
      </c>
      <c r="D851" s="1">
        <v>55.35</v>
      </c>
      <c r="E851" s="1">
        <v>0.2</v>
      </c>
      <c r="F851" s="1">
        <v>3.6</v>
      </c>
      <c r="G851" s="1">
        <v>0.72</v>
      </c>
      <c r="H851" s="1">
        <v>3.21</v>
      </c>
      <c r="I851" s="2">
        <v>3.39</v>
      </c>
      <c r="J851" s="1">
        <v>0.15</v>
      </c>
      <c r="K851" s="2">
        <v>31.45</v>
      </c>
      <c r="L851" s="2">
        <v>14.56</v>
      </c>
      <c r="M851" s="1">
        <v>1.03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/>
      <c r="W851" s="1" t="s">
        <v>3208</v>
      </c>
    </row>
    <row r="852" spans="1:23" ht="12.4">
      <c r="A852" s="1">
        <v>851</v>
      </c>
      <c r="B852" s="1" t="s">
        <v>3209</v>
      </c>
      <c r="C852" s="1" t="s">
        <v>2155</v>
      </c>
      <c r="D852" s="1">
        <v>55.3</v>
      </c>
      <c r="E852" s="1">
        <v>0.56000000000000005</v>
      </c>
      <c r="F852" s="1">
        <v>5.18</v>
      </c>
      <c r="G852" s="1">
        <v>0.61</v>
      </c>
      <c r="H852" s="1">
        <v>0.79</v>
      </c>
      <c r="I852" s="2">
        <v>5.19</v>
      </c>
      <c r="J852" s="1">
        <v>0.18</v>
      </c>
      <c r="K852" s="2">
        <v>27.6</v>
      </c>
      <c r="L852" s="2">
        <v>4.53</v>
      </c>
      <c r="M852" s="1">
        <v>0.59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/>
      <c r="W852" s="1" t="s">
        <v>3210</v>
      </c>
    </row>
    <row r="853" spans="1:23" ht="12.4">
      <c r="A853" s="1">
        <v>852</v>
      </c>
      <c r="B853" s="1" t="s">
        <v>3211</v>
      </c>
      <c r="C853" s="1" t="s">
        <v>2155</v>
      </c>
      <c r="D853" s="1">
        <v>55.81</v>
      </c>
      <c r="E853" s="1">
        <v>0.17</v>
      </c>
      <c r="F853" s="1">
        <v>3.49</v>
      </c>
      <c r="G853" s="1">
        <v>0.59</v>
      </c>
      <c r="H853" s="1">
        <v>2.56</v>
      </c>
      <c r="I853" s="2">
        <v>3.61</v>
      </c>
      <c r="J853" s="1">
        <v>0.15</v>
      </c>
      <c r="K853" s="2">
        <v>33.700000000000003</v>
      </c>
      <c r="L853" s="2">
        <v>0.84</v>
      </c>
      <c r="M853" s="1">
        <v>0.09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/>
      <c r="W853" s="1"/>
    </row>
    <row r="854" spans="1:23" ht="12.4">
      <c r="A854" s="1">
        <v>853</v>
      </c>
      <c r="B854" s="1" t="s">
        <v>3212</v>
      </c>
      <c r="C854" s="1" t="s">
        <v>2155</v>
      </c>
      <c r="D854" s="1">
        <v>55.01</v>
      </c>
      <c r="E854" s="1">
        <v>0.3</v>
      </c>
      <c r="F854" s="1">
        <v>3.97</v>
      </c>
      <c r="G854" s="1">
        <v>0.75</v>
      </c>
      <c r="H854" s="1">
        <v>0.82</v>
      </c>
      <c r="I854" s="2">
        <v>4.54</v>
      </c>
      <c r="J854" s="1">
        <v>0.13</v>
      </c>
      <c r="K854" s="2">
        <v>30.21</v>
      </c>
      <c r="L854" s="2">
        <v>4.75</v>
      </c>
      <c r="M854" s="1">
        <v>0.32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/>
      <c r="W854" s="1"/>
    </row>
    <row r="855" spans="1:23" ht="12.4">
      <c r="A855" s="1">
        <v>854</v>
      </c>
      <c r="B855" s="1" t="s">
        <v>3213</v>
      </c>
      <c r="C855" s="1" t="s">
        <v>2171</v>
      </c>
      <c r="D855" s="1">
        <v>51.69</v>
      </c>
      <c r="E855" s="1">
        <v>0.68</v>
      </c>
      <c r="F855" s="1">
        <v>5.56</v>
      </c>
      <c r="G855" s="1">
        <v>1.32</v>
      </c>
      <c r="H855" s="1">
        <v>1.05</v>
      </c>
      <c r="I855" s="2">
        <v>2.0099999999999998</v>
      </c>
      <c r="J855" s="1">
        <v>0.11</v>
      </c>
      <c r="K855" s="2">
        <v>15.82</v>
      </c>
      <c r="L855" s="2">
        <v>20.57</v>
      </c>
      <c r="M855" s="1">
        <v>1.25</v>
      </c>
      <c r="N855" s="1">
        <v>0.01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/>
      <c r="W855" s="1"/>
    </row>
    <row r="856" spans="1:23" ht="12.4">
      <c r="A856" s="1">
        <v>855</v>
      </c>
      <c r="B856" s="1" t="s">
        <v>3214</v>
      </c>
      <c r="C856" s="1" t="s">
        <v>2171</v>
      </c>
      <c r="D856" s="1">
        <v>47.74</v>
      </c>
      <c r="E856" s="1">
        <v>1.63</v>
      </c>
      <c r="F856" s="1">
        <v>9.41</v>
      </c>
      <c r="G856" s="1">
        <v>0.01</v>
      </c>
      <c r="H856" s="1">
        <v>2.75</v>
      </c>
      <c r="I856" s="2">
        <v>4.6900000000000004</v>
      </c>
      <c r="J856" s="1">
        <v>0.16</v>
      </c>
      <c r="K856" s="2">
        <v>13.77</v>
      </c>
      <c r="L856" s="2">
        <v>19.48</v>
      </c>
      <c r="M856" s="1">
        <v>1.18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/>
      <c r="W856" s="1" t="s">
        <v>3210</v>
      </c>
    </row>
    <row r="857" spans="1:23" ht="12.4">
      <c r="A857" s="1">
        <v>856</v>
      </c>
      <c r="B857" s="1" t="s">
        <v>3215</v>
      </c>
      <c r="C857" s="1" t="s">
        <v>2171</v>
      </c>
      <c r="D857" s="1">
        <v>46.83</v>
      </c>
      <c r="E857" s="1">
        <v>1.96</v>
      </c>
      <c r="F857" s="1">
        <v>8.33</v>
      </c>
      <c r="G857" s="1">
        <v>0</v>
      </c>
      <c r="H857" s="1">
        <v>4.21</v>
      </c>
      <c r="I857" s="2">
        <v>6.73</v>
      </c>
      <c r="J857" s="1">
        <v>0.25</v>
      </c>
      <c r="K857" s="2">
        <v>10.39</v>
      </c>
      <c r="L857" s="2">
        <v>20.21</v>
      </c>
      <c r="M857" s="1">
        <v>1.48</v>
      </c>
      <c r="N857" s="1">
        <v>0.01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/>
      <c r="W857" s="1"/>
    </row>
    <row r="858" spans="1:23" ht="12.4">
      <c r="A858" s="1">
        <v>857</v>
      </c>
      <c r="B858" s="1" t="s">
        <v>3216</v>
      </c>
      <c r="C858" s="1" t="s">
        <v>2155</v>
      </c>
      <c r="D858" s="1">
        <v>55.43</v>
      </c>
      <c r="E858" s="1">
        <v>0.18</v>
      </c>
      <c r="F858" s="1">
        <v>3.45</v>
      </c>
      <c r="G858" s="1">
        <v>0.53</v>
      </c>
      <c r="H858" s="1">
        <v>0.36</v>
      </c>
      <c r="I858" s="2">
        <v>5.46</v>
      </c>
      <c r="J858" s="1">
        <v>0.13</v>
      </c>
      <c r="K858" s="2">
        <v>33.74</v>
      </c>
      <c r="L858" s="2">
        <v>0.84</v>
      </c>
      <c r="M858" s="1">
        <v>0.1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/>
      <c r="W858" s="1"/>
    </row>
    <row r="859" spans="1:23" ht="12.4">
      <c r="A859" s="1">
        <v>858</v>
      </c>
      <c r="B859" s="1" t="s">
        <v>3217</v>
      </c>
      <c r="C859" s="1" t="s">
        <v>2171</v>
      </c>
      <c r="D859" s="1">
        <v>47.34</v>
      </c>
      <c r="E859" s="1">
        <v>1.72</v>
      </c>
      <c r="F859" s="1">
        <v>9.3000000000000007</v>
      </c>
      <c r="G859" s="1">
        <v>0.01</v>
      </c>
      <c r="H859" s="1">
        <v>2.82</v>
      </c>
      <c r="I859" s="2">
        <v>5.2</v>
      </c>
      <c r="J859" s="1">
        <v>0.16</v>
      </c>
      <c r="K859" s="2">
        <v>13.56</v>
      </c>
      <c r="L859" s="2">
        <v>19.260000000000002</v>
      </c>
      <c r="M859" s="1">
        <v>1.24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/>
      <c r="W859" s="1"/>
    </row>
    <row r="860" spans="1:23" ht="12.4">
      <c r="A860" s="1">
        <v>859</v>
      </c>
      <c r="B860" s="1" t="s">
        <v>3218</v>
      </c>
      <c r="C860" s="1" t="s">
        <v>2171</v>
      </c>
      <c r="D860" s="1">
        <v>49.36</v>
      </c>
      <c r="E860" s="1">
        <v>0.8</v>
      </c>
      <c r="F860" s="1">
        <v>6.55</v>
      </c>
      <c r="G860" s="1">
        <v>0.42</v>
      </c>
      <c r="H860" s="1">
        <v>1.94</v>
      </c>
      <c r="I860" s="2">
        <v>5.24</v>
      </c>
      <c r="J860" s="1">
        <v>0.15</v>
      </c>
      <c r="K860" s="2">
        <v>21.18</v>
      </c>
      <c r="L860" s="2">
        <v>14.2</v>
      </c>
      <c r="M860" s="1">
        <v>0.92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/>
      <c r="W860" s="1"/>
    </row>
    <row r="861" spans="1:23" ht="12.4">
      <c r="A861" s="1">
        <v>860</v>
      </c>
      <c r="B861" s="1" t="s">
        <v>3219</v>
      </c>
      <c r="C861" s="1" t="s">
        <v>2171</v>
      </c>
      <c r="D861" s="1">
        <v>46.78</v>
      </c>
      <c r="E861" s="1">
        <v>0.83</v>
      </c>
      <c r="F861" s="1">
        <v>11.29</v>
      </c>
      <c r="G861" s="1">
        <v>1.02</v>
      </c>
      <c r="H861" s="1">
        <v>0</v>
      </c>
      <c r="I861" s="2">
        <v>0</v>
      </c>
      <c r="J861" s="1">
        <v>0.15</v>
      </c>
      <c r="K861" s="2">
        <v>17.5</v>
      </c>
      <c r="L861" s="2">
        <v>14.56</v>
      </c>
      <c r="M861" s="1">
        <v>1.03</v>
      </c>
      <c r="N861" s="1">
        <v>0.01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/>
      <c r="W861" s="1"/>
    </row>
    <row r="862" spans="1:23" ht="12.4">
      <c r="A862" s="1">
        <v>861</v>
      </c>
      <c r="B862" s="1" t="s">
        <v>3220</v>
      </c>
      <c r="C862" s="1" t="s">
        <v>2171</v>
      </c>
      <c r="D862" s="1">
        <v>50.97</v>
      </c>
      <c r="E862" s="1">
        <v>0.85</v>
      </c>
      <c r="F862" s="1">
        <v>8.0500000000000007</v>
      </c>
      <c r="G862" s="1">
        <v>0.2</v>
      </c>
      <c r="H862" s="1">
        <v>0.81</v>
      </c>
      <c r="I862" s="2">
        <v>2.58</v>
      </c>
      <c r="J862" s="1">
        <v>0.08</v>
      </c>
      <c r="K862" s="2">
        <v>14.83</v>
      </c>
      <c r="L862" s="2">
        <v>20.3</v>
      </c>
      <c r="M862" s="1">
        <v>1.44</v>
      </c>
      <c r="N862" s="1">
        <v>0.01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/>
      <c r="W862" s="1"/>
    </row>
    <row r="863" spans="1:23" ht="12.4">
      <c r="A863" s="1">
        <v>862</v>
      </c>
      <c r="B863" s="1" t="s">
        <v>3221</v>
      </c>
      <c r="C863" s="1" t="s">
        <v>2155</v>
      </c>
      <c r="D863" s="1">
        <v>51.34</v>
      </c>
      <c r="E863" s="1">
        <v>0.19</v>
      </c>
      <c r="F863" s="1">
        <v>4.25</v>
      </c>
      <c r="G863" s="1">
        <v>0.02</v>
      </c>
      <c r="H863" s="1">
        <v>0.27</v>
      </c>
      <c r="I863" s="2">
        <v>3.75</v>
      </c>
      <c r="J863" s="1">
        <v>0.15</v>
      </c>
      <c r="K863" s="2">
        <v>32.049999999999997</v>
      </c>
      <c r="L863" s="2">
        <v>20.350000000000001</v>
      </c>
      <c r="M863" s="1">
        <v>1.17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/>
      <c r="W863" s="1"/>
    </row>
    <row r="864" spans="1:23" ht="12.4">
      <c r="A864" s="5">
        <v>863</v>
      </c>
      <c r="B864" s="5" t="s">
        <v>3222</v>
      </c>
      <c r="C864" s="1" t="s">
        <v>2171</v>
      </c>
      <c r="D864" s="1">
        <v>52.26</v>
      </c>
      <c r="E864" s="1">
        <v>0.47</v>
      </c>
      <c r="F864" s="1">
        <v>7.11</v>
      </c>
      <c r="G864" s="1">
        <v>1.03</v>
      </c>
      <c r="H864" s="1">
        <v>0.66</v>
      </c>
      <c r="I864" s="2">
        <v>2.38</v>
      </c>
      <c r="J864" s="1">
        <v>7.0000000000000007E-2</v>
      </c>
      <c r="K864" s="2">
        <v>15.25</v>
      </c>
      <c r="L864" s="2">
        <v>20.190000000000001</v>
      </c>
      <c r="M864" s="1">
        <v>1.66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/>
      <c r="W864" s="1"/>
    </row>
    <row r="865" spans="1:23" ht="12.4">
      <c r="A865" s="5">
        <v>864</v>
      </c>
      <c r="B865" s="5" t="s">
        <v>3223</v>
      </c>
      <c r="C865" s="1" t="s">
        <v>2155</v>
      </c>
      <c r="D865" s="1">
        <v>55.36</v>
      </c>
      <c r="E865" s="1">
        <v>0.12</v>
      </c>
      <c r="F865" s="1">
        <v>4.8499999999999996</v>
      </c>
      <c r="G865" s="1">
        <v>0.46</v>
      </c>
      <c r="H865" s="1">
        <v>0.49</v>
      </c>
      <c r="I865" s="2">
        <v>5.86</v>
      </c>
      <c r="J865" s="1">
        <v>0.11</v>
      </c>
      <c r="K865" s="2">
        <v>32.4</v>
      </c>
      <c r="L865" s="2">
        <v>0.88</v>
      </c>
      <c r="M865" s="1">
        <v>0.13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/>
      <c r="W865" s="1"/>
    </row>
    <row r="866" spans="1:23" ht="12.4">
      <c r="A866" s="5">
        <v>865</v>
      </c>
      <c r="B866" s="5" t="s">
        <v>3224</v>
      </c>
      <c r="C866" s="1" t="s">
        <v>2171</v>
      </c>
      <c r="D866" s="1">
        <v>48.2</v>
      </c>
      <c r="E866" s="1">
        <v>1.36</v>
      </c>
      <c r="F866" s="1">
        <v>6.7</v>
      </c>
      <c r="G866" s="1">
        <v>0.39</v>
      </c>
      <c r="H866" s="1">
        <v>2.4300000000000002</v>
      </c>
      <c r="I866" s="2">
        <v>3.01</v>
      </c>
      <c r="J866" s="1">
        <v>0</v>
      </c>
      <c r="K866" s="2">
        <v>14.4</v>
      </c>
      <c r="L866" s="2">
        <v>21.16</v>
      </c>
      <c r="M866" s="1">
        <v>0.81</v>
      </c>
      <c r="N866" s="1">
        <v>0.06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/>
      <c r="W866" s="1"/>
    </row>
    <row r="867" spans="1:23" ht="12.4">
      <c r="A867" s="5">
        <v>866</v>
      </c>
      <c r="B867" s="5" t="s">
        <v>3225</v>
      </c>
      <c r="C867" s="1" t="s">
        <v>2171</v>
      </c>
      <c r="D867" s="1">
        <v>47.93</v>
      </c>
      <c r="E867" s="1">
        <v>1.63</v>
      </c>
      <c r="F867" s="1">
        <v>7.7</v>
      </c>
      <c r="G867" s="1">
        <v>0.06</v>
      </c>
      <c r="H867" s="1">
        <v>2.44</v>
      </c>
      <c r="I867" s="2">
        <v>2.96</v>
      </c>
      <c r="J867" s="1">
        <v>0</v>
      </c>
      <c r="K867" s="2">
        <v>14.3</v>
      </c>
      <c r="L867" s="2">
        <v>20.86</v>
      </c>
      <c r="M867" s="1">
        <v>0.81</v>
      </c>
      <c r="N867" s="1">
        <v>0.05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/>
      <c r="W867" s="1"/>
    </row>
    <row r="868" spans="1:23" ht="12.4">
      <c r="A868" s="5">
        <v>867</v>
      </c>
      <c r="B868" s="5" t="s">
        <v>3226</v>
      </c>
      <c r="C868" s="1" t="s">
        <v>2155</v>
      </c>
      <c r="D868" s="1">
        <v>56</v>
      </c>
      <c r="E868" s="1">
        <v>0.01</v>
      </c>
      <c r="F868" s="1">
        <v>3.61</v>
      </c>
      <c r="G868" s="1">
        <v>0.57999999999999996</v>
      </c>
      <c r="H868" s="1">
        <v>0.31</v>
      </c>
      <c r="I868" s="2">
        <v>5.23</v>
      </c>
      <c r="J868" s="1">
        <v>0.14000000000000001</v>
      </c>
      <c r="K868" s="2">
        <v>31.86</v>
      </c>
      <c r="L868" s="2">
        <v>3.27</v>
      </c>
      <c r="M868" s="1">
        <v>0.12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/>
      <c r="W868" s="1"/>
    </row>
    <row r="869" spans="1:23" ht="12.4">
      <c r="A869" s="5">
        <v>868</v>
      </c>
      <c r="B869" s="5" t="s">
        <v>3227</v>
      </c>
      <c r="C869" s="1" t="s">
        <v>2171</v>
      </c>
      <c r="D869" s="1">
        <v>49.76</v>
      </c>
      <c r="E869" s="1">
        <v>0.92</v>
      </c>
      <c r="F869" s="1">
        <v>8.6</v>
      </c>
      <c r="G869" s="1">
        <v>0.32</v>
      </c>
      <c r="H869" s="1">
        <v>1.79</v>
      </c>
      <c r="I869" s="2">
        <v>4.76</v>
      </c>
      <c r="J869" s="1">
        <v>0.16</v>
      </c>
      <c r="K869" s="2">
        <v>15.13</v>
      </c>
      <c r="L869" s="2">
        <v>18.66</v>
      </c>
      <c r="M869" s="1">
        <v>1.23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/>
      <c r="W869" s="1"/>
    </row>
    <row r="870" spans="1:23" ht="12.4">
      <c r="A870" s="5">
        <v>869</v>
      </c>
      <c r="B870" s="5" t="s">
        <v>3228</v>
      </c>
      <c r="C870" s="1" t="s">
        <v>2171</v>
      </c>
      <c r="D870" s="1">
        <v>51.08</v>
      </c>
      <c r="E870" s="1">
        <v>0.35</v>
      </c>
      <c r="F870" s="1">
        <v>6.77</v>
      </c>
      <c r="G870" s="1">
        <v>0.97</v>
      </c>
      <c r="H870" s="1">
        <v>1.19</v>
      </c>
      <c r="I870" s="2">
        <v>2.89</v>
      </c>
      <c r="J870" s="1">
        <v>0.09</v>
      </c>
      <c r="K870" s="2">
        <v>15.98</v>
      </c>
      <c r="L870" s="2">
        <v>18.78</v>
      </c>
      <c r="M870" s="1">
        <v>1.78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/>
      <c r="W870" s="1" t="s">
        <v>3229</v>
      </c>
    </row>
    <row r="871" spans="1:23" ht="12.4">
      <c r="A871" s="5">
        <v>870</v>
      </c>
      <c r="B871" s="5" t="s">
        <v>3230</v>
      </c>
      <c r="C871" s="1" t="s">
        <v>2155</v>
      </c>
      <c r="D871" s="1">
        <v>54.04</v>
      </c>
      <c r="E871" s="1">
        <v>0.11</v>
      </c>
      <c r="F871" s="1">
        <v>4.92</v>
      </c>
      <c r="G871" s="1">
        <v>0.5</v>
      </c>
      <c r="H871" s="1">
        <v>0.87</v>
      </c>
      <c r="I871" s="2">
        <v>6.34</v>
      </c>
      <c r="J871" s="1">
        <v>0.12</v>
      </c>
      <c r="K871" s="2">
        <v>31.67</v>
      </c>
      <c r="L871" s="2">
        <v>1.1499999999999999</v>
      </c>
      <c r="M871" s="1">
        <v>0.19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/>
      <c r="W871" s="1" t="s">
        <v>3231</v>
      </c>
    </row>
    <row r="872" spans="1:23" ht="12.4">
      <c r="A872" s="1">
        <v>871</v>
      </c>
      <c r="B872" s="5" t="s">
        <v>3232</v>
      </c>
      <c r="C872" s="1" t="s">
        <v>2171</v>
      </c>
      <c r="D872" s="1">
        <v>51.16</v>
      </c>
      <c r="E872" s="1">
        <v>0.56000000000000005</v>
      </c>
      <c r="F872" s="1">
        <v>7.42</v>
      </c>
      <c r="G872" s="1">
        <v>0.7</v>
      </c>
      <c r="H872" s="1">
        <v>0.25</v>
      </c>
      <c r="I872" s="2">
        <v>2.98</v>
      </c>
      <c r="J872" s="1">
        <v>0.09</v>
      </c>
      <c r="K872" s="2">
        <v>15.42</v>
      </c>
      <c r="L872" s="2">
        <v>19.190000000000001</v>
      </c>
      <c r="M872" s="1">
        <v>1.54</v>
      </c>
      <c r="N872" s="1">
        <v>0.01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/>
      <c r="W872" s="1"/>
    </row>
    <row r="873" spans="1:23" ht="12.4">
      <c r="A873" s="1">
        <v>872</v>
      </c>
      <c r="B873" s="5" t="s">
        <v>3233</v>
      </c>
      <c r="C873" s="1" t="s">
        <v>2155</v>
      </c>
      <c r="D873" s="1">
        <v>57.87</v>
      </c>
      <c r="E873" s="1">
        <v>0.05</v>
      </c>
      <c r="F873" s="1">
        <v>0.14000000000000001</v>
      </c>
      <c r="G873" s="1">
        <v>0.01</v>
      </c>
      <c r="H873" s="1">
        <v>0.49</v>
      </c>
      <c r="I873" s="2">
        <v>5.91</v>
      </c>
      <c r="J873" s="1">
        <v>0.26</v>
      </c>
      <c r="K873" s="2">
        <v>35.31</v>
      </c>
      <c r="L873" s="2">
        <v>0.15</v>
      </c>
      <c r="M873" s="1">
        <v>0.04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/>
      <c r="W873" s="1"/>
    </row>
    <row r="874" spans="1:23" ht="12.4">
      <c r="A874" s="1">
        <v>873</v>
      </c>
      <c r="B874" s="5" t="s">
        <v>3234</v>
      </c>
      <c r="C874" s="1" t="s">
        <v>2171</v>
      </c>
      <c r="D874" s="1">
        <v>54.96</v>
      </c>
      <c r="E874" s="1">
        <v>0.6</v>
      </c>
      <c r="F874" s="1">
        <v>1.1200000000000001</v>
      </c>
      <c r="G874" s="1">
        <v>0</v>
      </c>
      <c r="H874" s="1">
        <v>0</v>
      </c>
      <c r="I874" s="2">
        <v>11.98</v>
      </c>
      <c r="J874" s="1">
        <v>0.44</v>
      </c>
      <c r="K874" s="2">
        <v>28.56</v>
      </c>
      <c r="L874" s="2">
        <v>4.0599999999999996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/>
      <c r="W874" s="1"/>
    </row>
    <row r="875" spans="1:23" ht="12.4">
      <c r="A875" s="1">
        <v>874</v>
      </c>
      <c r="B875" s="5" t="s">
        <v>3235</v>
      </c>
      <c r="C875" s="1" t="s">
        <v>2171</v>
      </c>
      <c r="D875" s="1">
        <v>55.57</v>
      </c>
      <c r="E875" s="1">
        <v>0.6</v>
      </c>
      <c r="F875" s="1">
        <v>1.1200000000000001</v>
      </c>
      <c r="G875" s="1">
        <v>0</v>
      </c>
      <c r="H875" s="1">
        <v>0</v>
      </c>
      <c r="I875" s="2">
        <v>11.13</v>
      </c>
      <c r="J875" s="1">
        <v>0.36</v>
      </c>
      <c r="K875" s="2">
        <v>27.71</v>
      </c>
      <c r="L875" s="2">
        <v>5.23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/>
      <c r="W875" s="1"/>
    </row>
    <row r="876" spans="1:23" ht="12.4">
      <c r="A876" s="1">
        <v>875</v>
      </c>
      <c r="B876" s="5" t="s">
        <v>3236</v>
      </c>
      <c r="C876" s="1" t="s">
        <v>2171</v>
      </c>
      <c r="D876" s="1">
        <v>54.58</v>
      </c>
      <c r="E876" s="1">
        <v>0.6</v>
      </c>
      <c r="F876" s="1">
        <v>1.1200000000000001</v>
      </c>
      <c r="G876" s="1">
        <v>0</v>
      </c>
      <c r="H876" s="1">
        <v>0</v>
      </c>
      <c r="I876" s="2">
        <v>16.84</v>
      </c>
      <c r="J876" s="1">
        <v>0.56999999999999995</v>
      </c>
      <c r="K876" s="2">
        <v>24.54</v>
      </c>
      <c r="L876" s="2">
        <v>3.47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/>
      <c r="W876" s="1"/>
    </row>
    <row r="877" spans="1:23" ht="12.4">
      <c r="A877" s="1">
        <v>876</v>
      </c>
      <c r="B877" s="5" t="s">
        <v>3237</v>
      </c>
      <c r="C877" s="1" t="s">
        <v>2171</v>
      </c>
      <c r="D877" s="1">
        <v>54.51</v>
      </c>
      <c r="E877" s="1">
        <v>0.6</v>
      </c>
      <c r="F877" s="1">
        <v>1.1200000000000001</v>
      </c>
      <c r="G877" s="1">
        <v>0</v>
      </c>
      <c r="H877" s="1">
        <v>0</v>
      </c>
      <c r="I877" s="2">
        <v>16.59</v>
      </c>
      <c r="J877" s="1">
        <v>0.28999999999999998</v>
      </c>
      <c r="K877" s="2">
        <v>23.89</v>
      </c>
      <c r="L877" s="2">
        <v>4.72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/>
      <c r="W877" s="1"/>
    </row>
    <row r="878" spans="1:23" ht="12.4">
      <c r="A878" s="5">
        <v>877</v>
      </c>
      <c r="B878" s="5" t="s">
        <v>3238</v>
      </c>
      <c r="C878" s="1" t="s">
        <v>2171</v>
      </c>
      <c r="D878" s="1">
        <v>52.89</v>
      </c>
      <c r="E878" s="1">
        <v>0.6</v>
      </c>
      <c r="F878" s="1">
        <v>1.1200000000000001</v>
      </c>
      <c r="G878" s="1">
        <v>0</v>
      </c>
      <c r="H878" s="1">
        <v>0</v>
      </c>
      <c r="I878" s="2">
        <v>23.8</v>
      </c>
      <c r="J878" s="1">
        <v>0.12</v>
      </c>
      <c r="K878" s="2">
        <v>19.399999999999999</v>
      </c>
      <c r="L878" s="2">
        <v>3.79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/>
      <c r="W878" s="1"/>
    </row>
    <row r="879" spans="1:23" ht="12.4">
      <c r="A879" s="5">
        <v>878</v>
      </c>
      <c r="B879" s="5" t="s">
        <v>3239</v>
      </c>
      <c r="C879" s="1" t="s">
        <v>2171</v>
      </c>
      <c r="D879" s="1">
        <v>52.71</v>
      </c>
      <c r="E879" s="1">
        <v>0.6</v>
      </c>
      <c r="F879" s="1">
        <v>1.1200000000000001</v>
      </c>
      <c r="G879" s="1">
        <v>0</v>
      </c>
      <c r="H879" s="1">
        <v>0</v>
      </c>
      <c r="I879" s="2">
        <v>22.55</v>
      </c>
      <c r="J879" s="1">
        <v>0.18</v>
      </c>
      <c r="K879" s="2">
        <v>19.93</v>
      </c>
      <c r="L879" s="2">
        <v>4.63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/>
      <c r="W879" s="1"/>
    </row>
    <row r="880" spans="1:23" ht="12.4">
      <c r="A880" s="5">
        <v>879</v>
      </c>
      <c r="B880" s="5" t="s">
        <v>3240</v>
      </c>
      <c r="C880" s="1" t="s">
        <v>2171</v>
      </c>
      <c r="D880" s="1">
        <v>50.69</v>
      </c>
      <c r="E880" s="1">
        <v>0.6</v>
      </c>
      <c r="F880" s="1">
        <v>1.1200000000000001</v>
      </c>
      <c r="G880" s="1">
        <v>0</v>
      </c>
      <c r="H880" s="1">
        <v>0</v>
      </c>
      <c r="I880" s="2">
        <v>30.67</v>
      </c>
      <c r="J880" s="1">
        <v>0.1</v>
      </c>
      <c r="K880" s="2">
        <v>15.06</v>
      </c>
      <c r="L880" s="2">
        <v>3.48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/>
      <c r="W880" s="1"/>
    </row>
    <row r="881" spans="1:23" ht="12.4">
      <c r="A881" s="1">
        <v>880</v>
      </c>
      <c r="B881" s="5" t="s">
        <v>3241</v>
      </c>
      <c r="C881" s="1" t="s">
        <v>2151</v>
      </c>
      <c r="D881" s="1">
        <v>50.26</v>
      </c>
      <c r="E881" s="1">
        <v>0.78</v>
      </c>
      <c r="F881" s="1">
        <v>1.73</v>
      </c>
      <c r="G881" s="1">
        <v>0.01</v>
      </c>
      <c r="H881" s="1">
        <v>6.12</v>
      </c>
      <c r="I881" s="2">
        <v>11.69</v>
      </c>
      <c r="J881" s="1">
        <v>0.39</v>
      </c>
      <c r="K881" s="2">
        <v>13.93</v>
      </c>
      <c r="L881" s="2">
        <v>15.02</v>
      </c>
      <c r="M881" s="1">
        <v>0.18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/>
      <c r="W881" s="1" t="s">
        <v>3208</v>
      </c>
    </row>
    <row r="882" spans="1:23" ht="12.4">
      <c r="A882" s="1">
        <v>881</v>
      </c>
      <c r="B882" s="5" t="s">
        <v>3242</v>
      </c>
      <c r="C882" s="1" t="s">
        <v>1543</v>
      </c>
      <c r="D882" s="1">
        <v>30.55</v>
      </c>
      <c r="E882" s="1">
        <v>0.01</v>
      </c>
      <c r="F882" s="1">
        <v>18.399999999999999</v>
      </c>
      <c r="G882" s="1">
        <v>0.02</v>
      </c>
      <c r="H882" s="1">
        <v>4.13</v>
      </c>
      <c r="I882" s="2">
        <v>12.43</v>
      </c>
      <c r="J882" s="1">
        <v>0.23</v>
      </c>
      <c r="K882" s="2">
        <v>23.28</v>
      </c>
      <c r="L882" s="2">
        <v>0.25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/>
      <c r="W882" s="1" t="s">
        <v>3085</v>
      </c>
    </row>
    <row r="883" spans="1:23" ht="12.4">
      <c r="A883" s="1">
        <v>882</v>
      </c>
      <c r="B883" s="5" t="s">
        <v>3243</v>
      </c>
      <c r="C883" s="1" t="s">
        <v>2155</v>
      </c>
      <c r="D883" s="1">
        <v>49.46</v>
      </c>
      <c r="E883" s="1">
        <v>0.51</v>
      </c>
      <c r="F883" s="1">
        <v>7.22</v>
      </c>
      <c r="G883" s="1">
        <v>0.11</v>
      </c>
      <c r="H883" s="1">
        <v>0.8</v>
      </c>
      <c r="I883" s="2">
        <v>17.22</v>
      </c>
      <c r="J883" s="1">
        <v>0.27</v>
      </c>
      <c r="K883" s="2">
        <v>22.27</v>
      </c>
      <c r="L883" s="2">
        <v>2.37</v>
      </c>
      <c r="M883" s="1">
        <v>0.26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/>
      <c r="W883" s="1" t="s">
        <v>3244</v>
      </c>
    </row>
    <row r="884" spans="1:23" ht="12.4">
      <c r="A884" s="1">
        <v>883</v>
      </c>
      <c r="B884" s="5" t="s">
        <v>3245</v>
      </c>
      <c r="C884" s="1" t="s">
        <v>2171</v>
      </c>
      <c r="D884" s="1">
        <v>47.88</v>
      </c>
      <c r="E884" s="1">
        <v>0.08</v>
      </c>
      <c r="F884" s="1">
        <v>0.35</v>
      </c>
      <c r="G884" s="1">
        <v>0</v>
      </c>
      <c r="H884" s="1">
        <v>8.6199999999999992</v>
      </c>
      <c r="I884" s="2">
        <v>22.07</v>
      </c>
      <c r="J884" s="1">
        <v>1.03</v>
      </c>
      <c r="K884" s="2">
        <v>0.46</v>
      </c>
      <c r="L884" s="2">
        <v>18.28</v>
      </c>
      <c r="M884" s="1">
        <v>1.48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/>
      <c r="W884" s="1" t="s">
        <v>3208</v>
      </c>
    </row>
    <row r="885" spans="1:23" ht="12.4">
      <c r="A885" s="5">
        <v>884</v>
      </c>
      <c r="B885" s="5" t="s">
        <v>3246</v>
      </c>
      <c r="C885" s="1" t="s">
        <v>1543</v>
      </c>
      <c r="D885" s="1">
        <v>57.73</v>
      </c>
      <c r="E885" s="1">
        <v>0.01</v>
      </c>
      <c r="F885" s="1">
        <v>0.32</v>
      </c>
      <c r="G885" s="1">
        <v>0.17</v>
      </c>
      <c r="H885" s="1">
        <v>0.65</v>
      </c>
      <c r="I885" s="2">
        <v>5.89</v>
      </c>
      <c r="J885" s="1">
        <v>0.15</v>
      </c>
      <c r="K885" s="2">
        <v>35.32</v>
      </c>
      <c r="L885" s="2">
        <v>0.15</v>
      </c>
      <c r="M885" s="1">
        <v>0.01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/>
      <c r="W885" s="1" t="s">
        <v>3247</v>
      </c>
    </row>
    <row r="886" spans="1:23" ht="12.4">
      <c r="A886" s="5">
        <v>885</v>
      </c>
      <c r="B886" s="5" t="s">
        <v>3248</v>
      </c>
      <c r="C886" s="1" t="s">
        <v>1543</v>
      </c>
      <c r="D886" s="1">
        <v>57.9</v>
      </c>
      <c r="E886" s="1">
        <v>0</v>
      </c>
      <c r="F886" s="1">
        <v>0.06</v>
      </c>
      <c r="G886" s="1">
        <v>0.06</v>
      </c>
      <c r="H886" s="1">
        <v>0</v>
      </c>
      <c r="I886" s="2">
        <v>6.29</v>
      </c>
      <c r="J886" s="1">
        <v>0.12</v>
      </c>
      <c r="K886" s="2">
        <v>35.58</v>
      </c>
      <c r="L886" s="2">
        <v>0.03</v>
      </c>
      <c r="M886" s="1">
        <v>0.01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/>
      <c r="W886" s="1" t="s">
        <v>3247</v>
      </c>
    </row>
    <row r="887" spans="1:23" ht="12.4">
      <c r="A887" s="5">
        <v>886</v>
      </c>
      <c r="B887" s="5" t="s">
        <v>3249</v>
      </c>
      <c r="C887" s="1" t="s">
        <v>2155</v>
      </c>
      <c r="D887" s="1">
        <v>54.17</v>
      </c>
      <c r="E887" s="1">
        <v>0.06</v>
      </c>
      <c r="F887" s="1">
        <v>0.56000000000000005</v>
      </c>
      <c r="G887" s="1">
        <v>0.65</v>
      </c>
      <c r="H887" s="1">
        <v>0</v>
      </c>
      <c r="I887" s="2">
        <v>0</v>
      </c>
      <c r="J887" s="1">
        <v>0.59</v>
      </c>
      <c r="K887" s="2">
        <v>27.01</v>
      </c>
      <c r="L887" s="2">
        <v>1.1000000000000001</v>
      </c>
      <c r="M887" s="1">
        <v>0.01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/>
      <c r="W887" s="1"/>
    </row>
    <row r="888" spans="1:23" ht="12.4">
      <c r="A888" s="5">
        <v>887</v>
      </c>
      <c r="B888" s="5" t="s">
        <v>3250</v>
      </c>
      <c r="C888" s="1" t="s">
        <v>1510</v>
      </c>
      <c r="D888" s="1">
        <v>56.09</v>
      </c>
      <c r="E888" s="1">
        <v>0.1</v>
      </c>
      <c r="F888" s="1">
        <v>1.26</v>
      </c>
      <c r="G888" s="1">
        <v>0.98</v>
      </c>
      <c r="H888" s="1">
        <v>0</v>
      </c>
      <c r="I888" s="2">
        <v>6.79</v>
      </c>
      <c r="J888" s="1">
        <v>0.55000000000000004</v>
      </c>
      <c r="K888" s="2">
        <v>32.1</v>
      </c>
      <c r="L888" s="2">
        <v>2.59</v>
      </c>
      <c r="M888" s="1">
        <v>0.01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/>
      <c r="W888" s="1"/>
    </row>
    <row r="889" spans="1:23" ht="12.4">
      <c r="A889" s="5">
        <v>888</v>
      </c>
      <c r="B889" s="5" t="s">
        <v>3251</v>
      </c>
      <c r="C889" s="1" t="s">
        <v>1510</v>
      </c>
      <c r="D889" s="1">
        <v>44.01</v>
      </c>
      <c r="E889" s="1">
        <v>0.05</v>
      </c>
      <c r="F889" s="1">
        <v>0.08</v>
      </c>
      <c r="G889" s="1">
        <v>0</v>
      </c>
      <c r="H889" s="1">
        <v>0</v>
      </c>
      <c r="I889" s="2">
        <v>0</v>
      </c>
      <c r="J889" s="1">
        <v>0.53</v>
      </c>
      <c r="K889" s="2">
        <v>44.66</v>
      </c>
      <c r="L889" s="2">
        <v>0.25</v>
      </c>
      <c r="M889" s="1">
        <v>0.03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/>
      <c r="W889" s="1"/>
    </row>
    <row r="890" spans="1:23" ht="12.4">
      <c r="A890" s="5">
        <v>889</v>
      </c>
      <c r="B890" s="5" t="s">
        <v>3252</v>
      </c>
      <c r="C890" s="1" t="s">
        <v>1510</v>
      </c>
      <c r="D890" s="1">
        <v>55.76</v>
      </c>
      <c r="E890" s="1">
        <v>0.4</v>
      </c>
      <c r="F890" s="1">
        <v>0.65</v>
      </c>
      <c r="G890" s="1">
        <v>1.23</v>
      </c>
      <c r="H890" s="1">
        <v>2.52</v>
      </c>
      <c r="I890" s="2">
        <v>1.33</v>
      </c>
      <c r="J890" s="1">
        <v>0.48</v>
      </c>
      <c r="K890" s="2">
        <v>26.85</v>
      </c>
      <c r="L890" s="2">
        <v>10.94</v>
      </c>
      <c r="M890" s="1">
        <v>0.44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/>
      <c r="W890" s="1"/>
    </row>
    <row r="891" spans="1:23" ht="12.4">
      <c r="A891" s="5">
        <v>890</v>
      </c>
      <c r="B891" s="5" t="s">
        <v>3253</v>
      </c>
      <c r="C891" s="1" t="s">
        <v>1510</v>
      </c>
      <c r="D891" s="1">
        <v>59.58</v>
      </c>
      <c r="E891" s="1">
        <v>0.02</v>
      </c>
      <c r="F891" s="1">
        <v>0.04</v>
      </c>
      <c r="G891" s="1">
        <v>0.04</v>
      </c>
      <c r="H891" s="1">
        <v>0</v>
      </c>
      <c r="I891" s="2">
        <v>0</v>
      </c>
      <c r="J891" s="1">
        <v>0.11</v>
      </c>
      <c r="K891" s="2">
        <v>40.22</v>
      </c>
      <c r="L891" s="2">
        <v>0.24</v>
      </c>
      <c r="M891" s="1">
        <v>0.03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/>
      <c r="W891" s="1"/>
    </row>
    <row r="892" spans="1:23" ht="12.4">
      <c r="A892" s="5">
        <v>891</v>
      </c>
      <c r="B892" s="5" t="s">
        <v>3254</v>
      </c>
      <c r="C892" s="1" t="s">
        <v>1510</v>
      </c>
      <c r="D892" s="1">
        <v>59.8</v>
      </c>
      <c r="E892" s="1">
        <v>0.02</v>
      </c>
      <c r="F892" s="1">
        <v>0.04</v>
      </c>
      <c r="G892" s="1">
        <v>0.02</v>
      </c>
      <c r="H892" s="1">
        <v>0</v>
      </c>
      <c r="I892" s="2">
        <v>0.05</v>
      </c>
      <c r="J892" s="1">
        <v>0.09</v>
      </c>
      <c r="K892" s="2">
        <v>39.799999999999997</v>
      </c>
      <c r="L892" s="2">
        <v>0.26</v>
      </c>
      <c r="M892" s="1">
        <v>0.01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/>
      <c r="W892" s="1"/>
    </row>
    <row r="893" spans="1:23" ht="12.4">
      <c r="A893" s="5">
        <v>892</v>
      </c>
      <c r="B893" s="5" t="s">
        <v>3255</v>
      </c>
      <c r="C893" s="1" t="s">
        <v>2155</v>
      </c>
      <c r="D893" s="1">
        <v>54.71</v>
      </c>
      <c r="E893" s="1">
        <v>0.14000000000000001</v>
      </c>
      <c r="F893" s="1">
        <v>1.1399999999999999</v>
      </c>
      <c r="G893" s="1">
        <v>0.28999999999999998</v>
      </c>
      <c r="H893" s="1">
        <v>0</v>
      </c>
      <c r="I893" s="2">
        <v>15.25</v>
      </c>
      <c r="J893" s="1">
        <v>0.56000000000000005</v>
      </c>
      <c r="K893" s="2">
        <v>27.5</v>
      </c>
      <c r="L893" s="2">
        <v>0.98</v>
      </c>
      <c r="M893" s="1">
        <v>0.02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/>
      <c r="W893" s="1"/>
    </row>
    <row r="894" spans="1:23" ht="12.4">
      <c r="A894" s="1">
        <v>893</v>
      </c>
      <c r="B894" s="5" t="s">
        <v>3256</v>
      </c>
      <c r="C894" s="1" t="s">
        <v>2785</v>
      </c>
      <c r="D894" s="1">
        <v>40.28</v>
      </c>
      <c r="E894" s="1">
        <v>0</v>
      </c>
      <c r="F894" s="1">
        <v>0.02</v>
      </c>
      <c r="G894" s="1">
        <v>0</v>
      </c>
      <c r="H894" s="1">
        <v>0</v>
      </c>
      <c r="I894" s="2">
        <v>9.1999999999999993</v>
      </c>
      <c r="J894" s="1">
        <v>0</v>
      </c>
      <c r="K894" s="2">
        <v>50.42</v>
      </c>
      <c r="L894" s="2">
        <v>0.08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/>
      <c r="W894" s="1"/>
    </row>
    <row r="895" spans="1:23" ht="12.4">
      <c r="A895" s="1">
        <v>894</v>
      </c>
      <c r="B895" s="5" t="s">
        <v>3257</v>
      </c>
      <c r="C895" s="1" t="s">
        <v>2785</v>
      </c>
      <c r="D895" s="1">
        <v>42.91</v>
      </c>
      <c r="E895" s="1">
        <v>0</v>
      </c>
      <c r="F895" s="1">
        <v>7.0000000000000007E-2</v>
      </c>
      <c r="G895" s="1">
        <v>0</v>
      </c>
      <c r="H895" s="1">
        <v>0</v>
      </c>
      <c r="I895" s="2">
        <v>0.38</v>
      </c>
      <c r="J895" s="1">
        <v>0</v>
      </c>
      <c r="K895" s="2">
        <v>56.62</v>
      </c>
      <c r="L895" s="2">
        <v>0.02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/>
      <c r="W895" s="1"/>
    </row>
    <row r="896" spans="1:23" ht="12.4">
      <c r="A896" s="1">
        <v>895</v>
      </c>
      <c r="B896" s="5" t="s">
        <v>3258</v>
      </c>
      <c r="C896" s="1" t="s">
        <v>2785</v>
      </c>
      <c r="D896" s="1">
        <v>42.36</v>
      </c>
      <c r="E896" s="1">
        <v>0</v>
      </c>
      <c r="F896" s="1">
        <v>0.72</v>
      </c>
      <c r="G896" s="1">
        <v>0</v>
      </c>
      <c r="H896" s="1">
        <v>0</v>
      </c>
      <c r="I896" s="2">
        <v>0.56999999999999995</v>
      </c>
      <c r="J896" s="1">
        <v>0</v>
      </c>
      <c r="K896" s="2">
        <v>56.25</v>
      </c>
      <c r="L896" s="2">
        <v>0.1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/>
      <c r="W896" s="1"/>
    </row>
    <row r="897" spans="1:23" ht="12.4">
      <c r="A897" s="1">
        <v>896</v>
      </c>
      <c r="B897" s="5" t="s">
        <v>3259</v>
      </c>
      <c r="C897" s="1" t="s">
        <v>2785</v>
      </c>
      <c r="D897" s="1">
        <v>42.07</v>
      </c>
      <c r="E897" s="1">
        <v>0</v>
      </c>
      <c r="F897" s="1">
        <v>0.01</v>
      </c>
      <c r="G897" s="1">
        <v>0</v>
      </c>
      <c r="H897" s="1">
        <v>0</v>
      </c>
      <c r="I897" s="2">
        <v>0.06</v>
      </c>
      <c r="J897" s="1">
        <v>0</v>
      </c>
      <c r="K897" s="2">
        <v>57.85</v>
      </c>
      <c r="L897" s="2">
        <v>0.01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/>
      <c r="W897" s="1"/>
    </row>
    <row r="898" spans="1:23" ht="12.4">
      <c r="A898" s="1">
        <v>897</v>
      </c>
      <c r="B898" s="5" t="s">
        <v>3260</v>
      </c>
      <c r="C898" s="1" t="s">
        <v>2785</v>
      </c>
      <c r="D898" s="1">
        <v>41.96</v>
      </c>
      <c r="E898" s="1">
        <v>0</v>
      </c>
      <c r="F898" s="1">
        <v>0.24</v>
      </c>
      <c r="G898" s="1">
        <v>0</v>
      </c>
      <c r="H898" s="1">
        <v>0</v>
      </c>
      <c r="I898" s="2">
        <v>0</v>
      </c>
      <c r="J898" s="1">
        <v>0</v>
      </c>
      <c r="K898" s="2">
        <v>57.76</v>
      </c>
      <c r="L898" s="2">
        <v>0.04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/>
      <c r="W898" s="1"/>
    </row>
    <row r="899" spans="1:23" ht="12.4">
      <c r="A899" s="1">
        <v>898</v>
      </c>
      <c r="B899" s="5" t="s">
        <v>3261</v>
      </c>
      <c r="C899" s="1" t="s">
        <v>2785</v>
      </c>
      <c r="D899" s="1">
        <v>41.8</v>
      </c>
      <c r="E899" s="1">
        <v>0</v>
      </c>
      <c r="F899" s="1">
        <v>0.02</v>
      </c>
      <c r="G899" s="1">
        <v>0</v>
      </c>
      <c r="H899" s="1">
        <v>0</v>
      </c>
      <c r="I899" s="2">
        <v>0</v>
      </c>
      <c r="J899" s="1">
        <v>0</v>
      </c>
      <c r="K899" s="2">
        <v>58.69</v>
      </c>
      <c r="L899" s="2">
        <v>0.02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/>
      <c r="W899" s="1"/>
    </row>
    <row r="900" spans="1:23" ht="12.4">
      <c r="A900" s="1">
        <v>899</v>
      </c>
      <c r="B900" s="5" t="s">
        <v>3262</v>
      </c>
      <c r="C900" s="1" t="s">
        <v>2785</v>
      </c>
      <c r="D900" s="1">
        <v>41.59</v>
      </c>
      <c r="E900" s="1">
        <v>0</v>
      </c>
      <c r="F900" s="1">
        <v>0.21</v>
      </c>
      <c r="G900" s="1">
        <v>0</v>
      </c>
      <c r="H900" s="1">
        <v>0</v>
      </c>
      <c r="I900" s="2">
        <v>0</v>
      </c>
      <c r="J900" s="1">
        <v>0</v>
      </c>
      <c r="K900" s="2">
        <v>58.01</v>
      </c>
      <c r="L900" s="2">
        <v>0.02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/>
      <c r="W900" s="1"/>
    </row>
    <row r="901" spans="1:23" ht="24.95">
      <c r="A901" s="1">
        <v>900</v>
      </c>
      <c r="B901" s="5" t="s">
        <v>3263</v>
      </c>
      <c r="C901" s="1" t="s">
        <v>1502</v>
      </c>
      <c r="D901" s="1">
        <v>41.1</v>
      </c>
      <c r="E901" s="1">
        <v>0.01</v>
      </c>
      <c r="F901" s="1">
        <v>0.01</v>
      </c>
      <c r="G901" s="1">
        <v>0.02</v>
      </c>
      <c r="H901" s="1">
        <v>0</v>
      </c>
      <c r="I901" s="2">
        <v>9.24</v>
      </c>
      <c r="J901" s="1">
        <v>0.14000000000000001</v>
      </c>
      <c r="K901" s="2">
        <v>50.01</v>
      </c>
      <c r="L901" s="2">
        <v>0.08</v>
      </c>
      <c r="M901" s="1">
        <v>0.01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 t="s">
        <v>3264</v>
      </c>
      <c r="W901" s="1" t="s">
        <v>3265</v>
      </c>
    </row>
    <row r="902" spans="1:23" ht="24.95">
      <c r="A902" s="1">
        <v>901</v>
      </c>
      <c r="B902" s="5" t="s">
        <v>3266</v>
      </c>
      <c r="C902" s="1" t="s">
        <v>1502</v>
      </c>
      <c r="D902" s="1">
        <v>41.18</v>
      </c>
      <c r="E902" s="1">
        <v>0.01</v>
      </c>
      <c r="F902" s="1">
        <v>0.01</v>
      </c>
      <c r="G902" s="1">
        <v>0.03</v>
      </c>
      <c r="H902" s="1">
        <v>0</v>
      </c>
      <c r="I902" s="2">
        <v>8.68</v>
      </c>
      <c r="J902" s="1">
        <v>0.14000000000000001</v>
      </c>
      <c r="K902" s="2">
        <v>50.38</v>
      </c>
      <c r="L902" s="2">
        <v>0.08</v>
      </c>
      <c r="M902" s="1">
        <v>0.01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 t="s">
        <v>3264</v>
      </c>
      <c r="W902" s="1" t="s">
        <v>3267</v>
      </c>
    </row>
    <row r="903" spans="1:23" ht="24.95">
      <c r="A903" s="1">
        <v>902</v>
      </c>
      <c r="B903" s="5" t="s">
        <v>3268</v>
      </c>
      <c r="C903" s="1" t="s">
        <v>2781</v>
      </c>
      <c r="D903" s="1">
        <v>52.74</v>
      </c>
      <c r="E903" s="1">
        <v>7.0000000000000007E-2</v>
      </c>
      <c r="F903" s="1">
        <v>29.86</v>
      </c>
      <c r="G903" s="1">
        <v>0</v>
      </c>
      <c r="H903" s="1">
        <v>0</v>
      </c>
      <c r="I903" s="2">
        <v>0.37</v>
      </c>
      <c r="J903" s="1">
        <v>0</v>
      </c>
      <c r="K903" s="2">
        <v>0.11</v>
      </c>
      <c r="L903" s="2">
        <v>12.21</v>
      </c>
      <c r="M903" s="1">
        <v>4.47</v>
      </c>
      <c r="N903" s="1">
        <v>0.26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 t="s">
        <v>3264</v>
      </c>
      <c r="W903" s="1"/>
    </row>
    <row r="904" spans="1:23" ht="24.95">
      <c r="A904" s="1">
        <v>903</v>
      </c>
      <c r="B904" s="5" t="s">
        <v>3269</v>
      </c>
      <c r="C904" s="1" t="s">
        <v>2059</v>
      </c>
      <c r="D904" s="1">
        <v>51.56</v>
      </c>
      <c r="E904" s="1">
        <v>2.5</v>
      </c>
      <c r="F904" s="1">
        <v>13.98</v>
      </c>
      <c r="G904" s="1">
        <v>0</v>
      </c>
      <c r="H904" s="1">
        <v>12.47</v>
      </c>
      <c r="I904" s="2">
        <v>0</v>
      </c>
      <c r="J904" s="1">
        <v>9</v>
      </c>
      <c r="K904" s="2">
        <v>6.68</v>
      </c>
      <c r="L904" s="2">
        <v>10.93</v>
      </c>
      <c r="M904" s="1">
        <v>2.4900000000000002</v>
      </c>
      <c r="N904" s="1">
        <v>0.44</v>
      </c>
      <c r="O904" s="1">
        <v>0.24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 t="s">
        <v>3264</v>
      </c>
      <c r="W904" s="1"/>
    </row>
    <row r="905" spans="1:23" ht="24.95">
      <c r="A905" s="1">
        <v>904</v>
      </c>
      <c r="B905" s="1" t="s">
        <v>3270</v>
      </c>
      <c r="C905" s="1" t="s">
        <v>2059</v>
      </c>
      <c r="D905" s="1">
        <v>75.680000000000007</v>
      </c>
      <c r="E905" s="1">
        <v>0.14000000000000001</v>
      </c>
      <c r="F905" s="1">
        <v>11.18</v>
      </c>
      <c r="G905" s="1">
        <v>0</v>
      </c>
      <c r="H905" s="1">
        <v>2.8</v>
      </c>
      <c r="I905" s="2">
        <v>0</v>
      </c>
      <c r="J905" s="1">
        <v>0</v>
      </c>
      <c r="K905" s="2">
        <v>0.02</v>
      </c>
      <c r="L905" s="2">
        <v>0.17</v>
      </c>
      <c r="M905" s="1">
        <v>5.04</v>
      </c>
      <c r="N905" s="1">
        <v>4.3899999999999997</v>
      </c>
      <c r="O905" s="1">
        <v>0.24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 t="s">
        <v>3264</v>
      </c>
      <c r="W905" s="1"/>
    </row>
    <row r="906" spans="1:23" ht="24.95">
      <c r="A906" s="1">
        <v>905</v>
      </c>
      <c r="B906" s="1" t="s">
        <v>3271</v>
      </c>
      <c r="C906" s="1" t="s">
        <v>2159</v>
      </c>
      <c r="D906" s="1">
        <v>53.35</v>
      </c>
      <c r="E906" s="1">
        <v>0.01</v>
      </c>
      <c r="F906" s="1">
        <v>0.51</v>
      </c>
      <c r="G906" s="1">
        <v>0</v>
      </c>
      <c r="H906" s="1">
        <v>0</v>
      </c>
      <c r="I906" s="2">
        <v>9.9700000000000006</v>
      </c>
      <c r="J906" s="1">
        <v>0</v>
      </c>
      <c r="K906" s="2">
        <v>12.08</v>
      </c>
      <c r="L906" s="2">
        <v>23.25</v>
      </c>
      <c r="M906" s="1">
        <v>0.46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 t="s">
        <v>3264</v>
      </c>
      <c r="W906" s="1"/>
    </row>
    <row r="907" spans="1:23" ht="24.95">
      <c r="A907" s="1">
        <v>906</v>
      </c>
      <c r="B907" s="1" t="s">
        <v>3272</v>
      </c>
      <c r="C907" s="1" t="s">
        <v>2783</v>
      </c>
      <c r="D907" s="1">
        <v>53.89</v>
      </c>
      <c r="E907" s="1">
        <v>0.09</v>
      </c>
      <c r="F907" s="1">
        <v>2.74</v>
      </c>
      <c r="G907" s="1">
        <v>0</v>
      </c>
      <c r="H907" s="1">
        <v>0</v>
      </c>
      <c r="I907" s="2">
        <v>1.87</v>
      </c>
      <c r="J907" s="1">
        <v>0</v>
      </c>
      <c r="K907" s="2">
        <v>16.54</v>
      </c>
      <c r="L907" s="2">
        <v>24.74</v>
      </c>
      <c r="M907" s="1">
        <v>0.39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 t="s">
        <v>3264</v>
      </c>
      <c r="W907" s="1"/>
    </row>
    <row r="908" spans="1:23" ht="12.4">
      <c r="A908" s="1">
        <v>907</v>
      </c>
      <c r="B908" s="5" t="s">
        <v>3273</v>
      </c>
      <c r="C908" s="1" t="s">
        <v>1496</v>
      </c>
      <c r="D908" s="1">
        <v>25</v>
      </c>
      <c r="E908" s="1">
        <v>0.5</v>
      </c>
      <c r="F908" s="1">
        <v>3.1</v>
      </c>
      <c r="G908" s="1">
        <v>0.2</v>
      </c>
      <c r="H908" s="1">
        <v>0</v>
      </c>
      <c r="I908" s="2">
        <v>25.8</v>
      </c>
      <c r="J908" s="1">
        <v>0</v>
      </c>
      <c r="K908" s="2">
        <v>30.2</v>
      </c>
      <c r="L908" s="2">
        <v>3</v>
      </c>
      <c r="M908" s="1">
        <v>6.4</v>
      </c>
      <c r="N908" s="1">
        <v>0.4</v>
      </c>
      <c r="O908" s="1">
        <v>0.4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 t="s">
        <v>3274</v>
      </c>
      <c r="W908" s="1" t="s">
        <v>3275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EAD4F1C47F1247A643DACFE20C9223" ma:contentTypeVersion="13" ma:contentTypeDescription="Create a new document." ma:contentTypeScope="" ma:versionID="3cc52f2e41f0642f5fad5fba19d0ab64">
  <xsd:schema xmlns:xsd="http://www.w3.org/2001/XMLSchema" xmlns:xs="http://www.w3.org/2001/XMLSchema" xmlns:p="http://schemas.microsoft.com/office/2006/metadata/properties" xmlns:ns3="b95d4c91-4c37-40ea-a04a-c6f8139fc849" xmlns:ns4="bb400f50-552c-4823-bc3f-146433615514" targetNamespace="http://schemas.microsoft.com/office/2006/metadata/properties" ma:root="true" ma:fieldsID="0b9e6548669113b860a8b09f25802127" ns3:_="" ns4:_="">
    <xsd:import namespace="b95d4c91-4c37-40ea-a04a-c6f8139fc849"/>
    <xsd:import namespace="bb400f50-552c-4823-bc3f-14643361551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EventHashCode" minOccurs="0"/>
                <xsd:element ref="ns4:MediaServiceGenerationTim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5d4c91-4c37-40ea-a04a-c6f8139fc8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400f50-552c-4823-bc3f-1464336155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13B6E5-290A-4878-B77C-8E475C3F717D}"/>
</file>

<file path=customXml/itemProps2.xml><?xml version="1.0" encoding="utf-8"?>
<ds:datastoreItem xmlns:ds="http://schemas.openxmlformats.org/officeDocument/2006/customXml" ds:itemID="{CAE03E47-EEC8-4E10-9B75-C2F09B529D60}"/>
</file>

<file path=customXml/itemProps3.xml><?xml version="1.0" encoding="utf-8"?>
<ds:datastoreItem xmlns:ds="http://schemas.openxmlformats.org/officeDocument/2006/customXml" ds:itemID="{17BC18A2-31BA-421A-A25F-23D94BBCF2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Noah Petro</dc:creator>
  <cp:keywords/>
  <dc:description/>
  <cp:lastModifiedBy/>
  <cp:revision/>
  <dcterms:created xsi:type="dcterms:W3CDTF">2001-07-13T19:13:23Z</dcterms:created>
  <dcterms:modified xsi:type="dcterms:W3CDTF">2022-06-20T13:43:58Z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0x010100A0EAD4F1C47F1247A643DACFE20C9223</vt:lpwstr>
  </property>
</Properties>
</file>